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updateLinks="never" codeName="ThisWorkbook" defaultThemeVersion="124226"/>
  <mc:AlternateContent xmlns:mc="http://schemas.openxmlformats.org/markup-compatibility/2006">
    <mc:Choice Requires="x15">
      <x15ac:absPath xmlns:x15ac="http://schemas.microsoft.com/office/spreadsheetml/2010/11/ac" url="https://sokansas-my.sharepoint.com/personal/lindsay_a_olson_doa_ks_gov/Documents/Desktop/2025 Workbooks/"/>
    </mc:Choice>
  </mc:AlternateContent>
  <xr:revisionPtr revIDLastSave="95" documentId="8_{20C3DA03-A59E-46ED-9F18-272C12EBA042}" xr6:coauthVersionLast="47" xr6:coauthVersionMax="47" xr10:uidLastSave="{E59ED2C1-BAA3-4C90-8BAD-52F8437A2808}"/>
  <bookViews>
    <workbookView xWindow="29040" yWindow="345" windowWidth="13290" windowHeight="15075" tabRatio="873" firstSheet="3" activeTab="5" xr2:uid="{00000000-000D-0000-FFFF-FFFF00000000}"/>
  </bookViews>
  <sheets>
    <sheet name="Instructions" sheetId="71" r:id="rId1"/>
    <sheet name="inputPrYr" sheetId="2" r:id="rId2"/>
    <sheet name="inputOth" sheetId="43" r:id="rId3"/>
    <sheet name="inputHearing" sheetId="70" r:id="rId4"/>
    <sheet name="CPA Summary" sheetId="64" r:id="rId5"/>
    <sheet name="Cert" sheetId="3" r:id="rId6"/>
    <sheet name="Cert 2" sheetId="4" r:id="rId7"/>
    <sheet name="Mvalloc" sheetId="38" r:id="rId8"/>
    <sheet name="Transfers" sheetId="6" r:id="rId9"/>
    <sheet name="Transfer Statutes" sheetId="50" r:id="rId10"/>
    <sheet name="Debt" sheetId="29" r:id="rId11"/>
    <sheet name="LP Form" sheetId="30" r:id="rId12"/>
    <sheet name="General" sheetId="8" r:id="rId13"/>
    <sheet name="General Detail" sheetId="9" r:id="rId14"/>
    <sheet name="Debt Service" sheetId="42" r:id="rId15"/>
    <sheet name="Road &amp; Bridge" sheetId="44" r:id="rId16"/>
    <sheet name="Road &amp; Bridge Detail" sheetId="11" r:id="rId17"/>
    <sheet name="Levy Page 10" sheetId="10" r:id="rId18"/>
    <sheet name="Levy Page 11" sheetId="12" r:id="rId19"/>
    <sheet name="Levy Page 12" sheetId="13" r:id="rId20"/>
    <sheet name="Levy Page 13" sheetId="14" r:id="rId21"/>
    <sheet name="Levy Page 14" sheetId="15" r:id="rId22"/>
    <sheet name="Levy Page 15" sheetId="16" r:id="rId23"/>
    <sheet name="Levy Page 16" sheetId="17" r:id="rId24"/>
    <sheet name="Levy Page 17" sheetId="18" r:id="rId25"/>
    <sheet name="Levy Page 18" sheetId="19" r:id="rId26"/>
    <sheet name="Levy Page 19" sheetId="20" r:id="rId27"/>
    <sheet name="Levy Page 20" sheetId="21" r:id="rId28"/>
    <sheet name="No Levy Page 21" sheetId="22" r:id="rId29"/>
    <sheet name="No Levy Page 22" sheetId="23" r:id="rId30"/>
    <sheet name="No Levy Page 23" sheetId="24" r:id="rId31"/>
    <sheet name="No Levy Page 24" sheetId="25" r:id="rId32"/>
    <sheet name="No Levy Page 25" sheetId="26" r:id="rId33"/>
    <sheet name="No Levy Page 26" sheetId="36" r:id="rId34"/>
    <sheet name="No Levy Page 27" sheetId="35" r:id="rId35"/>
    <sheet name="No Levy Page 28" sheetId="37" r:id="rId36"/>
    <sheet name="Non-Budgeted Funds A" sheetId="45" r:id="rId37"/>
    <sheet name="Non-Budgeted Funds B" sheetId="46" r:id="rId38"/>
    <sheet name="Non-Budgeted Funds C" sheetId="47" r:id="rId39"/>
    <sheet name="Non-Budgeted Funds D" sheetId="48" r:id="rId40"/>
    <sheet name="Non-Bud Fund Statutes" sheetId="56" r:id="rId41"/>
    <sheet name="Budget Hearing Notice" sheetId="27" r:id="rId42"/>
    <sheet name="Budget Hearing Notice 2" sheetId="28" r:id="rId43"/>
    <sheet name="Combined Rate-Bud Hearing Notic" sheetId="73" r:id="rId44"/>
    <sheet name="Combined Rate-Bud Hearing Not 2" sheetId="74" r:id="rId45"/>
    <sheet name="RNR Hearing Notice" sheetId="72" r:id="rId46"/>
    <sheet name="NR Rebate" sheetId="49" r:id="rId47"/>
    <sheet name="SAMPLE Notice to County Clerk" sheetId="67" r:id="rId48"/>
    <sheet name="SAMPLE Roll Call to Exceed RNR" sheetId="75" r:id="rId49"/>
    <sheet name="SAMPLE Resolution to Exceed RNR" sheetId="68" r:id="rId50"/>
    <sheet name="Tab A" sheetId="76" r:id="rId51"/>
    <sheet name="Tab B" sheetId="77" r:id="rId52"/>
    <sheet name="Tab C" sheetId="78" r:id="rId53"/>
    <sheet name="Tab D" sheetId="79" r:id="rId54"/>
    <sheet name="Tab E" sheetId="80" r:id="rId55"/>
    <sheet name="Budget Tools" sheetId="81" r:id="rId56"/>
    <sheet name="Legend" sheetId="82" r:id="rId57"/>
  </sheets>
  <definedNames>
    <definedName name="_xlnm.Print_Area" localSheetId="41">'Budget Hearing Notice'!$A$1:$H$81</definedName>
    <definedName name="_xlnm.Print_Area" localSheetId="43">'Combined Rate-Bud Hearing Notic'!$A$1:$H$81</definedName>
    <definedName name="_xlnm.Print_Area" localSheetId="4">'CPA Summary'!$A$1:$A$46</definedName>
    <definedName name="_xlnm.Print_Area" localSheetId="14">'Debt Service'!$B$1:$E$65</definedName>
    <definedName name="_xlnm.Print_Area" localSheetId="12">General!$A$1:$E$124</definedName>
    <definedName name="_xlnm.Print_Area" localSheetId="1">inputPrYr!$A$1:$F$126</definedName>
    <definedName name="_xlnm.Print_Area" localSheetId="17">'Levy Page 10'!$A$1:$E$90</definedName>
    <definedName name="_xlnm.Print_Area" localSheetId="18">'Levy Page 11'!$A$1:$E$90</definedName>
    <definedName name="_xlnm.Print_Area" localSheetId="19">'Levy Page 12'!$A$1:$E$90</definedName>
    <definedName name="_xlnm.Print_Area" localSheetId="20">'Levy Page 13'!$A$1:$E$89</definedName>
    <definedName name="_xlnm.Print_Area" localSheetId="21">'Levy Page 14'!$A$1:$E$90</definedName>
    <definedName name="_xlnm.Print_Area" localSheetId="22">'Levy Page 15'!$A$1:$E$90</definedName>
    <definedName name="_xlnm.Print_Area" localSheetId="23">'Levy Page 16'!$A$1:$E$90</definedName>
    <definedName name="_xlnm.Print_Area" localSheetId="24">'Levy Page 17'!$A$1:$E$90</definedName>
    <definedName name="_xlnm.Print_Area" localSheetId="25">'Levy Page 18'!$A$1:$E$90</definedName>
    <definedName name="_xlnm.Print_Area" localSheetId="26">'Levy Page 19'!$A$1:$E$90</definedName>
    <definedName name="_xlnm.Print_Area" localSheetId="27">'Levy Page 20'!$A$1:$E$90</definedName>
    <definedName name="_xlnm.Print_Area" localSheetId="45">'RNR Hearing Notice'!$A$1:$H$14</definedName>
    <definedName name="_xlnm.Print_Area" localSheetId="15">'Road &amp; Bridge'!$B$1:$E$116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9" i="42" l="1"/>
  <c r="B54" i="37"/>
  <c r="B24" i="37"/>
  <c r="B54" i="35"/>
  <c r="B24" i="35"/>
  <c r="B54" i="36"/>
  <c r="B24" i="36"/>
  <c r="B54" i="26"/>
  <c r="B24" i="26"/>
  <c r="B53" i="25"/>
  <c r="B24" i="25"/>
  <c r="B53" i="24"/>
  <c r="B24" i="24"/>
  <c r="B54" i="23"/>
  <c r="B24" i="23"/>
  <c r="B53" i="22"/>
  <c r="B24" i="22"/>
  <c r="B71" i="21"/>
  <c r="B30" i="21"/>
  <c r="B71" i="20"/>
  <c r="B30" i="20"/>
  <c r="B71" i="19"/>
  <c r="B30" i="19"/>
  <c r="B70" i="18"/>
  <c r="B30" i="18"/>
  <c r="B70" i="17"/>
  <c r="B30" i="17"/>
  <c r="B71" i="16"/>
  <c r="B30" i="16"/>
  <c r="B70" i="15"/>
  <c r="B30" i="15"/>
  <c r="B71" i="14"/>
  <c r="B31" i="14"/>
  <c r="B72" i="13"/>
  <c r="B31" i="13"/>
  <c r="B73" i="12"/>
  <c r="B32" i="12"/>
  <c r="B71" i="10"/>
  <c r="B32" i="10"/>
  <c r="B100" i="44"/>
  <c r="B102" i="8"/>
  <c r="A7" i="80" l="1"/>
  <c r="A6" i="80"/>
  <c r="A35" i="79"/>
  <c r="A31" i="79"/>
  <c r="A5" i="79"/>
  <c r="A30" i="78"/>
  <c r="A26" i="78"/>
  <c r="A15" i="78"/>
  <c r="A7" i="78"/>
  <c r="A6" i="78"/>
  <c r="A29" i="77"/>
  <c r="A28" i="77"/>
  <c r="A5" i="77"/>
  <c r="A59" i="76"/>
  <c r="A58" i="76"/>
  <c r="A56" i="76"/>
  <c r="A27" i="76"/>
  <c r="A23" i="76"/>
  <c r="A20" i="76"/>
  <c r="A14" i="76"/>
  <c r="A6" i="76"/>
  <c r="A5" i="76"/>
  <c r="A42" i="28" l="1"/>
  <c r="A41" i="28"/>
  <c r="F73" i="3" l="1"/>
  <c r="A8" i="73"/>
  <c r="A6" i="73"/>
  <c r="K13" i="74"/>
  <c r="K15" i="74"/>
  <c r="K16" i="74"/>
  <c r="K21" i="74"/>
  <c r="K23" i="74"/>
  <c r="K24" i="74"/>
  <c r="K29" i="74"/>
  <c r="K31" i="74"/>
  <c r="K32" i="74"/>
  <c r="H9" i="74"/>
  <c r="K9" i="74" s="1"/>
  <c r="H10" i="74"/>
  <c r="K10" i="74" s="1"/>
  <c r="H11" i="74"/>
  <c r="K11" i="74" s="1"/>
  <c r="H12" i="74"/>
  <c r="K12" i="74" s="1"/>
  <c r="H13" i="74"/>
  <c r="H14" i="74"/>
  <c r="K14" i="74" s="1"/>
  <c r="H15" i="74"/>
  <c r="H16" i="74"/>
  <c r="H17" i="74"/>
  <c r="K17" i="74" s="1"/>
  <c r="H18" i="74"/>
  <c r="K18" i="74" s="1"/>
  <c r="H19" i="74"/>
  <c r="K19" i="74" s="1"/>
  <c r="H20" i="74"/>
  <c r="K20" i="74" s="1"/>
  <c r="H21" i="74"/>
  <c r="H22" i="74"/>
  <c r="K22" i="74" s="1"/>
  <c r="H23" i="74"/>
  <c r="H24" i="74"/>
  <c r="H25" i="74"/>
  <c r="K25" i="74" s="1"/>
  <c r="H26" i="74"/>
  <c r="K26" i="74" s="1"/>
  <c r="H27" i="74"/>
  <c r="K27" i="74" s="1"/>
  <c r="H28" i="74"/>
  <c r="K28" i="74" s="1"/>
  <c r="H29" i="74"/>
  <c r="H30" i="74"/>
  <c r="K30" i="74" s="1"/>
  <c r="H31" i="74"/>
  <c r="H32" i="74"/>
  <c r="H33" i="74"/>
  <c r="K33" i="74" s="1"/>
  <c r="H34" i="74"/>
  <c r="K34" i="74" s="1"/>
  <c r="H35" i="74"/>
  <c r="K35" i="74" s="1"/>
  <c r="H36" i="74"/>
  <c r="K36" i="74" s="1"/>
  <c r="H8" i="74"/>
  <c r="K8" i="74" s="1"/>
  <c r="K16" i="28"/>
  <c r="K18" i="28"/>
  <c r="K23" i="28"/>
  <c r="K32" i="28"/>
  <c r="K34" i="28"/>
  <c r="H9" i="28"/>
  <c r="K9" i="28" s="1"/>
  <c r="H10" i="28"/>
  <c r="K10" i="28" s="1"/>
  <c r="H11" i="28"/>
  <c r="K11" i="28" s="1"/>
  <c r="H12" i="28"/>
  <c r="K12" i="28" s="1"/>
  <c r="H13" i="28"/>
  <c r="K13" i="28" s="1"/>
  <c r="H14" i="28"/>
  <c r="K14" i="28" s="1"/>
  <c r="H15" i="28"/>
  <c r="K15" i="28" s="1"/>
  <c r="H16" i="28"/>
  <c r="H17" i="28"/>
  <c r="K17" i="28" s="1"/>
  <c r="H18" i="28"/>
  <c r="H19" i="28"/>
  <c r="K19" i="28" s="1"/>
  <c r="H20" i="28"/>
  <c r="K20" i="28" s="1"/>
  <c r="H21" i="28"/>
  <c r="K21" i="28" s="1"/>
  <c r="H22" i="28"/>
  <c r="K22" i="28" s="1"/>
  <c r="H23" i="28"/>
  <c r="H24" i="28"/>
  <c r="K24" i="28" s="1"/>
  <c r="H25" i="28"/>
  <c r="K25" i="28" s="1"/>
  <c r="H26" i="28"/>
  <c r="K26" i="28" s="1"/>
  <c r="H27" i="28"/>
  <c r="K27" i="28" s="1"/>
  <c r="H28" i="28"/>
  <c r="K28" i="28" s="1"/>
  <c r="H29" i="28"/>
  <c r="K29" i="28" s="1"/>
  <c r="H30" i="28"/>
  <c r="K30" i="28" s="1"/>
  <c r="H31" i="28"/>
  <c r="K31" i="28" s="1"/>
  <c r="H32" i="28"/>
  <c r="H33" i="28"/>
  <c r="K33" i="28" s="1"/>
  <c r="H34" i="28"/>
  <c r="H35" i="28"/>
  <c r="K35" i="28" s="1"/>
  <c r="H36" i="28"/>
  <c r="K36" i="28" s="1"/>
  <c r="H8" i="28"/>
  <c r="K8" i="28" s="1"/>
  <c r="C71" i="3" l="1"/>
  <c r="C70" i="3"/>
  <c r="C69" i="3"/>
  <c r="C68" i="3"/>
  <c r="C67" i="3"/>
  <c r="C66" i="3"/>
  <c r="H100" i="44"/>
  <c r="H99" i="44"/>
  <c r="H97" i="44"/>
  <c r="H96" i="44"/>
  <c r="E59" i="21"/>
  <c r="A42" i="74"/>
  <c r="A41" i="74"/>
  <c r="A80" i="73"/>
  <c r="A79" i="73"/>
  <c r="A6" i="72"/>
  <c r="A5" i="72"/>
  <c r="H1" i="72"/>
  <c r="J1" i="74"/>
  <c r="F5" i="74" s="1"/>
  <c r="A1" i="74"/>
  <c r="D73" i="73"/>
  <c r="B73" i="73"/>
  <c r="D72" i="73"/>
  <c r="B72" i="73"/>
  <c r="D71" i="73"/>
  <c r="B71" i="73"/>
  <c r="D70" i="73"/>
  <c r="B70" i="73"/>
  <c r="F66" i="73"/>
  <c r="M64" i="73" s="1"/>
  <c r="D66" i="73"/>
  <c r="B66" i="73"/>
  <c r="B65" i="73"/>
  <c r="H62" i="73"/>
  <c r="A60" i="73"/>
  <c r="A59" i="73"/>
  <c r="A58" i="73"/>
  <c r="A57" i="73"/>
  <c r="A56" i="73"/>
  <c r="A55" i="73"/>
  <c r="A54" i="73"/>
  <c r="A53" i="73"/>
  <c r="A52" i="73"/>
  <c r="A51" i="73"/>
  <c r="A50" i="73"/>
  <c r="A49" i="73"/>
  <c r="A48" i="73"/>
  <c r="A47" i="73"/>
  <c r="A46" i="73"/>
  <c r="A45" i="73"/>
  <c r="A44" i="73"/>
  <c r="A43" i="73"/>
  <c r="A42" i="73"/>
  <c r="A41" i="73"/>
  <c r="E40" i="73"/>
  <c r="C40" i="73"/>
  <c r="A40" i="73"/>
  <c r="E39" i="73"/>
  <c r="C39" i="73"/>
  <c r="A39" i="73"/>
  <c r="E38" i="73"/>
  <c r="C38" i="73"/>
  <c r="A38" i="73"/>
  <c r="E37" i="73"/>
  <c r="C37" i="73"/>
  <c r="A37" i="73"/>
  <c r="E36" i="73"/>
  <c r="C36" i="73"/>
  <c r="A36" i="73"/>
  <c r="E35" i="73"/>
  <c r="C35" i="73"/>
  <c r="A35" i="73"/>
  <c r="E34" i="73"/>
  <c r="C34" i="73"/>
  <c r="A34" i="73"/>
  <c r="E33" i="73"/>
  <c r="C33" i="73"/>
  <c r="A33" i="73"/>
  <c r="E32" i="73"/>
  <c r="C32" i="73"/>
  <c r="A32" i="73"/>
  <c r="E31" i="73"/>
  <c r="C31" i="73"/>
  <c r="A31" i="73"/>
  <c r="E30" i="73"/>
  <c r="C30" i="73"/>
  <c r="A30" i="73"/>
  <c r="E29" i="73"/>
  <c r="C29" i="73"/>
  <c r="A29" i="73"/>
  <c r="E28" i="73"/>
  <c r="C28" i="73"/>
  <c r="A28" i="73"/>
  <c r="E27" i="73"/>
  <c r="C27" i="73"/>
  <c r="A27" i="73"/>
  <c r="E26" i="73"/>
  <c r="C26" i="73"/>
  <c r="A26" i="73"/>
  <c r="E25" i="73"/>
  <c r="C25" i="73"/>
  <c r="A25" i="73"/>
  <c r="E24" i="73"/>
  <c r="C24" i="73"/>
  <c r="A24" i="73"/>
  <c r="E23" i="73"/>
  <c r="C23" i="73"/>
  <c r="A23" i="73"/>
  <c r="E22" i="73"/>
  <c r="C22" i="73"/>
  <c r="A22" i="73"/>
  <c r="E21" i="73"/>
  <c r="C21" i="73"/>
  <c r="A21" i="73"/>
  <c r="E20" i="73"/>
  <c r="C20" i="73"/>
  <c r="A20" i="73"/>
  <c r="E19" i="73"/>
  <c r="C19" i="73"/>
  <c r="A19" i="73"/>
  <c r="E18" i="73"/>
  <c r="C18" i="73"/>
  <c r="A18" i="73"/>
  <c r="E17" i="73"/>
  <c r="C17" i="73"/>
  <c r="A17" i="73"/>
  <c r="E16" i="73"/>
  <c r="C16" i="73"/>
  <c r="A16" i="73"/>
  <c r="A5" i="73"/>
  <c r="H1" i="73"/>
  <c r="J57" i="73" s="1"/>
  <c r="A1" i="73"/>
  <c r="C16" i="27"/>
  <c r="A80" i="27"/>
  <c r="A79" i="27"/>
  <c r="A8" i="27"/>
  <c r="A6" i="27"/>
  <c r="A1" i="27"/>
  <c r="H1" i="27"/>
  <c r="F13" i="73" l="1"/>
  <c r="G6" i="74"/>
  <c r="B74" i="73"/>
  <c r="D13" i="73"/>
  <c r="D74" i="73"/>
  <c r="J47" i="73"/>
  <c r="M45" i="73"/>
  <c r="C61" i="73"/>
  <c r="E61" i="73"/>
  <c r="M49" i="73" s="1"/>
  <c r="M57" i="73" s="1"/>
  <c r="J6" i="74"/>
  <c r="B5" i="74"/>
  <c r="D5" i="74"/>
  <c r="J62" i="73"/>
  <c r="J64" i="73"/>
  <c r="J54" i="73"/>
  <c r="A10" i="73"/>
  <c r="J56" i="73"/>
  <c r="B69" i="73"/>
  <c r="B13" i="73"/>
  <c r="J43" i="73"/>
  <c r="D69" i="73"/>
  <c r="J50" i="73"/>
  <c r="J63" i="73"/>
  <c r="J65" i="73"/>
  <c r="F69" i="73"/>
  <c r="G14" i="73"/>
  <c r="J49" i="73"/>
  <c r="A1" i="3" l="1"/>
  <c r="H62" i="27" l="1"/>
  <c r="E27" i="49"/>
  <c r="E19" i="20" s="1"/>
  <c r="E24" i="49"/>
  <c r="E23" i="49"/>
  <c r="E19" i="18" s="1"/>
  <c r="E19" i="49"/>
  <c r="E19" i="16" s="1"/>
  <c r="E17" i="49"/>
  <c r="E19" i="15" s="1"/>
  <c r="E33" i="15"/>
  <c r="E16" i="49"/>
  <c r="E60" i="14" s="1"/>
  <c r="E74" i="14"/>
  <c r="F26" i="73" s="1"/>
  <c r="E15" i="49"/>
  <c r="E19" i="14" s="1"/>
  <c r="E34" i="14"/>
  <c r="F25" i="73" s="1"/>
  <c r="E11" i="49"/>
  <c r="E35" i="12"/>
  <c r="F38" i="12" s="1"/>
  <c r="E9" i="49"/>
  <c r="E20" i="10" s="1"/>
  <c r="E8" i="49"/>
  <c r="E51" i="44" s="1"/>
  <c r="E7" i="49"/>
  <c r="E26" i="42" s="1"/>
  <c r="H18" i="38"/>
  <c r="E14" i="15" s="1"/>
  <c r="H30" i="38"/>
  <c r="E14" i="21" s="1"/>
  <c r="H26" i="38"/>
  <c r="E14" i="19" s="1"/>
  <c r="H22" i="38"/>
  <c r="E14" i="17" s="1"/>
  <c r="H14" i="38"/>
  <c r="E14" i="13" s="1"/>
  <c r="H10" i="38"/>
  <c r="E14" i="10" s="1"/>
  <c r="H42" i="38"/>
  <c r="G40" i="38"/>
  <c r="D29" i="36"/>
  <c r="J14" i="21"/>
  <c r="J13" i="21"/>
  <c r="J14" i="20"/>
  <c r="J13" i="20"/>
  <c r="J15" i="19"/>
  <c r="J14" i="19"/>
  <c r="J13" i="18"/>
  <c r="J12" i="18"/>
  <c r="J14" i="17"/>
  <c r="J13" i="17"/>
  <c r="J14" i="16"/>
  <c r="J13" i="16"/>
  <c r="J13" i="15"/>
  <c r="J12" i="15"/>
  <c r="J15" i="14"/>
  <c r="J14" i="14"/>
  <c r="J14" i="13"/>
  <c r="J13" i="13"/>
  <c r="J15" i="12"/>
  <c r="J14" i="12"/>
  <c r="J15" i="10"/>
  <c r="J14" i="10"/>
  <c r="J82" i="44"/>
  <c r="J81" i="44"/>
  <c r="J31" i="42"/>
  <c r="J32" i="42"/>
  <c r="J89" i="8"/>
  <c r="J88" i="8"/>
  <c r="C42" i="3"/>
  <c r="C41" i="3"/>
  <c r="C76" i="20"/>
  <c r="C35" i="20"/>
  <c r="E44" i="10"/>
  <c r="D44" i="10"/>
  <c r="C44" i="10"/>
  <c r="D39" i="21"/>
  <c r="E39" i="21" s="1"/>
  <c r="D80" i="21"/>
  <c r="E80" i="21" s="1"/>
  <c r="D39" i="19"/>
  <c r="E39" i="19" s="1"/>
  <c r="D80" i="19"/>
  <c r="E80" i="19" s="1"/>
  <c r="D79" i="18"/>
  <c r="E79" i="18" s="1"/>
  <c r="D39" i="18"/>
  <c r="E39" i="18" s="1"/>
  <c r="D39" i="17"/>
  <c r="E39" i="17" s="1"/>
  <c r="D79" i="17"/>
  <c r="E79" i="17" s="1"/>
  <c r="D39" i="16"/>
  <c r="E39" i="16" s="1"/>
  <c r="D80" i="16"/>
  <c r="E80" i="16" s="1"/>
  <c r="D39" i="15"/>
  <c r="E39" i="15" s="1"/>
  <c r="D79" i="15"/>
  <c r="E79" i="15" s="1"/>
  <c r="D40" i="14"/>
  <c r="E40" i="14"/>
  <c r="D80" i="14"/>
  <c r="E80" i="14" s="1"/>
  <c r="D40" i="13"/>
  <c r="E40" i="13" s="1"/>
  <c r="D81" i="13"/>
  <c r="E81" i="13" s="1"/>
  <c r="D41" i="12"/>
  <c r="E41" i="12" s="1"/>
  <c r="D82" i="12"/>
  <c r="E82" i="12" s="1"/>
  <c r="D80" i="10"/>
  <c r="E80" i="10" s="1"/>
  <c r="D41" i="10"/>
  <c r="E41" i="10" s="1"/>
  <c r="D109" i="44"/>
  <c r="E109" i="44" s="1"/>
  <c r="D58" i="42"/>
  <c r="E58" i="42" s="1"/>
  <c r="D80" i="20"/>
  <c r="E80" i="20" s="1"/>
  <c r="D76" i="20"/>
  <c r="B45" i="20"/>
  <c r="D39" i="20"/>
  <c r="E39" i="20" s="1"/>
  <c r="D35" i="20"/>
  <c r="E1" i="20"/>
  <c r="G9" i="20" s="1"/>
  <c r="B1" i="20"/>
  <c r="B5" i="20"/>
  <c r="D74" i="20"/>
  <c r="D38" i="73" s="1"/>
  <c r="C74" i="20"/>
  <c r="C73" i="20" s="1"/>
  <c r="C62" i="20"/>
  <c r="C63" i="20" s="1"/>
  <c r="E44" i="20"/>
  <c r="D44" i="20"/>
  <c r="C44" i="20"/>
  <c r="D33" i="20"/>
  <c r="D37" i="73" s="1"/>
  <c r="C33" i="20"/>
  <c r="G23" i="20" s="1"/>
  <c r="C22" i="20"/>
  <c r="C23" i="20" s="1"/>
  <c r="H41" i="2"/>
  <c r="D46" i="21" s="1"/>
  <c r="D62" i="21" s="1"/>
  <c r="D61" i="21" s="1"/>
  <c r="H40" i="2"/>
  <c r="D8" i="21" s="1"/>
  <c r="D22" i="21" s="1"/>
  <c r="H39" i="2"/>
  <c r="D48" i="20" s="1"/>
  <c r="D62" i="20" s="1"/>
  <c r="D61" i="20" s="1"/>
  <c r="H38" i="2"/>
  <c r="D8" i="20" s="1"/>
  <c r="D22" i="20" s="1"/>
  <c r="D21" i="20" s="1"/>
  <c r="H37" i="2"/>
  <c r="D46" i="19" s="1"/>
  <c r="D62" i="19" s="1"/>
  <c r="D61" i="19" s="1"/>
  <c r="H36" i="2"/>
  <c r="D8" i="19" s="1"/>
  <c r="D22" i="19" s="1"/>
  <c r="D21" i="19" s="1"/>
  <c r="H35" i="2"/>
  <c r="D46" i="18"/>
  <c r="D62" i="18" s="1"/>
  <c r="D61" i="18" s="1"/>
  <c r="H34" i="2"/>
  <c r="D8" i="18"/>
  <c r="D22" i="18" s="1"/>
  <c r="D21" i="18" s="1"/>
  <c r="H33" i="2"/>
  <c r="D46" i="17"/>
  <c r="D62" i="17" s="1"/>
  <c r="D61" i="17" s="1"/>
  <c r="H32" i="2"/>
  <c r="D8" i="17" s="1"/>
  <c r="D22" i="17" s="1"/>
  <c r="D21" i="17" s="1"/>
  <c r="H31" i="2"/>
  <c r="D46" i="16" s="1"/>
  <c r="D62" i="16" s="1"/>
  <c r="H30" i="2"/>
  <c r="D8" i="16" s="1"/>
  <c r="D22" i="16" s="1"/>
  <c r="D21" i="16" s="1"/>
  <c r="H29" i="2"/>
  <c r="D46" i="15"/>
  <c r="D62" i="15" s="1"/>
  <c r="D61" i="15" s="1"/>
  <c r="H28" i="2"/>
  <c r="D8" i="15"/>
  <c r="D22" i="15" s="1"/>
  <c r="D21" i="15" s="1"/>
  <c r="H27" i="2"/>
  <c r="D47" i="14" s="1"/>
  <c r="D63" i="14" s="1"/>
  <c r="D62" i="14" s="1"/>
  <c r="H26" i="2"/>
  <c r="D8" i="14" s="1"/>
  <c r="D22" i="14" s="1"/>
  <c r="D21" i="14" s="1"/>
  <c r="H25" i="2"/>
  <c r="D47" i="13" s="1"/>
  <c r="D63" i="13" s="1"/>
  <c r="D62" i="13" s="1"/>
  <c r="H24" i="2"/>
  <c r="D8" i="13" s="1"/>
  <c r="D22" i="13" s="1"/>
  <c r="D21" i="13" s="1"/>
  <c r="H23" i="2"/>
  <c r="D48" i="12" s="1"/>
  <c r="D64" i="12" s="1"/>
  <c r="D63" i="12" s="1"/>
  <c r="H22" i="2"/>
  <c r="D8" i="12"/>
  <c r="D23" i="12" s="1"/>
  <c r="D22" i="12" s="1"/>
  <c r="H21" i="2"/>
  <c r="D48" i="10" s="1"/>
  <c r="D63" i="10" s="1"/>
  <c r="D62" i="10" s="1"/>
  <c r="H20" i="2"/>
  <c r="D8" i="10" s="1"/>
  <c r="D23" i="10" s="1"/>
  <c r="D22" i="10" s="1"/>
  <c r="H19" i="2"/>
  <c r="D8" i="44" s="1"/>
  <c r="D54" i="44" s="1"/>
  <c r="D53" i="44" s="1"/>
  <c r="H18" i="2"/>
  <c r="D9" i="42" s="1"/>
  <c r="D29" i="42" s="1"/>
  <c r="H17" i="2"/>
  <c r="D8" i="8"/>
  <c r="D48" i="8" s="1"/>
  <c r="D47" i="8" s="1"/>
  <c r="D111" i="8"/>
  <c r="E111" i="8"/>
  <c r="C76" i="21"/>
  <c r="D76" i="21"/>
  <c r="C35" i="21"/>
  <c r="D35" i="21"/>
  <c r="C76" i="19"/>
  <c r="D76" i="19"/>
  <c r="C35" i="19"/>
  <c r="D35" i="19"/>
  <c r="C75" i="18"/>
  <c r="D75" i="18"/>
  <c r="C35" i="18"/>
  <c r="D35" i="18"/>
  <c r="C75" i="17"/>
  <c r="D75" i="17"/>
  <c r="C35" i="17"/>
  <c r="D35" i="17"/>
  <c r="C76" i="16"/>
  <c r="D76" i="16"/>
  <c r="C35" i="16"/>
  <c r="D35" i="16"/>
  <c r="C75" i="15"/>
  <c r="C98" i="15" s="1"/>
  <c r="D75" i="15"/>
  <c r="C35" i="15"/>
  <c r="D35" i="15"/>
  <c r="C76" i="14"/>
  <c r="D76" i="14"/>
  <c r="C36" i="14"/>
  <c r="D36" i="14"/>
  <c r="C77" i="13"/>
  <c r="D77" i="13"/>
  <c r="C36" i="13"/>
  <c r="D36" i="13"/>
  <c r="C78" i="12"/>
  <c r="D78" i="12"/>
  <c r="C37" i="12"/>
  <c r="D37" i="12"/>
  <c r="C76" i="10"/>
  <c r="D76" i="10"/>
  <c r="C37" i="10"/>
  <c r="D37" i="10"/>
  <c r="C105" i="44"/>
  <c r="D105" i="44"/>
  <c r="C54" i="42"/>
  <c r="D54" i="42"/>
  <c r="C107" i="8"/>
  <c r="D107" i="8"/>
  <c r="D34" i="49"/>
  <c r="D36" i="49" s="1"/>
  <c r="A119" i="2"/>
  <c r="A118" i="2"/>
  <c r="D89" i="2"/>
  <c r="A1" i="43"/>
  <c r="A1" i="6"/>
  <c r="A1" i="30"/>
  <c r="A1" i="29"/>
  <c r="A1" i="45"/>
  <c r="A1" i="46"/>
  <c r="A1" i="47"/>
  <c r="A1" i="48"/>
  <c r="A5" i="27"/>
  <c r="A1" i="28"/>
  <c r="D52" i="42"/>
  <c r="C54" i="44"/>
  <c r="C53" i="44" s="1"/>
  <c r="C23" i="10"/>
  <c r="C24" i="10" s="1"/>
  <c r="C35" i="10"/>
  <c r="B19" i="73" s="1"/>
  <c r="D35" i="10"/>
  <c r="D19" i="73" s="1"/>
  <c r="C35" i="12"/>
  <c r="B21" i="73" s="1"/>
  <c r="C23" i="12"/>
  <c r="C24" i="12" s="1"/>
  <c r="D35" i="12"/>
  <c r="D34" i="12" s="1"/>
  <c r="C34" i="13"/>
  <c r="B23" i="73" s="1"/>
  <c r="C22" i="13"/>
  <c r="C23" i="13" s="1"/>
  <c r="D34" i="13"/>
  <c r="D23" i="73" s="1"/>
  <c r="C34" i="14"/>
  <c r="C33" i="14" s="1"/>
  <c r="C22" i="14"/>
  <c r="C21" i="14" s="1"/>
  <c r="D34" i="14"/>
  <c r="D25" i="73" s="1"/>
  <c r="C33" i="15"/>
  <c r="B27" i="73" s="1"/>
  <c r="C22" i="15"/>
  <c r="C21" i="15" s="1"/>
  <c r="D33" i="15"/>
  <c r="D32" i="15" s="1"/>
  <c r="C33" i="16"/>
  <c r="B29" i="73" s="1"/>
  <c r="C22" i="16"/>
  <c r="C21" i="16" s="1"/>
  <c r="C23" i="16"/>
  <c r="D33" i="16"/>
  <c r="D29" i="27" s="1"/>
  <c r="C33" i="17"/>
  <c r="B31" i="27" s="1"/>
  <c r="C22" i="17"/>
  <c r="C21" i="17" s="1"/>
  <c r="D33" i="17"/>
  <c r="D31" i="73" s="1"/>
  <c r="C33" i="18"/>
  <c r="C96" i="18" s="1"/>
  <c r="C22" i="18"/>
  <c r="C21" i="18" s="1"/>
  <c r="D33" i="18"/>
  <c r="C33" i="19"/>
  <c r="B35" i="73" s="1"/>
  <c r="C22" i="19"/>
  <c r="C23" i="19" s="1"/>
  <c r="D33" i="19"/>
  <c r="D35" i="73" s="1"/>
  <c r="C33" i="21"/>
  <c r="C32" i="21" s="1"/>
  <c r="C22" i="21"/>
  <c r="C21" i="21" s="1"/>
  <c r="D33" i="21"/>
  <c r="D39" i="73" s="1"/>
  <c r="C63" i="10"/>
  <c r="C62" i="10" s="1"/>
  <c r="C74" i="10"/>
  <c r="C73" i="10" s="1"/>
  <c r="D74" i="10"/>
  <c r="D20" i="73" s="1"/>
  <c r="C64" i="12"/>
  <c r="C63" i="12" s="1"/>
  <c r="C76" i="12"/>
  <c r="B22" i="73" s="1"/>
  <c r="D76" i="12"/>
  <c r="C63" i="13"/>
  <c r="C75" i="13"/>
  <c r="B24" i="73" s="1"/>
  <c r="D75" i="13"/>
  <c r="D24" i="73" s="1"/>
  <c r="C63" i="14"/>
  <c r="C64" i="14" s="1"/>
  <c r="C74" i="14"/>
  <c r="D74" i="14"/>
  <c r="D73" i="14" s="1"/>
  <c r="C62" i="15"/>
  <c r="C61" i="15" s="1"/>
  <c r="C73" i="15"/>
  <c r="B28" i="73" s="1"/>
  <c r="D73" i="15"/>
  <c r="D28" i="73" s="1"/>
  <c r="C62" i="16"/>
  <c r="C61" i="16" s="1"/>
  <c r="C74" i="16"/>
  <c r="D74" i="16"/>
  <c r="D30" i="73" s="1"/>
  <c r="C62" i="17"/>
  <c r="C63" i="17" s="1"/>
  <c r="C73" i="17"/>
  <c r="B32" i="73" s="1"/>
  <c r="D73" i="17"/>
  <c r="D32" i="27" s="1"/>
  <c r="C62" i="18"/>
  <c r="C63" i="18" s="1"/>
  <c r="C73" i="18"/>
  <c r="G64" i="18" s="1"/>
  <c r="D73" i="18"/>
  <c r="D72" i="18" s="1"/>
  <c r="C62" i="19"/>
  <c r="C63" i="19" s="1"/>
  <c r="C74" i="19"/>
  <c r="B36" i="27" s="1"/>
  <c r="D74" i="19"/>
  <c r="D36" i="27" s="1"/>
  <c r="C62" i="21"/>
  <c r="C61" i="21" s="1"/>
  <c r="C74" i="21"/>
  <c r="B40" i="73" s="1"/>
  <c r="D74" i="21"/>
  <c r="D40" i="73" s="1"/>
  <c r="E1" i="8"/>
  <c r="C112" i="8" s="1"/>
  <c r="D44" i="12"/>
  <c r="C44" i="12"/>
  <c r="D43" i="13"/>
  <c r="C43" i="13"/>
  <c r="D43" i="14"/>
  <c r="C43" i="14"/>
  <c r="D42" i="15"/>
  <c r="C42" i="15"/>
  <c r="D42" i="16"/>
  <c r="C42" i="16"/>
  <c r="D42" i="17"/>
  <c r="C42" i="17"/>
  <c r="D42" i="18"/>
  <c r="C42" i="18"/>
  <c r="D42" i="19"/>
  <c r="C42" i="19"/>
  <c r="E1" i="44"/>
  <c r="G77" i="44" s="1"/>
  <c r="C29" i="42"/>
  <c r="C28" i="42" s="1"/>
  <c r="C52" i="42"/>
  <c r="G41" i="42" s="1"/>
  <c r="C48" i="8"/>
  <c r="C47" i="8" s="1"/>
  <c r="E52" i="8"/>
  <c r="E1" i="42"/>
  <c r="H37" i="42" s="1"/>
  <c r="E1" i="10"/>
  <c r="E1" i="12"/>
  <c r="G14" i="12" s="1"/>
  <c r="E1" i="13"/>
  <c r="E1" i="14"/>
  <c r="E1" i="15"/>
  <c r="H62" i="15" s="1"/>
  <c r="E1" i="16"/>
  <c r="G13" i="16" s="1"/>
  <c r="E1" i="17"/>
  <c r="E5" i="17" s="1"/>
  <c r="E43" i="17" s="1"/>
  <c r="E1" i="18"/>
  <c r="H17" i="18" s="1"/>
  <c r="E1" i="19"/>
  <c r="C40" i="19" s="1"/>
  <c r="E1" i="21"/>
  <c r="H60" i="21" s="1"/>
  <c r="B1" i="21"/>
  <c r="B1" i="19"/>
  <c r="B1" i="18"/>
  <c r="B1" i="17"/>
  <c r="B1" i="16"/>
  <c r="B1" i="15"/>
  <c r="B1" i="14"/>
  <c r="B1" i="13"/>
  <c r="B1" i="12"/>
  <c r="B1" i="10"/>
  <c r="A1" i="11"/>
  <c r="B1" i="44"/>
  <c r="B59" i="44"/>
  <c r="B1" i="42"/>
  <c r="A240" i="9"/>
  <c r="A179" i="9"/>
  <c r="A119" i="9"/>
  <c r="A61" i="9"/>
  <c r="A1" i="9"/>
  <c r="B1" i="8"/>
  <c r="B52" i="8"/>
  <c r="E1" i="22"/>
  <c r="B58" i="22" s="1"/>
  <c r="E1" i="23"/>
  <c r="E1" i="24"/>
  <c r="E1" i="25"/>
  <c r="B29" i="25" s="1"/>
  <c r="E1" i="26"/>
  <c r="B29" i="26" s="1"/>
  <c r="E1" i="36"/>
  <c r="E1" i="35"/>
  <c r="B29" i="35" s="1"/>
  <c r="E1" i="37"/>
  <c r="B1" i="22"/>
  <c r="B1" i="23"/>
  <c r="B1" i="24"/>
  <c r="B1" i="25"/>
  <c r="B1" i="26"/>
  <c r="B1" i="36"/>
  <c r="B1" i="35"/>
  <c r="B1" i="37"/>
  <c r="C59" i="35"/>
  <c r="D59" i="35"/>
  <c r="C29" i="35"/>
  <c r="D29" i="35"/>
  <c r="C59" i="36"/>
  <c r="D59" i="36"/>
  <c r="C29" i="36"/>
  <c r="C59" i="26"/>
  <c r="C60" i="26" s="1"/>
  <c r="D59" i="26"/>
  <c r="C29" i="26"/>
  <c r="C30" i="26"/>
  <c r="D29" i="26"/>
  <c r="C58" i="25"/>
  <c r="D58" i="25"/>
  <c r="C29" i="25"/>
  <c r="D29" i="25"/>
  <c r="C58" i="24"/>
  <c r="D58" i="24"/>
  <c r="C29" i="24"/>
  <c r="D29" i="24"/>
  <c r="C59" i="23"/>
  <c r="D59" i="23"/>
  <c r="C29" i="23"/>
  <c r="D29" i="23"/>
  <c r="D29" i="22"/>
  <c r="C29" i="22"/>
  <c r="D58" i="22"/>
  <c r="C58" i="22"/>
  <c r="C56" i="22"/>
  <c r="B42" i="73" s="1"/>
  <c r="C44" i="22"/>
  <c r="D56" i="22"/>
  <c r="D42" i="73" s="1"/>
  <c r="D44" i="22"/>
  <c r="D43" i="22" s="1"/>
  <c r="E44" i="22"/>
  <c r="E43" i="22" s="1"/>
  <c r="E56" i="22"/>
  <c r="F42" i="73" s="1"/>
  <c r="C57" i="23"/>
  <c r="B44" i="73" s="1"/>
  <c r="C44" i="23"/>
  <c r="C43" i="23"/>
  <c r="D57" i="23"/>
  <c r="D44" i="73" s="1"/>
  <c r="D44" i="23"/>
  <c r="D43" i="23" s="1"/>
  <c r="E44" i="23"/>
  <c r="E57" i="23"/>
  <c r="E59" i="23" s="1"/>
  <c r="C44" i="24"/>
  <c r="C45" i="24" s="1"/>
  <c r="C56" i="24"/>
  <c r="D56" i="24"/>
  <c r="D46" i="73" s="1"/>
  <c r="D44" i="24"/>
  <c r="D43" i="24" s="1"/>
  <c r="E44" i="24"/>
  <c r="E43" i="24" s="1"/>
  <c r="E56" i="24"/>
  <c r="F46" i="73" s="1"/>
  <c r="C56" i="25"/>
  <c r="C44" i="25"/>
  <c r="C45" i="25" s="1"/>
  <c r="C57" i="25" s="1"/>
  <c r="D56" i="25"/>
  <c r="D48" i="73" s="1"/>
  <c r="D44" i="25"/>
  <c r="D43" i="25" s="1"/>
  <c r="E44" i="25"/>
  <c r="E43" i="25" s="1"/>
  <c r="E56" i="25"/>
  <c r="F48" i="73" s="1"/>
  <c r="C44" i="26"/>
  <c r="C57" i="26"/>
  <c r="B50" i="73" s="1"/>
  <c r="D57" i="26"/>
  <c r="D50" i="73" s="1"/>
  <c r="D44" i="26"/>
  <c r="D43" i="26" s="1"/>
  <c r="E44" i="26"/>
  <c r="E43" i="26"/>
  <c r="E57" i="26"/>
  <c r="F50" i="73" s="1"/>
  <c r="E56" i="26"/>
  <c r="C44" i="36"/>
  <c r="C45" i="36"/>
  <c r="C58" i="36" s="1"/>
  <c r="C63" i="36" s="1"/>
  <c r="C57" i="36"/>
  <c r="B52" i="73" s="1"/>
  <c r="D57" i="36"/>
  <c r="D52" i="73" s="1"/>
  <c r="D44" i="36"/>
  <c r="D43" i="36" s="1"/>
  <c r="E44" i="36"/>
  <c r="E57" i="36"/>
  <c r="F52" i="73" s="1"/>
  <c r="C44" i="35"/>
  <c r="C57" i="35"/>
  <c r="B54" i="73" s="1"/>
  <c r="D57" i="35"/>
  <c r="D44" i="35"/>
  <c r="D43" i="35" s="1"/>
  <c r="E44" i="35"/>
  <c r="E43" i="35" s="1"/>
  <c r="E57" i="35"/>
  <c r="F54" i="73" s="1"/>
  <c r="C57" i="37"/>
  <c r="B56" i="73" s="1"/>
  <c r="C44" i="37"/>
  <c r="D44" i="37"/>
  <c r="D43" i="37" s="1"/>
  <c r="D57" i="37"/>
  <c r="D56" i="73" s="1"/>
  <c r="D56" i="37"/>
  <c r="E44" i="37"/>
  <c r="E43" i="37" s="1"/>
  <c r="E57" i="37"/>
  <c r="F56" i="73" s="1"/>
  <c r="D59" i="37"/>
  <c r="C59" i="37"/>
  <c r="C27" i="22"/>
  <c r="B41" i="73" s="1"/>
  <c r="C15" i="22"/>
  <c r="D27" i="22"/>
  <c r="D15" i="22"/>
  <c r="E15" i="22"/>
  <c r="E14" i="22" s="1"/>
  <c r="E27" i="22"/>
  <c r="F41" i="73" s="1"/>
  <c r="C27" i="23"/>
  <c r="C30" i="23" s="1"/>
  <c r="D27" i="23"/>
  <c r="E27" i="23"/>
  <c r="F43" i="73" s="1"/>
  <c r="D47" i="3"/>
  <c r="C27" i="24"/>
  <c r="B45" i="73" s="1"/>
  <c r="C15" i="24"/>
  <c r="D27" i="24"/>
  <c r="D15" i="24"/>
  <c r="D14" i="24" s="1"/>
  <c r="E15" i="24"/>
  <c r="E14" i="24" s="1"/>
  <c r="E27" i="24"/>
  <c r="F45" i="73" s="1"/>
  <c r="C27" i="25"/>
  <c r="B47" i="73" s="1"/>
  <c r="D27" i="25"/>
  <c r="D47" i="73" s="1"/>
  <c r="E27" i="25"/>
  <c r="E29" i="25" s="1"/>
  <c r="C27" i="26"/>
  <c r="C15" i="26"/>
  <c r="C16" i="26" s="1"/>
  <c r="C28" i="26" s="1"/>
  <c r="D27" i="26"/>
  <c r="D15" i="26"/>
  <c r="E15" i="26"/>
  <c r="E14" i="26" s="1"/>
  <c r="E27" i="26"/>
  <c r="F49" i="73" s="1"/>
  <c r="C27" i="36"/>
  <c r="C15" i="36"/>
  <c r="C16" i="36"/>
  <c r="D27" i="36"/>
  <c r="D51" i="73" s="1"/>
  <c r="D15" i="36"/>
  <c r="E15" i="36"/>
  <c r="E14" i="36"/>
  <c r="E27" i="36"/>
  <c r="F51" i="73" s="1"/>
  <c r="C27" i="35"/>
  <c r="B53" i="73" s="1"/>
  <c r="C15" i="35"/>
  <c r="D27" i="35"/>
  <c r="D15" i="35"/>
  <c r="E15" i="35"/>
  <c r="E14" i="35" s="1"/>
  <c r="E27" i="35"/>
  <c r="F53" i="73" s="1"/>
  <c r="C27" i="37"/>
  <c r="B55" i="73" s="1"/>
  <c r="C15" i="37"/>
  <c r="D15" i="37"/>
  <c r="D14" i="37" s="1"/>
  <c r="D27" i="37"/>
  <c r="D55" i="73" s="1"/>
  <c r="E15" i="37"/>
  <c r="E27" i="37"/>
  <c r="F55" i="73" s="1"/>
  <c r="C29" i="37"/>
  <c r="D29" i="37"/>
  <c r="A1" i="49"/>
  <c r="A1" i="38"/>
  <c r="A1" i="4"/>
  <c r="A6" i="3"/>
  <c r="A4" i="3"/>
  <c r="A89" i="2"/>
  <c r="D60" i="2"/>
  <c r="A60" i="2"/>
  <c r="A42" i="2"/>
  <c r="D15" i="2"/>
  <c r="F1" i="49"/>
  <c r="A43" i="49" s="1"/>
  <c r="J28" i="48"/>
  <c r="J17" i="48"/>
  <c r="J18" i="48"/>
  <c r="J29" i="48" s="1"/>
  <c r="J30" i="48" s="1"/>
  <c r="H28" i="48"/>
  <c r="H17" i="48"/>
  <c r="H18" i="48" s="1"/>
  <c r="H29" i="48" s="1"/>
  <c r="H30" i="48" s="1"/>
  <c r="F17" i="48"/>
  <c r="F28" i="48"/>
  <c r="D17" i="48"/>
  <c r="D18" i="48" s="1"/>
  <c r="D29" i="48" s="1"/>
  <c r="D28" i="48"/>
  <c r="K28" i="48" s="1"/>
  <c r="B17" i="48"/>
  <c r="B18" i="48" s="1"/>
  <c r="B29" i="48" s="1"/>
  <c r="B30" i="48" s="1"/>
  <c r="B28" i="48"/>
  <c r="J17" i="47"/>
  <c r="J18" i="47" s="1"/>
  <c r="J29" i="47" s="1"/>
  <c r="J30" i="47" s="1"/>
  <c r="J28" i="47"/>
  <c r="H28" i="47"/>
  <c r="H17" i="47"/>
  <c r="F17" i="47"/>
  <c r="F18" i="47" s="1"/>
  <c r="F29" i="47" s="1"/>
  <c r="F30" i="47" s="1"/>
  <c r="F28" i="47"/>
  <c r="D17" i="47"/>
  <c r="D18" i="47"/>
  <c r="D28" i="47"/>
  <c r="B17" i="47"/>
  <c r="B18" i="47" s="1"/>
  <c r="B29" i="47" s="1"/>
  <c r="B30" i="47" s="1"/>
  <c r="B28" i="47"/>
  <c r="K28" i="47" s="1"/>
  <c r="J17" i="46"/>
  <c r="J18" i="46" s="1"/>
  <c r="J28" i="46"/>
  <c r="H17" i="46"/>
  <c r="H18" i="46"/>
  <c r="H28" i="46"/>
  <c r="F17" i="46"/>
  <c r="F18" i="46" s="1"/>
  <c r="F29" i="46" s="1"/>
  <c r="F28" i="46"/>
  <c r="D17" i="46"/>
  <c r="D18" i="46" s="1"/>
  <c r="D29" i="46" s="1"/>
  <c r="D30" i="46" s="1"/>
  <c r="D28" i="46"/>
  <c r="B17" i="46"/>
  <c r="B18" i="46" s="1"/>
  <c r="B28" i="46"/>
  <c r="J17" i="45"/>
  <c r="J18" i="45" s="1"/>
  <c r="J28" i="45"/>
  <c r="J29" i="45" s="1"/>
  <c r="J30" i="45" s="1"/>
  <c r="H17" i="45"/>
  <c r="H18" i="45" s="1"/>
  <c r="H29" i="45" s="1"/>
  <c r="H30" i="45" s="1"/>
  <c r="H28" i="45"/>
  <c r="F17" i="45"/>
  <c r="F18" i="45" s="1"/>
  <c r="F28" i="45"/>
  <c r="D17" i="45"/>
  <c r="D28" i="45"/>
  <c r="B28" i="45"/>
  <c r="B17" i="45"/>
  <c r="B18" i="45" s="1"/>
  <c r="F15" i="2"/>
  <c r="E15" i="2"/>
  <c r="H16" i="2" s="1"/>
  <c r="E42" i="2"/>
  <c r="D65" i="73" s="1"/>
  <c r="B31" i="38"/>
  <c r="B7" i="38"/>
  <c r="B8" i="38"/>
  <c r="B9" i="38"/>
  <c r="B10" i="38"/>
  <c r="B11" i="38"/>
  <c r="B12" i="38"/>
  <c r="B13" i="38"/>
  <c r="B14" i="38"/>
  <c r="B15" i="38"/>
  <c r="B16" i="38"/>
  <c r="B17" i="38"/>
  <c r="B18" i="38"/>
  <c r="B19" i="38"/>
  <c r="B20" i="38"/>
  <c r="B21" i="38"/>
  <c r="B22" i="38"/>
  <c r="B23" i="38"/>
  <c r="B24" i="38"/>
  <c r="B25" i="38"/>
  <c r="B26" i="38"/>
  <c r="B27" i="38"/>
  <c r="B28" i="38"/>
  <c r="B29" i="38"/>
  <c r="B30" i="38"/>
  <c r="K1" i="48"/>
  <c r="F2" i="48" s="1"/>
  <c r="K1" i="47"/>
  <c r="F2" i="47" s="1"/>
  <c r="K1" i="46"/>
  <c r="F2" i="46" s="1"/>
  <c r="K1" i="45"/>
  <c r="F2" i="45" s="1"/>
  <c r="E1" i="43"/>
  <c r="A12" i="43" s="1"/>
  <c r="E37" i="4"/>
  <c r="D37" i="4"/>
  <c r="D30" i="49"/>
  <c r="E30" i="49"/>
  <c r="D29" i="49"/>
  <c r="E29" i="49"/>
  <c r="D28" i="49"/>
  <c r="E28" i="49"/>
  <c r="E59" i="20" s="1"/>
  <c r="D27" i="49"/>
  <c r="E33" i="20"/>
  <c r="F37" i="73" s="1"/>
  <c r="D26" i="49"/>
  <c r="E26" i="49"/>
  <c r="E59" i="19" s="1"/>
  <c r="D25" i="49"/>
  <c r="E25" i="49"/>
  <c r="E19" i="19" s="1"/>
  <c r="D24" i="49"/>
  <c r="D23" i="49"/>
  <c r="E33" i="18"/>
  <c r="F33" i="73" s="1"/>
  <c r="D22" i="49"/>
  <c r="E22" i="49"/>
  <c r="E59" i="17" s="1"/>
  <c r="D21" i="49"/>
  <c r="E21" i="49"/>
  <c r="E19" i="17" s="1"/>
  <c r="D20" i="49"/>
  <c r="E20" i="49"/>
  <c r="D19" i="49"/>
  <c r="D18" i="49"/>
  <c r="E18" i="49"/>
  <c r="E59" i="15" s="1"/>
  <c r="E73" i="15"/>
  <c r="F28" i="73" s="1"/>
  <c r="D17" i="49"/>
  <c r="D16" i="49"/>
  <c r="D15" i="49"/>
  <c r="D14" i="49"/>
  <c r="E14" i="49"/>
  <c r="E60" i="13" s="1"/>
  <c r="E75" i="13"/>
  <c r="F24" i="73" s="1"/>
  <c r="D13" i="49"/>
  <c r="E13" i="49"/>
  <c r="E19" i="13" s="1"/>
  <c r="E34" i="13"/>
  <c r="F23" i="73" s="1"/>
  <c r="D12" i="49"/>
  <c r="E12" i="49"/>
  <c r="E61" i="12" s="1"/>
  <c r="E76" i="12"/>
  <c r="F22" i="73" s="1"/>
  <c r="D11" i="49"/>
  <c r="D10" i="49"/>
  <c r="E10" i="49"/>
  <c r="E60" i="10" s="1"/>
  <c r="E74" i="10"/>
  <c r="E73" i="10" s="1"/>
  <c r="D9" i="49"/>
  <c r="E35" i="10"/>
  <c r="F19" i="73" s="1"/>
  <c r="D8" i="49"/>
  <c r="D7" i="49"/>
  <c r="E52" i="42"/>
  <c r="D21" i="3" s="1"/>
  <c r="D6" i="49"/>
  <c r="E6" i="49"/>
  <c r="E45" i="8" s="1"/>
  <c r="D38" i="49"/>
  <c r="D40" i="49" s="1"/>
  <c r="C22" i="3"/>
  <c r="D89" i="8"/>
  <c r="C12" i="11"/>
  <c r="D66" i="44" s="1"/>
  <c r="C18" i="11"/>
  <c r="D46" i="27"/>
  <c r="D51" i="27"/>
  <c r="D53" i="27"/>
  <c r="B13" i="9"/>
  <c r="C59" i="8" s="1"/>
  <c r="C89" i="8"/>
  <c r="B12" i="11"/>
  <c r="C66" i="44" s="1"/>
  <c r="B18" i="11"/>
  <c r="C67" i="44" s="1"/>
  <c r="B47" i="11"/>
  <c r="C116" i="44"/>
  <c r="C21" i="3"/>
  <c r="D34" i="38"/>
  <c r="E36" i="38"/>
  <c r="F38" i="38"/>
  <c r="E15" i="8"/>
  <c r="E89" i="8"/>
  <c r="D12" i="11"/>
  <c r="D18" i="11"/>
  <c r="E67" i="44" s="1"/>
  <c r="B6" i="49"/>
  <c r="B7" i="49"/>
  <c r="B8" i="49"/>
  <c r="B9" i="49"/>
  <c r="B10" i="49"/>
  <c r="B11" i="49"/>
  <c r="B12" i="49"/>
  <c r="B13" i="49"/>
  <c r="B14" i="49"/>
  <c r="B15" i="49"/>
  <c r="B16" i="49"/>
  <c r="B17" i="49"/>
  <c r="B18" i="49"/>
  <c r="B19" i="49"/>
  <c r="B20" i="49"/>
  <c r="B21" i="49"/>
  <c r="B22" i="49"/>
  <c r="B23" i="49"/>
  <c r="B24" i="49"/>
  <c r="B25" i="49"/>
  <c r="B26" i="49"/>
  <c r="B27" i="49"/>
  <c r="B28" i="49"/>
  <c r="B29" i="49"/>
  <c r="B30" i="49"/>
  <c r="C31" i="49"/>
  <c r="J1" i="28"/>
  <c r="F5" i="28" s="1"/>
  <c r="J43" i="27"/>
  <c r="A16" i="27"/>
  <c r="E16" i="27"/>
  <c r="G104" i="8" s="1"/>
  <c r="F66" i="27"/>
  <c r="M64" i="27" s="1"/>
  <c r="A17" i="27"/>
  <c r="C17" i="27"/>
  <c r="E17" i="27"/>
  <c r="G47" i="42" s="1"/>
  <c r="A18" i="27"/>
  <c r="C18" i="27"/>
  <c r="E18" i="27"/>
  <c r="G97" i="44" s="1"/>
  <c r="A19" i="27"/>
  <c r="C19" i="27"/>
  <c r="E19" i="27"/>
  <c r="G30" i="10" s="1"/>
  <c r="A20" i="27"/>
  <c r="C20" i="27"/>
  <c r="E20" i="27"/>
  <c r="G70" i="10" s="1"/>
  <c r="A21" i="27"/>
  <c r="C21" i="27"/>
  <c r="E21" i="27"/>
  <c r="G30" i="12" s="1"/>
  <c r="A22" i="27"/>
  <c r="C22" i="27"/>
  <c r="E22" i="27"/>
  <c r="G72" i="12" s="1"/>
  <c r="A23" i="27"/>
  <c r="C23" i="27"/>
  <c r="E23" i="27"/>
  <c r="G29" i="13" s="1"/>
  <c r="A24" i="27"/>
  <c r="C24" i="27"/>
  <c r="E24" i="27"/>
  <c r="G71" i="13" s="1"/>
  <c r="A25" i="27"/>
  <c r="C25" i="27"/>
  <c r="E25" i="27"/>
  <c r="G30" i="14" s="1"/>
  <c r="A26" i="27"/>
  <c r="C26" i="27"/>
  <c r="E26" i="27"/>
  <c r="G70" i="14" s="1"/>
  <c r="A27" i="27"/>
  <c r="C27" i="27"/>
  <c r="E27" i="27"/>
  <c r="G28" i="15" s="1"/>
  <c r="A28" i="27"/>
  <c r="C28" i="27"/>
  <c r="E28" i="27"/>
  <c r="G70" i="15" s="1"/>
  <c r="A29" i="27"/>
  <c r="C29" i="27"/>
  <c r="E29" i="27"/>
  <c r="G29" i="16" s="1"/>
  <c r="A30" i="27"/>
  <c r="C30" i="27"/>
  <c r="E30" i="27"/>
  <c r="G71" i="16" s="1"/>
  <c r="A31" i="27"/>
  <c r="C31" i="27"/>
  <c r="E31" i="27"/>
  <c r="G29" i="17" s="1"/>
  <c r="A32" i="27"/>
  <c r="C32" i="27"/>
  <c r="E32" i="27"/>
  <c r="G69" i="17" s="1"/>
  <c r="A33" i="27"/>
  <c r="C33" i="27"/>
  <c r="E33" i="27"/>
  <c r="G28" i="18" s="1"/>
  <c r="A34" i="27"/>
  <c r="C34" i="27"/>
  <c r="E34" i="27"/>
  <c r="G70" i="18" s="1"/>
  <c r="A35" i="27"/>
  <c r="C35" i="27"/>
  <c r="E35" i="27"/>
  <c r="G30" i="19" s="1"/>
  <c r="A36" i="27"/>
  <c r="C36" i="27"/>
  <c r="E36" i="27"/>
  <c r="G70" i="19" s="1"/>
  <c r="A37" i="27"/>
  <c r="C37" i="27"/>
  <c r="E37" i="27"/>
  <c r="G29" i="20" s="1"/>
  <c r="A38" i="27"/>
  <c r="C38" i="27"/>
  <c r="E38" i="27"/>
  <c r="G71" i="20" s="1"/>
  <c r="A39" i="27"/>
  <c r="C39" i="27"/>
  <c r="E39" i="27"/>
  <c r="G29" i="21" s="1"/>
  <c r="A40" i="27"/>
  <c r="C40" i="27"/>
  <c r="E40" i="27"/>
  <c r="G71" i="21" s="1"/>
  <c r="A41" i="27"/>
  <c r="A42" i="27"/>
  <c r="A43" i="27"/>
  <c r="A44" i="27"/>
  <c r="A45" i="27"/>
  <c r="A46" i="27"/>
  <c r="A47" i="27"/>
  <c r="A48" i="27"/>
  <c r="A49" i="27"/>
  <c r="A50" i="27"/>
  <c r="A51" i="27"/>
  <c r="A52" i="27"/>
  <c r="F52" i="27"/>
  <c r="A53" i="27"/>
  <c r="A54" i="27"/>
  <c r="A55" i="27"/>
  <c r="A56" i="27"/>
  <c r="F56" i="27"/>
  <c r="A57" i="27"/>
  <c r="A58" i="27"/>
  <c r="A59" i="27"/>
  <c r="A60" i="27"/>
  <c r="C25" i="6"/>
  <c r="C27" i="6" s="1"/>
  <c r="D25" i="6"/>
  <c r="D27" i="6" s="1"/>
  <c r="E25" i="6"/>
  <c r="E27" i="6" s="1"/>
  <c r="B65" i="27"/>
  <c r="B66" i="27"/>
  <c r="D66" i="27"/>
  <c r="B70" i="27"/>
  <c r="D70" i="27"/>
  <c r="F19" i="29"/>
  <c r="B71" i="27"/>
  <c r="D71" i="27"/>
  <c r="F27" i="29"/>
  <c r="B72" i="27"/>
  <c r="D72" i="27"/>
  <c r="F36" i="29"/>
  <c r="B73" i="27"/>
  <c r="D73" i="27"/>
  <c r="F37" i="30"/>
  <c r="A5" i="48"/>
  <c r="C5" i="48"/>
  <c r="E5" i="48"/>
  <c r="G5" i="48"/>
  <c r="I5" i="48"/>
  <c r="K7" i="48"/>
  <c r="A5" i="47"/>
  <c r="C5" i="47"/>
  <c r="E5" i="47"/>
  <c r="G5" i="47"/>
  <c r="I5" i="47"/>
  <c r="K7" i="47"/>
  <c r="A5" i="46"/>
  <c r="C5" i="46"/>
  <c r="E5" i="46"/>
  <c r="G5" i="46"/>
  <c r="I5" i="46"/>
  <c r="K7" i="46"/>
  <c r="A5" i="45"/>
  <c r="C5" i="45"/>
  <c r="E5" i="45"/>
  <c r="G5" i="45"/>
  <c r="I5" i="45"/>
  <c r="K7" i="45"/>
  <c r="C5" i="37"/>
  <c r="C34" i="37" s="1"/>
  <c r="D5" i="37"/>
  <c r="D34" i="37" s="1"/>
  <c r="E5" i="37"/>
  <c r="E34" i="37" s="1"/>
  <c r="B6" i="37"/>
  <c r="B35" i="37"/>
  <c r="C5" i="35"/>
  <c r="C34" i="35" s="1"/>
  <c r="D5" i="35"/>
  <c r="D34" i="35" s="1"/>
  <c r="E5" i="35"/>
  <c r="E34" i="35" s="1"/>
  <c r="B6" i="35"/>
  <c r="D14" i="35"/>
  <c r="B35" i="35"/>
  <c r="C5" i="36"/>
  <c r="C34" i="36" s="1"/>
  <c r="D5" i="36"/>
  <c r="D34" i="36" s="1"/>
  <c r="E5" i="36"/>
  <c r="E34" i="36" s="1"/>
  <c r="B6" i="36"/>
  <c r="B35" i="36"/>
  <c r="E43" i="36"/>
  <c r="C5" i="26"/>
  <c r="C34" i="26" s="1"/>
  <c r="D5" i="26"/>
  <c r="D34" i="26" s="1"/>
  <c r="E5" i="26"/>
  <c r="E34" i="26" s="1"/>
  <c r="B6" i="26"/>
  <c r="C14" i="26"/>
  <c r="B35" i="26"/>
  <c r="C56" i="26"/>
  <c r="C5" i="25"/>
  <c r="C34" i="25" s="1"/>
  <c r="D5" i="25"/>
  <c r="D34" i="25" s="1"/>
  <c r="E5" i="25"/>
  <c r="E34" i="25" s="1"/>
  <c r="B6" i="25"/>
  <c r="C15" i="25"/>
  <c r="C16" i="25" s="1"/>
  <c r="C28" i="25" s="1"/>
  <c r="D7" i="25" s="1"/>
  <c r="D16" i="25" s="1"/>
  <c r="D28" i="25" s="1"/>
  <c r="D15" i="25"/>
  <c r="E15" i="25"/>
  <c r="E14" i="25" s="1"/>
  <c r="B35" i="25"/>
  <c r="C5" i="24"/>
  <c r="C34" i="24" s="1"/>
  <c r="D5" i="24"/>
  <c r="D34" i="24"/>
  <c r="E5" i="24"/>
  <c r="E34" i="24" s="1"/>
  <c r="B6" i="24"/>
  <c r="C26" i="24"/>
  <c r="B35" i="24"/>
  <c r="C43" i="24"/>
  <c r="C5" i="23"/>
  <c r="C34" i="23" s="1"/>
  <c r="D5" i="23"/>
  <c r="D34" i="23" s="1"/>
  <c r="E5" i="23"/>
  <c r="E34" i="23" s="1"/>
  <c r="B6" i="23"/>
  <c r="C15" i="23"/>
  <c r="D15" i="23"/>
  <c r="D14" i="23" s="1"/>
  <c r="E15" i="23"/>
  <c r="E14" i="23" s="1"/>
  <c r="B35" i="23"/>
  <c r="E43" i="23"/>
  <c r="C56" i="23"/>
  <c r="D56" i="23"/>
  <c r="C5" i="22"/>
  <c r="C34" i="22" s="1"/>
  <c r="D5" i="22"/>
  <c r="D34" i="22" s="1"/>
  <c r="E5" i="22"/>
  <c r="E34" i="22"/>
  <c r="B6" i="22"/>
  <c r="D14" i="22"/>
  <c r="B35" i="22"/>
  <c r="C42" i="21"/>
  <c r="D42" i="21"/>
  <c r="E42" i="21"/>
  <c r="B5" i="21"/>
  <c r="B43" i="21"/>
  <c r="E42" i="19"/>
  <c r="B5" i="19"/>
  <c r="B43" i="19"/>
  <c r="E42" i="18"/>
  <c r="B5" i="18"/>
  <c r="B43" i="18"/>
  <c r="E42" i="17"/>
  <c r="B5" i="17"/>
  <c r="B43" i="17"/>
  <c r="E42" i="16"/>
  <c r="B5" i="16"/>
  <c r="B43" i="16"/>
  <c r="E42" i="15"/>
  <c r="B5" i="15"/>
  <c r="B43" i="15"/>
  <c r="E43" i="14"/>
  <c r="B5" i="14"/>
  <c r="B44" i="14"/>
  <c r="E43" i="13"/>
  <c r="B5" i="13"/>
  <c r="B44" i="13"/>
  <c r="E44" i="12"/>
  <c r="B5" i="12"/>
  <c r="B45" i="12"/>
  <c r="B5" i="10"/>
  <c r="B45" i="10"/>
  <c r="D1" i="11"/>
  <c r="B24" i="11"/>
  <c r="C68" i="44" s="1"/>
  <c r="C24" i="11"/>
  <c r="D68" i="44" s="1"/>
  <c r="D24" i="11"/>
  <c r="E68" i="44" s="1"/>
  <c r="B30" i="11"/>
  <c r="C69" i="44" s="1"/>
  <c r="C30" i="11"/>
  <c r="D30" i="11"/>
  <c r="E69" i="44" s="1"/>
  <c r="B36" i="11"/>
  <c r="C70" i="44" s="1"/>
  <c r="C36" i="11"/>
  <c r="D70" i="44" s="1"/>
  <c r="D36" i="11"/>
  <c r="E70" i="44" s="1"/>
  <c r="B42" i="11"/>
  <c r="C71" i="44" s="1"/>
  <c r="C42" i="11"/>
  <c r="D71" i="44" s="1"/>
  <c r="D42" i="11"/>
  <c r="E71" i="44" s="1"/>
  <c r="B5" i="44"/>
  <c r="B63" i="44" s="1"/>
  <c r="E59" i="44"/>
  <c r="C63" i="44" s="1"/>
  <c r="B66" i="44"/>
  <c r="B67" i="44"/>
  <c r="B68" i="44"/>
  <c r="B69" i="44"/>
  <c r="B70" i="44"/>
  <c r="B71" i="44"/>
  <c r="B6" i="42"/>
  <c r="D1" i="9"/>
  <c r="C13" i="9"/>
  <c r="D59" i="8" s="1"/>
  <c r="D13" i="9"/>
  <c r="E59" i="8" s="1"/>
  <c r="B19" i="9"/>
  <c r="C60" i="8" s="1"/>
  <c r="C19" i="9"/>
  <c r="D19" i="9"/>
  <c r="E60" i="8" s="1"/>
  <c r="B25" i="9"/>
  <c r="C61" i="8" s="1"/>
  <c r="C25" i="9"/>
  <c r="D61" i="8" s="1"/>
  <c r="D25" i="9"/>
  <c r="E61" i="8" s="1"/>
  <c r="B31" i="9"/>
  <c r="C62" i="8" s="1"/>
  <c r="C31" i="9"/>
  <c r="D62" i="8" s="1"/>
  <c r="D31" i="9"/>
  <c r="E62" i="8"/>
  <c r="B37" i="9"/>
  <c r="C63" i="8" s="1"/>
  <c r="C37" i="9"/>
  <c r="D63" i="8" s="1"/>
  <c r="D37" i="9"/>
  <c r="E63" i="8" s="1"/>
  <c r="B43" i="9"/>
  <c r="C64" i="8" s="1"/>
  <c r="C43" i="9"/>
  <c r="D64" i="8" s="1"/>
  <c r="D43" i="9"/>
  <c r="E64" i="8" s="1"/>
  <c r="B49" i="9"/>
  <c r="C65" i="8" s="1"/>
  <c r="C49" i="9"/>
  <c r="D65" i="8" s="1"/>
  <c r="D49" i="9"/>
  <c r="E65" i="8" s="1"/>
  <c r="B55" i="9"/>
  <c r="C66" i="8"/>
  <c r="C55" i="9"/>
  <c r="D66" i="8" s="1"/>
  <c r="D55" i="9"/>
  <c r="E66" i="8" s="1"/>
  <c r="B72" i="9"/>
  <c r="C72" i="9"/>
  <c r="D67" i="8" s="1"/>
  <c r="D72" i="9"/>
  <c r="E67" i="8" s="1"/>
  <c r="B78" i="9"/>
  <c r="C68" i="8" s="1"/>
  <c r="C78" i="9"/>
  <c r="D68" i="8" s="1"/>
  <c r="D78" i="9"/>
  <c r="E68" i="8" s="1"/>
  <c r="B84" i="9"/>
  <c r="C69" i="8" s="1"/>
  <c r="C84" i="9"/>
  <c r="D69" i="8" s="1"/>
  <c r="D84" i="9"/>
  <c r="E69" i="8" s="1"/>
  <c r="B90" i="9"/>
  <c r="C70" i="8" s="1"/>
  <c r="C90" i="9"/>
  <c r="D70" i="8" s="1"/>
  <c r="D90" i="9"/>
  <c r="E70" i="8" s="1"/>
  <c r="B96" i="9"/>
  <c r="C71" i="8" s="1"/>
  <c r="C96" i="9"/>
  <c r="D71" i="8" s="1"/>
  <c r="D96" i="9"/>
  <c r="E71" i="8" s="1"/>
  <c r="B102" i="9"/>
  <c r="C72" i="8" s="1"/>
  <c r="C102" i="9"/>
  <c r="D72" i="8" s="1"/>
  <c r="D102" i="9"/>
  <c r="E72" i="8" s="1"/>
  <c r="B108" i="9"/>
  <c r="C73" i="8" s="1"/>
  <c r="C108" i="9"/>
  <c r="D73" i="8"/>
  <c r="D108" i="9"/>
  <c r="E73" i="8"/>
  <c r="B114" i="9"/>
  <c r="C74" i="8" s="1"/>
  <c r="C114" i="9"/>
  <c r="D74" i="8" s="1"/>
  <c r="D114" i="9"/>
  <c r="E74" i="8" s="1"/>
  <c r="B132" i="9"/>
  <c r="C75" i="8" s="1"/>
  <c r="C132" i="9"/>
  <c r="D75" i="8" s="1"/>
  <c r="D132" i="9"/>
  <c r="E75" i="8" s="1"/>
  <c r="B138" i="9"/>
  <c r="C76" i="8" s="1"/>
  <c r="C138" i="9"/>
  <c r="D76" i="8" s="1"/>
  <c r="D138" i="9"/>
  <c r="E76" i="8" s="1"/>
  <c r="B144" i="9"/>
  <c r="C77" i="8" s="1"/>
  <c r="C144" i="9"/>
  <c r="D144" i="9"/>
  <c r="E77" i="8" s="1"/>
  <c r="B150" i="9"/>
  <c r="C78" i="8" s="1"/>
  <c r="C150" i="9"/>
  <c r="D78" i="8" s="1"/>
  <c r="D150" i="9"/>
  <c r="E78" i="8" s="1"/>
  <c r="B156" i="9"/>
  <c r="C79" i="8" s="1"/>
  <c r="C156" i="9"/>
  <c r="D79" i="8"/>
  <c r="D156" i="9"/>
  <c r="E79" i="8" s="1"/>
  <c r="B162" i="9"/>
  <c r="C80" i="8" s="1"/>
  <c r="C162" i="9"/>
  <c r="D80" i="8" s="1"/>
  <c r="D162" i="9"/>
  <c r="E80" i="8" s="1"/>
  <c r="B168" i="9"/>
  <c r="C81" i="8"/>
  <c r="C168" i="9"/>
  <c r="D81" i="8" s="1"/>
  <c r="D168" i="9"/>
  <c r="E81" i="8" s="1"/>
  <c r="B174" i="9"/>
  <c r="C82" i="8" s="1"/>
  <c r="C174" i="9"/>
  <c r="D82" i="8" s="1"/>
  <c r="D174" i="9"/>
  <c r="E82" i="8" s="1"/>
  <c r="B190" i="9"/>
  <c r="C190" i="9"/>
  <c r="D83" i="8" s="1"/>
  <c r="D190" i="9"/>
  <c r="B196" i="9"/>
  <c r="C84" i="8" s="1"/>
  <c r="C196" i="9"/>
  <c r="D84" i="8" s="1"/>
  <c r="D196" i="9"/>
  <c r="E84" i="8" s="1"/>
  <c r="B202" i="9"/>
  <c r="C85" i="8" s="1"/>
  <c r="C202" i="9"/>
  <c r="D85" i="8" s="1"/>
  <c r="D202" i="9"/>
  <c r="E85" i="8" s="1"/>
  <c r="B208" i="9"/>
  <c r="C208" i="9"/>
  <c r="D86" i="8" s="1"/>
  <c r="D208" i="9"/>
  <c r="E86" i="8" s="1"/>
  <c r="B214" i="9"/>
  <c r="C87" i="8" s="1"/>
  <c r="C214" i="9"/>
  <c r="D87" i="8" s="1"/>
  <c r="D214" i="9"/>
  <c r="E87" i="8" s="1"/>
  <c r="B220" i="9"/>
  <c r="C88" i="8"/>
  <c r="C220" i="9"/>
  <c r="D88" i="8" s="1"/>
  <c r="D220" i="9"/>
  <c r="E88" i="8" s="1"/>
  <c r="B223" i="9"/>
  <c r="C223" i="9"/>
  <c r="D223" i="9"/>
  <c r="B229" i="9"/>
  <c r="C90" i="8" s="1"/>
  <c r="C229" i="9"/>
  <c r="D90" i="8" s="1"/>
  <c r="D229" i="9"/>
  <c r="E90" i="8" s="1"/>
  <c r="B235" i="9"/>
  <c r="C91" i="8" s="1"/>
  <c r="C235" i="9"/>
  <c r="D91" i="8" s="1"/>
  <c r="D235" i="9"/>
  <c r="E91" i="8" s="1"/>
  <c r="B251" i="9"/>
  <c r="C92" i="8" s="1"/>
  <c r="C251" i="9"/>
  <c r="D92" i="8" s="1"/>
  <c r="D251" i="9"/>
  <c r="E92" i="8" s="1"/>
  <c r="B257" i="9"/>
  <c r="C93" i="8" s="1"/>
  <c r="C257" i="9"/>
  <c r="D257" i="9"/>
  <c r="E93" i="8" s="1"/>
  <c r="B263" i="9"/>
  <c r="C94" i="8" s="1"/>
  <c r="C263" i="9"/>
  <c r="D94" i="8" s="1"/>
  <c r="D263" i="9"/>
  <c r="E94" i="8" s="1"/>
  <c r="B269" i="9"/>
  <c r="C95" i="8" s="1"/>
  <c r="C269" i="9"/>
  <c r="D95" i="8" s="1"/>
  <c r="D269" i="9"/>
  <c r="E95" i="8" s="1"/>
  <c r="B273" i="9"/>
  <c r="C96" i="8" s="1"/>
  <c r="C273" i="9"/>
  <c r="D96" i="8" s="1"/>
  <c r="D273" i="9"/>
  <c r="E96" i="8" s="1"/>
  <c r="B279" i="9"/>
  <c r="C97" i="8" s="1"/>
  <c r="C279" i="9"/>
  <c r="D97" i="8" s="1"/>
  <c r="D279" i="9"/>
  <c r="E97" i="8" s="1"/>
  <c r="B285" i="9"/>
  <c r="C98" i="8" s="1"/>
  <c r="C285" i="9"/>
  <c r="D98" i="8" s="1"/>
  <c r="D285" i="9"/>
  <c r="E98" i="8" s="1"/>
  <c r="B5"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H1" i="30"/>
  <c r="G37" i="30"/>
  <c r="H37" i="30"/>
  <c r="L1" i="29"/>
  <c r="I19" i="29"/>
  <c r="J19" i="29"/>
  <c r="K19" i="29"/>
  <c r="L19" i="29"/>
  <c r="I27" i="29"/>
  <c r="I37" i="29" s="1"/>
  <c r="J27" i="29"/>
  <c r="K27" i="29"/>
  <c r="L27" i="29"/>
  <c r="I36" i="29"/>
  <c r="J36" i="29"/>
  <c r="K36" i="29"/>
  <c r="L36" i="29"/>
  <c r="F1" i="6"/>
  <c r="C5" i="6" s="1"/>
  <c r="B30" i="6"/>
  <c r="H1" i="38"/>
  <c r="A7" i="38"/>
  <c r="C7" i="38"/>
  <c r="A8" i="38"/>
  <c r="C8" i="38"/>
  <c r="A9" i="38"/>
  <c r="C9" i="38"/>
  <c r="A10" i="38"/>
  <c r="C10" i="38"/>
  <c r="A11" i="38"/>
  <c r="C11" i="38"/>
  <c r="A12" i="38"/>
  <c r="C12" i="38"/>
  <c r="A13" i="38"/>
  <c r="C13" i="38"/>
  <c r="A14" i="38"/>
  <c r="C14" i="38"/>
  <c r="A15" i="38"/>
  <c r="C15" i="38"/>
  <c r="A16" i="38"/>
  <c r="C16" i="38"/>
  <c r="A17" i="38"/>
  <c r="C17" i="38"/>
  <c r="A18" i="38"/>
  <c r="C18" i="38"/>
  <c r="A19" i="38"/>
  <c r="C19" i="38"/>
  <c r="A20" i="38"/>
  <c r="C20" i="38"/>
  <c r="A21" i="38"/>
  <c r="C21" i="38"/>
  <c r="A22" i="38"/>
  <c r="C22" i="38"/>
  <c r="A23" i="38"/>
  <c r="C23" i="38"/>
  <c r="A24" i="38"/>
  <c r="C24" i="38"/>
  <c r="A25" i="38"/>
  <c r="C25" i="38"/>
  <c r="A26" i="38"/>
  <c r="C26" i="38"/>
  <c r="A27" i="38"/>
  <c r="C27" i="38"/>
  <c r="A28" i="38"/>
  <c r="C28" i="38"/>
  <c r="A29" i="38"/>
  <c r="C29" i="38"/>
  <c r="A30" i="38"/>
  <c r="C30" i="38"/>
  <c r="A31" i="38"/>
  <c r="C31" i="38"/>
  <c r="G1" i="4"/>
  <c r="F1" i="3"/>
  <c r="D12" i="3" s="1"/>
  <c r="A20" i="3"/>
  <c r="B20" i="3"/>
  <c r="A21" i="3"/>
  <c r="B21" i="3"/>
  <c r="A22" i="3"/>
  <c r="B22" i="3"/>
  <c r="A23" i="3"/>
  <c r="B23" i="3"/>
  <c r="C23" i="3"/>
  <c r="A24" i="3"/>
  <c r="B24" i="3"/>
  <c r="C24" i="3"/>
  <c r="A25" i="3"/>
  <c r="B25" i="3"/>
  <c r="C25" i="3"/>
  <c r="A26" i="3"/>
  <c r="B26" i="3"/>
  <c r="C26" i="3"/>
  <c r="A27" i="3"/>
  <c r="B27" i="3"/>
  <c r="C27" i="3"/>
  <c r="A28" i="3"/>
  <c r="B28" i="3"/>
  <c r="C28" i="3"/>
  <c r="A29" i="3"/>
  <c r="B29" i="3"/>
  <c r="C29" i="3"/>
  <c r="A30" i="3"/>
  <c r="B30" i="3"/>
  <c r="C30" i="3"/>
  <c r="A31" i="3"/>
  <c r="B31" i="3"/>
  <c r="C31" i="3"/>
  <c r="A32" i="3"/>
  <c r="B32" i="3"/>
  <c r="C32" i="3"/>
  <c r="A33" i="3"/>
  <c r="B33" i="3"/>
  <c r="C33" i="3"/>
  <c r="A34" i="3"/>
  <c r="B34" i="3"/>
  <c r="C34" i="3"/>
  <c r="A35" i="3"/>
  <c r="B35" i="3"/>
  <c r="C35" i="3"/>
  <c r="A36" i="3"/>
  <c r="B36" i="3"/>
  <c r="C36" i="3"/>
  <c r="A37" i="3"/>
  <c r="B37" i="3"/>
  <c r="C37" i="3"/>
  <c r="A38" i="3"/>
  <c r="B38" i="3"/>
  <c r="C38" i="3"/>
  <c r="A39" i="3"/>
  <c r="B39" i="3"/>
  <c r="C39" i="3"/>
  <c r="A40" i="3"/>
  <c r="B40" i="3"/>
  <c r="C40" i="3"/>
  <c r="A41" i="3"/>
  <c r="B41" i="3"/>
  <c r="A42" i="3"/>
  <c r="B42" i="3"/>
  <c r="A43" i="3"/>
  <c r="B43" i="3"/>
  <c r="C43" i="3"/>
  <c r="A44" i="3"/>
  <c r="B44" i="3"/>
  <c r="C44" i="3"/>
  <c r="A45" i="3"/>
  <c r="C45" i="3"/>
  <c r="A46" i="3"/>
  <c r="C46" i="3"/>
  <c r="A47" i="3"/>
  <c r="C47" i="3"/>
  <c r="A48" i="3"/>
  <c r="C48" i="3"/>
  <c r="A49" i="3"/>
  <c r="C49" i="3"/>
  <c r="D49" i="3"/>
  <c r="A50" i="3"/>
  <c r="C50" i="3"/>
  <c r="A51" i="3"/>
  <c r="C51" i="3"/>
  <c r="A52" i="3"/>
  <c r="C52" i="3"/>
  <c r="A53" i="3"/>
  <c r="C53" i="3"/>
  <c r="A54" i="3"/>
  <c r="C54" i="3"/>
  <c r="A55" i="3"/>
  <c r="C55" i="3"/>
  <c r="A56" i="3"/>
  <c r="C56" i="3"/>
  <c r="A57" i="3"/>
  <c r="C57" i="3"/>
  <c r="A58" i="3"/>
  <c r="C58" i="3"/>
  <c r="A59" i="3"/>
  <c r="C59" i="3"/>
  <c r="A60" i="3"/>
  <c r="C60" i="3"/>
  <c r="A61" i="3"/>
  <c r="C61" i="3"/>
  <c r="A62" i="3"/>
  <c r="C62" i="3"/>
  <c r="A63" i="3"/>
  <c r="C63" i="3"/>
  <c r="A64" i="3"/>
  <c r="C64" i="3"/>
  <c r="A33" i="43"/>
  <c r="A34" i="43"/>
  <c r="A35" i="43"/>
  <c r="A36" i="43"/>
  <c r="A37" i="43"/>
  <c r="A38" i="43"/>
  <c r="A39" i="43"/>
  <c r="A40" i="43"/>
  <c r="A41" i="43"/>
  <c r="A42" i="43"/>
  <c r="A43" i="43"/>
  <c r="A44" i="43"/>
  <c r="A45" i="43"/>
  <c r="A46" i="43"/>
  <c r="A47" i="43"/>
  <c r="A48" i="43"/>
  <c r="A49" i="43"/>
  <c r="A50" i="43"/>
  <c r="A51" i="43"/>
  <c r="A52" i="43"/>
  <c r="A53" i="43"/>
  <c r="A54" i="43"/>
  <c r="A55" i="43"/>
  <c r="A56" i="43"/>
  <c r="A57" i="43"/>
  <c r="A58" i="43"/>
  <c r="A59" i="43"/>
  <c r="A60" i="43"/>
  <c r="A61" i="43"/>
  <c r="A62" i="43"/>
  <c r="A63" i="43"/>
  <c r="A64" i="43"/>
  <c r="A65" i="43"/>
  <c r="A66" i="43"/>
  <c r="A67" i="43"/>
  <c r="A68" i="43"/>
  <c r="A69" i="43"/>
  <c r="A70" i="43"/>
  <c r="A71" i="43"/>
  <c r="A72" i="43"/>
  <c r="A73" i="43"/>
  <c r="F42" i="2"/>
  <c r="A86" i="2"/>
  <c r="B91" i="2"/>
  <c r="B92" i="2"/>
  <c r="B93" i="2"/>
  <c r="B94" i="2"/>
  <c r="B95" i="2"/>
  <c r="B96" i="2"/>
  <c r="B97" i="2"/>
  <c r="B98" i="2"/>
  <c r="B99" i="2"/>
  <c r="B100" i="2"/>
  <c r="B101" i="2"/>
  <c r="B102" i="2"/>
  <c r="B103" i="2"/>
  <c r="B104" i="2"/>
  <c r="B105" i="2"/>
  <c r="B106" i="2"/>
  <c r="B107" i="2"/>
  <c r="B108" i="2"/>
  <c r="B109" i="2"/>
  <c r="B110" i="2"/>
  <c r="B111" i="2"/>
  <c r="B112" i="2"/>
  <c r="B113" i="2"/>
  <c r="B114" i="2"/>
  <c r="B115" i="2"/>
  <c r="D116" i="2"/>
  <c r="A121" i="2"/>
  <c r="D122" i="2"/>
  <c r="E122" i="2"/>
  <c r="J13" i="19"/>
  <c r="J12" i="17"/>
  <c r="J55" i="13"/>
  <c r="J56" i="13"/>
  <c r="J54" i="13"/>
  <c r="J13" i="10"/>
  <c r="J53" i="17"/>
  <c r="J54" i="17"/>
  <c r="J56" i="12"/>
  <c r="J57" i="12"/>
  <c r="J54" i="19"/>
  <c r="J55" i="19"/>
  <c r="J55" i="21"/>
  <c r="J56" i="21"/>
  <c r="J54" i="21"/>
  <c r="J12" i="21"/>
  <c r="J55" i="20"/>
  <c r="J56" i="20"/>
  <c r="J54" i="20"/>
  <c r="J12" i="20"/>
  <c r="J53" i="19"/>
  <c r="J54" i="18"/>
  <c r="J55" i="18"/>
  <c r="J53" i="18"/>
  <c r="J11" i="18"/>
  <c r="J52" i="17"/>
  <c r="J55" i="16"/>
  <c r="J56" i="16"/>
  <c r="J54" i="16"/>
  <c r="J12" i="16"/>
  <c r="J11" i="15"/>
  <c r="J54" i="14"/>
  <c r="J55" i="14"/>
  <c r="J53" i="14"/>
  <c r="J13" i="14"/>
  <c r="J55" i="12"/>
  <c r="J13" i="12"/>
  <c r="J54" i="10"/>
  <c r="J55" i="10"/>
  <c r="J53" i="10"/>
  <c r="J54" i="15"/>
  <c r="J55" i="15"/>
  <c r="J53" i="15"/>
  <c r="J12" i="13"/>
  <c r="J30" i="42"/>
  <c r="J80" i="44"/>
  <c r="J87" i="8"/>
  <c r="D14" i="25"/>
  <c r="C67" i="8"/>
  <c r="D93" i="8"/>
  <c r="C14" i="37"/>
  <c r="C16" i="37"/>
  <c r="C28" i="37" s="1"/>
  <c r="C31" i="37" s="1"/>
  <c r="D69" i="44"/>
  <c r="C16" i="35"/>
  <c r="C28" i="35" s="1"/>
  <c r="C14" i="35"/>
  <c r="C55" i="25"/>
  <c r="B48" i="27"/>
  <c r="C86" i="8"/>
  <c r="C30" i="42"/>
  <c r="F41" i="27"/>
  <c r="D60" i="3"/>
  <c r="B56" i="27"/>
  <c r="D56" i="3"/>
  <c r="D54" i="3"/>
  <c r="E59" i="26"/>
  <c r="F50" i="27"/>
  <c r="E58" i="24"/>
  <c r="D50" i="3"/>
  <c r="E55" i="24"/>
  <c r="F46" i="27"/>
  <c r="E29" i="24"/>
  <c r="E26" i="22"/>
  <c r="E29" i="22"/>
  <c r="F13" i="27"/>
  <c r="J47" i="27"/>
  <c r="F69" i="27"/>
  <c r="B69" i="27"/>
  <c r="B13" i="27"/>
  <c r="E20" i="38"/>
  <c r="E11" i="16" s="1"/>
  <c r="E10" i="38"/>
  <c r="E11" i="10" s="1"/>
  <c r="E19" i="38"/>
  <c r="E49" i="15" s="1"/>
  <c r="E21" i="38"/>
  <c r="E49" i="16" s="1"/>
  <c r="E30" i="38"/>
  <c r="E11" i="21" s="1"/>
  <c r="D26" i="38"/>
  <c r="E10" i="19" s="1"/>
  <c r="D12" i="38"/>
  <c r="E10" i="12" s="1"/>
  <c r="D11" i="38"/>
  <c r="E50" i="10" s="1"/>
  <c r="D31" i="38"/>
  <c r="E48" i="21" s="1"/>
  <c r="D15" i="38"/>
  <c r="E49" i="13" s="1"/>
  <c r="D22" i="38"/>
  <c r="E10" i="17" s="1"/>
  <c r="G53" i="17"/>
  <c r="G13" i="38"/>
  <c r="E53" i="12" s="1"/>
  <c r="E29" i="38"/>
  <c r="E51" i="20" s="1"/>
  <c r="D25" i="38"/>
  <c r="E48" i="18" s="1"/>
  <c r="H28" i="38"/>
  <c r="E14" i="20" s="1"/>
  <c r="F11" i="38"/>
  <c r="E52" i="10" s="1"/>
  <c r="F21" i="38"/>
  <c r="E50" i="16" s="1"/>
  <c r="F13" i="38"/>
  <c r="E52" i="12" s="1"/>
  <c r="F31" i="38"/>
  <c r="E50" i="21" s="1"/>
  <c r="F10" i="38"/>
  <c r="E12" i="10" s="1"/>
  <c r="F29" i="38"/>
  <c r="E52" i="20" s="1"/>
  <c r="F15" i="38"/>
  <c r="E51" i="13" s="1"/>
  <c r="F19" i="38"/>
  <c r="E50" i="15" s="1"/>
  <c r="F26" i="38"/>
  <c r="E12" i="19" s="1"/>
  <c r="F24" i="38"/>
  <c r="E12" i="18" s="1"/>
  <c r="F28" i="38"/>
  <c r="E12" i="20" s="1"/>
  <c r="F16" i="38"/>
  <c r="E12" i="14" s="1"/>
  <c r="F23" i="38"/>
  <c r="E50" i="17" s="1"/>
  <c r="F22" i="38"/>
  <c r="E12" i="17" s="1"/>
  <c r="F17" i="38"/>
  <c r="E51" i="14" s="1"/>
  <c r="F20" i="38"/>
  <c r="E12" i="16" s="1"/>
  <c r="F25" i="38"/>
  <c r="E50" i="18" s="1"/>
  <c r="F12" i="38"/>
  <c r="E12" i="12" s="1"/>
  <c r="F18" i="38"/>
  <c r="E12" i="15" s="1"/>
  <c r="F14" i="38"/>
  <c r="E12" i="13" s="1"/>
  <c r="F27" i="38"/>
  <c r="E50" i="19" s="1"/>
  <c r="F30" i="38"/>
  <c r="E12" i="21" s="1"/>
  <c r="G27" i="38"/>
  <c r="E51" i="19" s="1"/>
  <c r="D10" i="38"/>
  <c r="E10" i="10" s="1"/>
  <c r="D29" i="38"/>
  <c r="E50" i="20" s="1"/>
  <c r="H13" i="38"/>
  <c r="E54" i="12" s="1"/>
  <c r="G21" i="38"/>
  <c r="E51" i="16" s="1"/>
  <c r="G29" i="38"/>
  <c r="E53" i="20" s="1"/>
  <c r="D28" i="38"/>
  <c r="E10" i="20" s="1"/>
  <c r="E14" i="38"/>
  <c r="E11" i="13" s="1"/>
  <c r="E18" i="38"/>
  <c r="E11" i="15" s="1"/>
  <c r="E25" i="38"/>
  <c r="E49" i="18" s="1"/>
  <c r="E13" i="38"/>
  <c r="E51" i="12" s="1"/>
  <c r="H12" i="38"/>
  <c r="E14" i="12" s="1"/>
  <c r="H17" i="38"/>
  <c r="E53" i="14" s="1"/>
  <c r="H21" i="38"/>
  <c r="E52" i="16" s="1"/>
  <c r="H25" i="38"/>
  <c r="E52" i="18" s="1"/>
  <c r="H29" i="38"/>
  <c r="E54" i="20" s="1"/>
  <c r="G19" i="38"/>
  <c r="E51" i="15" s="1"/>
  <c r="D24" i="38"/>
  <c r="E10" i="18" s="1"/>
  <c r="G17" i="38"/>
  <c r="E52" i="14" s="1"/>
  <c r="G25" i="38"/>
  <c r="E51" i="18" s="1"/>
  <c r="D16" i="38"/>
  <c r="E10" i="14" s="1"/>
  <c r="D19" i="38"/>
  <c r="E48" i="15" s="1"/>
  <c r="E23" i="38"/>
  <c r="E49" i="17" s="1"/>
  <c r="G10" i="38"/>
  <c r="E13" i="10" s="1"/>
  <c r="G14" i="38"/>
  <c r="E13" i="13" s="1"/>
  <c r="G18" i="38"/>
  <c r="E13" i="15" s="1"/>
  <c r="G22" i="38"/>
  <c r="E13" i="17" s="1"/>
  <c r="G26" i="38"/>
  <c r="E13" i="19" s="1"/>
  <c r="G30" i="38"/>
  <c r="E13" i="21" s="1"/>
  <c r="H11" i="38"/>
  <c r="E54" i="10" s="1"/>
  <c r="G23" i="38"/>
  <c r="E51" i="17" s="1"/>
  <c r="D21" i="38"/>
  <c r="E48" i="16" s="1"/>
  <c r="E24" i="38"/>
  <c r="E11" i="18" s="1"/>
  <c r="E12" i="38"/>
  <c r="E11" i="12" s="1"/>
  <c r="E27" i="38"/>
  <c r="E49" i="19" s="1"/>
  <c r="G11" i="38"/>
  <c r="E53" i="10" s="1"/>
  <c r="H15" i="38"/>
  <c r="E53" i="13" s="1"/>
  <c r="H23" i="38"/>
  <c r="E52" i="17" s="1"/>
  <c r="H31" i="38"/>
  <c r="E52" i="21" s="1"/>
  <c r="D13" i="38"/>
  <c r="E50" i="12" s="1"/>
  <c r="G12" i="38"/>
  <c r="E13" i="12" s="1"/>
  <c r="G16" i="38"/>
  <c r="E13" i="14" s="1"/>
  <c r="G20" i="38"/>
  <c r="E13" i="16" s="1"/>
  <c r="G24" i="38"/>
  <c r="E13" i="18" s="1"/>
  <c r="G28" i="38"/>
  <c r="E13" i="20" s="1"/>
  <c r="E26" i="38"/>
  <c r="E11" i="19" s="1"/>
  <c r="G15" i="38"/>
  <c r="E52" i="13" s="1"/>
  <c r="G31" i="38"/>
  <c r="E51" i="21" s="1"/>
  <c r="D23" i="38"/>
  <c r="E48" i="17" s="1"/>
  <c r="D20" i="38"/>
  <c r="E10" i="16" s="1"/>
  <c r="D30" i="38"/>
  <c r="E10" i="21" s="1"/>
  <c r="E11" i="38"/>
  <c r="E51" i="10" s="1"/>
  <c r="E31" i="38"/>
  <c r="E49" i="21" s="1"/>
  <c r="D27" i="38"/>
  <c r="E48" i="19" s="1"/>
  <c r="H19" i="38"/>
  <c r="E52" i="15" s="1"/>
  <c r="H27" i="38"/>
  <c r="E52" i="19" s="1"/>
  <c r="D14" i="38"/>
  <c r="E10" i="13" s="1"/>
  <c r="D18" i="38"/>
  <c r="E10" i="15" s="1"/>
  <c r="D17" i="38"/>
  <c r="E49" i="14" s="1"/>
  <c r="E22" i="38"/>
  <c r="E11" i="17" s="1"/>
  <c r="E16" i="38"/>
  <c r="E11" i="14" s="1"/>
  <c r="E15" i="38"/>
  <c r="E50" i="13" s="1"/>
  <c r="E17" i="38"/>
  <c r="E50" i="14" s="1"/>
  <c r="E28" i="38"/>
  <c r="E11" i="20" s="1"/>
  <c r="H16" i="38"/>
  <c r="E14" i="14" s="1"/>
  <c r="H20" i="38"/>
  <c r="E14" i="16" s="1"/>
  <c r="H24" i="38"/>
  <c r="E14" i="18" s="1"/>
  <c r="C73" i="14"/>
  <c r="E20" i="12"/>
  <c r="E33" i="19"/>
  <c r="F35" i="73" s="1"/>
  <c r="E33" i="17"/>
  <c r="F31" i="73" s="1"/>
  <c r="E73" i="18"/>
  <c r="E72" i="18" s="1"/>
  <c r="E59" i="18"/>
  <c r="E74" i="19"/>
  <c r="F36" i="73" s="1"/>
  <c r="E73" i="17"/>
  <c r="D36" i="3" s="1"/>
  <c r="E74" i="20"/>
  <c r="F38" i="73" s="1"/>
  <c r="E33" i="21"/>
  <c r="F39" i="27" s="1"/>
  <c r="E19" i="21"/>
  <c r="E74" i="16"/>
  <c r="F30" i="27" s="1"/>
  <c r="E59" i="16"/>
  <c r="E74" i="21"/>
  <c r="F40" i="73" s="1"/>
  <c r="E33" i="16"/>
  <c r="E32" i="16" s="1"/>
  <c r="H23" i="17"/>
  <c r="H60" i="17"/>
  <c r="H63" i="17"/>
  <c r="B36" i="14"/>
  <c r="G14" i="14"/>
  <c r="C41" i="13"/>
  <c r="B23" i="27"/>
  <c r="C34" i="10"/>
  <c r="F80" i="10"/>
  <c r="D28" i="3"/>
  <c r="M45" i="27"/>
  <c r="K17" i="48"/>
  <c r="F18" i="48"/>
  <c r="H29" i="46"/>
  <c r="H30" i="46" s="1"/>
  <c r="J29" i="46"/>
  <c r="J30" i="46" s="1"/>
  <c r="K17" i="46"/>
  <c r="D56" i="27"/>
  <c r="D60" i="37"/>
  <c r="B54" i="27"/>
  <c r="C56" i="36"/>
  <c r="B52" i="27"/>
  <c r="C43" i="36"/>
  <c r="C14" i="36"/>
  <c r="E56" i="36"/>
  <c r="B51" i="27"/>
  <c r="C26" i="36"/>
  <c r="C26" i="26"/>
  <c r="C14" i="25"/>
  <c r="D55" i="24"/>
  <c r="D26" i="24"/>
  <c r="D45" i="27"/>
  <c r="E26" i="24"/>
  <c r="C60" i="23"/>
  <c r="F43" i="27"/>
  <c r="B44" i="27"/>
  <c r="E29" i="23"/>
  <c r="E26" i="23"/>
  <c r="D26" i="23"/>
  <c r="C45" i="23"/>
  <c r="C58" i="23" s="1"/>
  <c r="C55" i="22"/>
  <c r="D30" i="22"/>
  <c r="G13" i="21"/>
  <c r="B35" i="21"/>
  <c r="G51" i="21"/>
  <c r="H65" i="21"/>
  <c r="H19" i="21"/>
  <c r="H62" i="21"/>
  <c r="G16" i="21"/>
  <c r="H61" i="21"/>
  <c r="C23" i="21"/>
  <c r="D37" i="27"/>
  <c r="H59" i="19"/>
  <c r="G14" i="19"/>
  <c r="G10" i="19"/>
  <c r="B35" i="19"/>
  <c r="H21" i="19"/>
  <c r="C5" i="19"/>
  <c r="C43" i="19" s="1"/>
  <c r="H60" i="19"/>
  <c r="H62" i="19"/>
  <c r="G50" i="19"/>
  <c r="G17" i="19"/>
  <c r="H64" i="19"/>
  <c r="F38" i="18"/>
  <c r="C40" i="18"/>
  <c r="C72" i="18"/>
  <c r="G50" i="18"/>
  <c r="D37" i="3"/>
  <c r="F33" i="27"/>
  <c r="E37" i="18"/>
  <c r="B30" i="27"/>
  <c r="F80" i="15"/>
  <c r="D28" i="27"/>
  <c r="C62" i="14"/>
  <c r="H60" i="14"/>
  <c r="H61" i="14"/>
  <c r="G17" i="14"/>
  <c r="D23" i="27"/>
  <c r="D33" i="13"/>
  <c r="G52" i="12"/>
  <c r="H24" i="10"/>
  <c r="H65" i="10"/>
  <c r="D5" i="10"/>
  <c r="D45" i="10" s="1"/>
  <c r="H19" i="10"/>
  <c r="C55" i="44"/>
  <c r="C64" i="44" s="1"/>
  <c r="C63" i="15"/>
  <c r="C16" i="23"/>
  <c r="C28" i="23" s="1"/>
  <c r="C31" i="23" s="1"/>
  <c r="C14" i="23"/>
  <c r="D5" i="38"/>
  <c r="B5" i="38"/>
  <c r="D55" i="22"/>
  <c r="D59" i="22"/>
  <c r="D42" i="27"/>
  <c r="D14" i="26"/>
  <c r="C30" i="22"/>
  <c r="E14" i="37"/>
  <c r="D14" i="36"/>
  <c r="F48" i="27"/>
  <c r="D52" i="3"/>
  <c r="E55" i="25"/>
  <c r="E58" i="25"/>
  <c r="E83" i="8"/>
  <c r="D30" i="35"/>
  <c r="D54" i="27"/>
  <c r="D56" i="35"/>
  <c r="D43" i="27"/>
  <c r="D41" i="27"/>
  <c r="A8" i="43"/>
  <c r="H65" i="16"/>
  <c r="D5" i="16"/>
  <c r="D43" i="16" s="1"/>
  <c r="H61" i="12"/>
  <c r="B37" i="12"/>
  <c r="H22" i="12"/>
  <c r="E5" i="20"/>
  <c r="E45" i="20" s="1"/>
  <c r="C42" i="12"/>
  <c r="B35" i="20"/>
  <c r="H60" i="20"/>
  <c r="G10" i="12"/>
  <c r="H62" i="12"/>
  <c r="C83" i="12"/>
  <c r="D5" i="12"/>
  <c r="D45" i="12" s="1"/>
  <c r="H24" i="12"/>
  <c r="D28" i="42"/>
  <c r="D67" i="44"/>
  <c r="D58" i="3"/>
  <c r="E56" i="35"/>
  <c r="E59" i="35"/>
  <c r="F54" i="27"/>
  <c r="C45" i="26"/>
  <c r="C58" i="26" s="1"/>
  <c r="C43" i="26"/>
  <c r="C55" i="24"/>
  <c r="C59" i="24"/>
  <c r="E29" i="36"/>
  <c r="F51" i="27"/>
  <c r="E26" i="36"/>
  <c r="D55" i="3"/>
  <c r="C57" i="24"/>
  <c r="D36" i="24" s="1"/>
  <c r="D26" i="37"/>
  <c r="D55" i="27"/>
  <c r="D30" i="37"/>
  <c r="C14" i="24"/>
  <c r="C16" i="24"/>
  <c r="C28" i="24" s="1"/>
  <c r="C31" i="24" s="1"/>
  <c r="D52" i="27"/>
  <c r="D56" i="36"/>
  <c r="D60" i="36"/>
  <c r="E58" i="22"/>
  <c r="D99" i="16"/>
  <c r="C83" i="8"/>
  <c r="B47" i="27"/>
  <c r="C26" i="25"/>
  <c r="C30" i="25"/>
  <c r="C56" i="35"/>
  <c r="C60" i="35"/>
  <c r="C62" i="24"/>
  <c r="B59" i="37"/>
  <c r="J65" i="27"/>
  <c r="J54" i="27"/>
  <c r="D13" i="27"/>
  <c r="G14" i="27"/>
  <c r="A9" i="43"/>
  <c r="B30" i="43"/>
  <c r="J50" i="27"/>
  <c r="J63" i="27"/>
  <c r="A10" i="27"/>
  <c r="J62" i="27"/>
  <c r="J57" i="27"/>
  <c r="J56" i="27"/>
  <c r="J64" i="27"/>
  <c r="B74" i="27"/>
  <c r="D99" i="21"/>
  <c r="B76" i="21"/>
  <c r="H23" i="21"/>
  <c r="H20" i="21"/>
  <c r="B39" i="27"/>
  <c r="B75" i="18"/>
  <c r="C80" i="18"/>
  <c r="H65" i="18"/>
  <c r="H64" i="18"/>
  <c r="E5" i="18"/>
  <c r="E43" i="18" s="1"/>
  <c r="G54" i="18"/>
  <c r="H62" i="18"/>
  <c r="G57" i="18"/>
  <c r="G15" i="18"/>
  <c r="C5" i="18"/>
  <c r="C43" i="18" s="1"/>
  <c r="H60" i="18"/>
  <c r="H23" i="18"/>
  <c r="C98" i="18"/>
  <c r="D33" i="27"/>
  <c r="D32" i="18"/>
  <c r="H61" i="16"/>
  <c r="G55" i="16"/>
  <c r="H66" i="16"/>
  <c r="C63" i="16"/>
  <c r="C75" i="16" s="1"/>
  <c r="C100" i="16" s="1"/>
  <c r="G16" i="16"/>
  <c r="H60" i="16"/>
  <c r="C5" i="16"/>
  <c r="C43" i="16" s="1"/>
  <c r="C23" i="15"/>
  <c r="B26" i="27"/>
  <c r="G50" i="14"/>
  <c r="H20" i="14"/>
  <c r="G10" i="14"/>
  <c r="H65" i="14"/>
  <c r="C41" i="14"/>
  <c r="C81" i="14"/>
  <c r="D5" i="14"/>
  <c r="D44" i="14" s="1"/>
  <c r="H22" i="14"/>
  <c r="G54" i="14"/>
  <c r="H19" i="14"/>
  <c r="D74" i="13"/>
  <c r="D100" i="13"/>
  <c r="C65" i="12"/>
  <c r="C77" i="12" s="1"/>
  <c r="C81" i="10"/>
  <c r="H60" i="10"/>
  <c r="G14" i="10"/>
  <c r="C42" i="10"/>
  <c r="H64" i="10"/>
  <c r="G10" i="10"/>
  <c r="G17" i="10"/>
  <c r="H22" i="10"/>
  <c r="H61" i="10"/>
  <c r="C5" i="10"/>
  <c r="C45" i="10" s="1"/>
  <c r="H20" i="10"/>
  <c r="H59" i="10"/>
  <c r="B76" i="10"/>
  <c r="G57" i="10"/>
  <c r="H21" i="10"/>
  <c r="G54" i="10"/>
  <c r="H25" i="10"/>
  <c r="B37" i="10"/>
  <c r="H62" i="10"/>
  <c r="G50" i="10"/>
  <c r="E5" i="10"/>
  <c r="E45" i="10" s="1"/>
  <c r="D63" i="44"/>
  <c r="D61" i="16"/>
  <c r="H19" i="17"/>
  <c r="B29" i="37"/>
  <c r="H21" i="17"/>
  <c r="G9" i="17"/>
  <c r="H18" i="17"/>
  <c r="B75" i="17"/>
  <c r="H59" i="17"/>
  <c r="D5" i="17"/>
  <c r="D43" i="17" s="1"/>
  <c r="C80" i="17"/>
  <c r="D76" i="42" l="1"/>
  <c r="C49" i="8"/>
  <c r="C57" i="8" s="1"/>
  <c r="C99" i="16"/>
  <c r="B5" i="49"/>
  <c r="D6" i="42"/>
  <c r="H58" i="17"/>
  <c r="C40" i="17"/>
  <c r="G58" i="21"/>
  <c r="H24" i="19"/>
  <c r="A10" i="3"/>
  <c r="B76" i="19"/>
  <c r="H22" i="18"/>
  <c r="H18" i="20"/>
  <c r="H59" i="18"/>
  <c r="G16" i="17"/>
  <c r="H21" i="21"/>
  <c r="G9" i="21"/>
  <c r="G56" i="17"/>
  <c r="B35" i="18"/>
  <c r="B59" i="35"/>
  <c r="H20" i="19"/>
  <c r="H24" i="21"/>
  <c r="H64" i="17"/>
  <c r="H38" i="42"/>
  <c r="C5" i="49"/>
  <c r="G57" i="19"/>
  <c r="H63" i="21"/>
  <c r="B5" i="28"/>
  <c r="H25" i="14"/>
  <c r="H61" i="18"/>
  <c r="H18" i="21"/>
  <c r="C6" i="42"/>
  <c r="B3" i="49"/>
  <c r="E5" i="19"/>
  <c r="E43" i="19" s="1"/>
  <c r="C5" i="21"/>
  <c r="C43" i="21" s="1"/>
  <c r="H19" i="19"/>
  <c r="H20" i="17"/>
  <c r="C5" i="14"/>
  <c r="C44" i="14" s="1"/>
  <c r="D5" i="18"/>
  <c r="D43" i="18" s="1"/>
  <c r="C40" i="21"/>
  <c r="E5" i="49"/>
  <c r="H25" i="19"/>
  <c r="D5" i="21"/>
  <c r="D43" i="21" s="1"/>
  <c r="A17" i="43"/>
  <c r="C5" i="17"/>
  <c r="C43" i="17" s="1"/>
  <c r="H64" i="14"/>
  <c r="H20" i="18"/>
  <c r="G55" i="21"/>
  <c r="G9" i="16"/>
  <c r="E5" i="14"/>
  <c r="E44" i="14" s="1"/>
  <c r="H65" i="19"/>
  <c r="E34" i="10"/>
  <c r="E39" i="10"/>
  <c r="D23" i="3"/>
  <c r="D34" i="10"/>
  <c r="G23" i="13"/>
  <c r="F80" i="13"/>
  <c r="F24" i="27"/>
  <c r="E74" i="13"/>
  <c r="E38" i="14"/>
  <c r="D29" i="3"/>
  <c r="D97" i="16"/>
  <c r="G24" i="19"/>
  <c r="C32" i="19"/>
  <c r="E37" i="20"/>
  <c r="E35" i="20"/>
  <c r="D96" i="20"/>
  <c r="E32" i="21"/>
  <c r="G23" i="21"/>
  <c r="E5" i="4"/>
  <c r="B40" i="4"/>
  <c r="D4" i="4"/>
  <c r="B29" i="24"/>
  <c r="H23" i="16"/>
  <c r="H19" i="18"/>
  <c r="B76" i="16"/>
  <c r="G34" i="42"/>
  <c r="H24" i="14"/>
  <c r="G8" i="18"/>
  <c r="H39" i="42"/>
  <c r="H21" i="16"/>
  <c r="D5" i="19"/>
  <c r="D43" i="19" s="1"/>
  <c r="E5" i="21"/>
  <c r="E43" i="21" s="1"/>
  <c r="B76" i="14"/>
  <c r="H62" i="16"/>
  <c r="H87" i="44"/>
  <c r="B58" i="24"/>
  <c r="H19" i="16"/>
  <c r="B54" i="42"/>
  <c r="H20" i="16"/>
  <c r="H42" i="42"/>
  <c r="A29" i="43"/>
  <c r="G27" i="42"/>
  <c r="A10" i="43"/>
  <c r="H41" i="42"/>
  <c r="H21" i="14"/>
  <c r="C81" i="16"/>
  <c r="H18" i="18"/>
  <c r="H67" i="12"/>
  <c r="H36" i="42"/>
  <c r="B29" i="23"/>
  <c r="H62" i="14"/>
  <c r="H22" i="19"/>
  <c r="C81" i="21"/>
  <c r="H61" i="19"/>
  <c r="G58" i="16"/>
  <c r="B59" i="23"/>
  <c r="H63" i="16"/>
  <c r="B29" i="22"/>
  <c r="A25" i="43"/>
  <c r="C59" i="42"/>
  <c r="C30" i="43"/>
  <c r="G51" i="16"/>
  <c r="C40" i="16"/>
  <c r="B105" i="44"/>
  <c r="H59" i="14"/>
  <c r="H24" i="16"/>
  <c r="G12" i="18"/>
  <c r="B58" i="25"/>
  <c r="E6" i="42"/>
  <c r="E5" i="16"/>
  <c r="E43" i="16" s="1"/>
  <c r="A34" i="49"/>
  <c r="E63" i="44"/>
  <c r="G54" i="19"/>
  <c r="H66" i="21"/>
  <c r="B35" i="16"/>
  <c r="A7" i="43"/>
  <c r="G31" i="42"/>
  <c r="H18" i="16"/>
  <c r="D5" i="49"/>
  <c r="E54" i="42"/>
  <c r="F55" i="42"/>
  <c r="E56" i="42"/>
  <c r="E51" i="42"/>
  <c r="D17" i="27"/>
  <c r="C22" i="10"/>
  <c r="B19" i="27"/>
  <c r="C36" i="10"/>
  <c r="C98" i="10" s="1"/>
  <c r="F19" i="27"/>
  <c r="F38" i="10"/>
  <c r="C64" i="10"/>
  <c r="C75" i="10" s="1"/>
  <c r="C99" i="10"/>
  <c r="B20" i="27"/>
  <c r="D24" i="3"/>
  <c r="E78" i="10"/>
  <c r="F20" i="27"/>
  <c r="E79" i="13"/>
  <c r="G65" i="13"/>
  <c r="B24" i="27"/>
  <c r="C33" i="13"/>
  <c r="C35" i="13"/>
  <c r="C99" i="13" s="1"/>
  <c r="C98" i="13"/>
  <c r="F80" i="14"/>
  <c r="G24" i="14"/>
  <c r="B25" i="27"/>
  <c r="B28" i="27"/>
  <c r="C34" i="15"/>
  <c r="C97" i="15" s="1"/>
  <c r="B27" i="27"/>
  <c r="G22" i="15"/>
  <c r="C32" i="15"/>
  <c r="D30" i="27"/>
  <c r="D73" i="16"/>
  <c r="C73" i="16"/>
  <c r="B78" i="16"/>
  <c r="E37" i="16"/>
  <c r="D33" i="3"/>
  <c r="F38" i="16"/>
  <c r="D72" i="17"/>
  <c r="B32" i="27"/>
  <c r="G63" i="17"/>
  <c r="C23" i="18"/>
  <c r="C34" i="18" s="1"/>
  <c r="B33" i="27"/>
  <c r="C32" i="18"/>
  <c r="C74" i="18"/>
  <c r="D73" i="19"/>
  <c r="D40" i="3"/>
  <c r="C61" i="19"/>
  <c r="C96" i="20"/>
  <c r="D73" i="20"/>
  <c r="D42" i="3"/>
  <c r="C61" i="20"/>
  <c r="D32" i="20"/>
  <c r="C34" i="20"/>
  <c r="C95" i="20" s="1"/>
  <c r="C34" i="21"/>
  <c r="D6" i="21" s="1"/>
  <c r="D23" i="21" s="1"/>
  <c r="D34" i="21" s="1"/>
  <c r="D73" i="21"/>
  <c r="D40" i="27"/>
  <c r="C99" i="21"/>
  <c r="B78" i="21" s="1"/>
  <c r="G65" i="21"/>
  <c r="B40" i="27"/>
  <c r="D43" i="3"/>
  <c r="D32" i="21"/>
  <c r="D39" i="27"/>
  <c r="C62" i="25"/>
  <c r="D36" i="25"/>
  <c r="D45" i="25" s="1"/>
  <c r="D57" i="25" s="1"/>
  <c r="D62" i="25" s="1"/>
  <c r="D7" i="26"/>
  <c r="D16" i="26" s="1"/>
  <c r="C31" i="26"/>
  <c r="B60" i="73"/>
  <c r="B60" i="27"/>
  <c r="K30" i="48"/>
  <c r="K18" i="46"/>
  <c r="B29" i="46"/>
  <c r="B30" i="46" s="1"/>
  <c r="B59" i="27"/>
  <c r="B59" i="73"/>
  <c r="F42" i="27"/>
  <c r="C21" i="20"/>
  <c r="C5" i="15"/>
  <c r="C43" i="15" s="1"/>
  <c r="G64" i="19"/>
  <c r="F44" i="27"/>
  <c r="E37" i="21"/>
  <c r="F63" i="27"/>
  <c r="F63" i="73"/>
  <c r="D30" i="24"/>
  <c r="D45" i="73"/>
  <c r="D45" i="3"/>
  <c r="E59" i="36"/>
  <c r="B50" i="27"/>
  <c r="C59" i="25"/>
  <c r="B48" i="73"/>
  <c r="D59" i="24"/>
  <c r="H74" i="21"/>
  <c r="H73" i="21"/>
  <c r="H71" i="21"/>
  <c r="H70" i="21"/>
  <c r="H32" i="21"/>
  <c r="H31" i="21"/>
  <c r="H29" i="21"/>
  <c r="H28" i="21"/>
  <c r="G57" i="14"/>
  <c r="H73" i="14"/>
  <c r="H72" i="14"/>
  <c r="H70" i="14"/>
  <c r="H29" i="14"/>
  <c r="H69" i="14"/>
  <c r="H33" i="14"/>
  <c r="H32" i="14"/>
  <c r="H30" i="14"/>
  <c r="C75" i="19"/>
  <c r="D44" i="19" s="1"/>
  <c r="D63" i="19" s="1"/>
  <c r="D75" i="19" s="1"/>
  <c r="D100" i="19" s="1"/>
  <c r="C99" i="14"/>
  <c r="C34" i="19"/>
  <c r="D6" i="19" s="1"/>
  <c r="D23" i="19" s="1"/>
  <c r="D34" i="19" s="1"/>
  <c r="C94" i="20"/>
  <c r="D38" i="27"/>
  <c r="E26" i="35"/>
  <c r="G57" i="15"/>
  <c r="C73" i="19"/>
  <c r="D57" i="3"/>
  <c r="G66" i="12"/>
  <c r="E26" i="25"/>
  <c r="A9" i="3"/>
  <c r="B84" i="3"/>
  <c r="F70" i="3"/>
  <c r="E13" i="3"/>
  <c r="F73" i="27"/>
  <c r="F73" i="73"/>
  <c r="D63" i="27"/>
  <c r="D63" i="73"/>
  <c r="D31" i="49"/>
  <c r="H73" i="19"/>
  <c r="H72" i="19"/>
  <c r="H70" i="19"/>
  <c r="H69" i="19"/>
  <c r="H33" i="19"/>
  <c r="H32" i="19"/>
  <c r="H29" i="19"/>
  <c r="H30" i="19"/>
  <c r="H18" i="13"/>
  <c r="H74" i="13"/>
  <c r="H73" i="13"/>
  <c r="H28" i="13"/>
  <c r="H71" i="13"/>
  <c r="H70" i="13"/>
  <c r="H32" i="13"/>
  <c r="H31" i="13"/>
  <c r="H29" i="13"/>
  <c r="E56" i="23"/>
  <c r="F44" i="73"/>
  <c r="F80" i="19"/>
  <c r="D59" i="3"/>
  <c r="E29" i="35"/>
  <c r="C75" i="12"/>
  <c r="D97" i="19"/>
  <c r="E26" i="26"/>
  <c r="F70" i="27"/>
  <c r="F70" i="73"/>
  <c r="B63" i="27"/>
  <c r="B63" i="73"/>
  <c r="D65" i="27"/>
  <c r="K28" i="46"/>
  <c r="K30" i="46" s="1"/>
  <c r="F45" i="27"/>
  <c r="C30" i="24"/>
  <c r="D44" i="27"/>
  <c r="H73" i="18"/>
  <c r="H72" i="18"/>
  <c r="H27" i="18"/>
  <c r="H70" i="18"/>
  <c r="H69" i="18"/>
  <c r="H31" i="18"/>
  <c r="H30" i="18"/>
  <c r="H28" i="18"/>
  <c r="H75" i="12"/>
  <c r="H74" i="12"/>
  <c r="H72" i="12"/>
  <c r="H71" i="12"/>
  <c r="H29" i="12"/>
  <c r="H33" i="12"/>
  <c r="H32" i="12"/>
  <c r="H30" i="12"/>
  <c r="G84" i="8"/>
  <c r="H103" i="8"/>
  <c r="H107" i="8"/>
  <c r="H106" i="8"/>
  <c r="H104" i="8"/>
  <c r="D24" i="27"/>
  <c r="D99" i="14"/>
  <c r="D98" i="18"/>
  <c r="B77" i="18" s="1"/>
  <c r="C26" i="23"/>
  <c r="B43" i="73"/>
  <c r="D5" i="15"/>
  <c r="D43" i="15" s="1"/>
  <c r="H31" i="15"/>
  <c r="H69" i="15"/>
  <c r="H30" i="15"/>
  <c r="H28" i="15"/>
  <c r="H27" i="15"/>
  <c r="H73" i="15"/>
  <c r="H72" i="15"/>
  <c r="H70" i="15"/>
  <c r="H17" i="15"/>
  <c r="E76" i="19"/>
  <c r="G65" i="20"/>
  <c r="C75" i="20"/>
  <c r="D46" i="20" s="1"/>
  <c r="D63" i="20" s="1"/>
  <c r="D75" i="20" s="1"/>
  <c r="B57" i="9"/>
  <c r="B289" i="9" s="1"/>
  <c r="F55" i="27"/>
  <c r="E75" i="18"/>
  <c r="D46" i="3"/>
  <c r="F49" i="27"/>
  <c r="C287" i="9"/>
  <c r="D26" i="35"/>
  <c r="D53" i="73"/>
  <c r="D49" i="27"/>
  <c r="D49" i="73"/>
  <c r="D60" i="23"/>
  <c r="H24" i="17"/>
  <c r="H72" i="17"/>
  <c r="H71" i="17"/>
  <c r="H69" i="17"/>
  <c r="H28" i="17"/>
  <c r="H68" i="17"/>
  <c r="H32" i="17"/>
  <c r="H31" i="17"/>
  <c r="H29" i="17"/>
  <c r="H73" i="10"/>
  <c r="H72" i="10"/>
  <c r="H70" i="10"/>
  <c r="H69" i="10"/>
  <c r="H33" i="10"/>
  <c r="H32" i="10"/>
  <c r="H30" i="10"/>
  <c r="H29" i="10"/>
  <c r="F47" i="27"/>
  <c r="F47" i="73"/>
  <c r="B43" i="27"/>
  <c r="D44" i="16"/>
  <c r="D63" i="16" s="1"/>
  <c r="D75" i="16" s="1"/>
  <c r="D100" i="16" s="1"/>
  <c r="B79" i="16" s="1"/>
  <c r="B17" i="27"/>
  <c r="C96" i="17"/>
  <c r="K28" i="45"/>
  <c r="D36" i="36"/>
  <c r="D45" i="36" s="1"/>
  <c r="D58" i="36" s="1"/>
  <c r="D63" i="36" s="1"/>
  <c r="E29" i="37"/>
  <c r="F34" i="27"/>
  <c r="C32" i="17"/>
  <c r="E29" i="26"/>
  <c r="C53" i="42"/>
  <c r="D7" i="42" s="1"/>
  <c r="D30" i="42" s="1"/>
  <c r="D53" i="42" s="1"/>
  <c r="K5" i="29"/>
  <c r="I5" i="29"/>
  <c r="F5" i="29"/>
  <c r="D240" i="9"/>
  <c r="D4" i="9"/>
  <c r="C4" i="9"/>
  <c r="B4" i="9"/>
  <c r="D4" i="11"/>
  <c r="C4" i="11"/>
  <c r="B4" i="11"/>
  <c r="F72" i="27"/>
  <c r="F72" i="73"/>
  <c r="B45" i="27"/>
  <c r="F29" i="45"/>
  <c r="F30" i="45" s="1"/>
  <c r="H50" i="42"/>
  <c r="H49" i="42"/>
  <c r="H47" i="42"/>
  <c r="H46" i="42"/>
  <c r="D98" i="13"/>
  <c r="D96" i="15"/>
  <c r="H74" i="20"/>
  <c r="H73" i="20"/>
  <c r="H71" i="20"/>
  <c r="H70" i="20"/>
  <c r="H28" i="20"/>
  <c r="H32" i="20"/>
  <c r="H31" i="20"/>
  <c r="H29" i="20"/>
  <c r="H9" i="30"/>
  <c r="F9" i="30"/>
  <c r="F37" i="29"/>
  <c r="F71" i="73"/>
  <c r="E78" i="19"/>
  <c r="C43" i="25"/>
  <c r="G9" i="30"/>
  <c r="C26" i="22"/>
  <c r="E26" i="37"/>
  <c r="F71" i="27"/>
  <c r="H23" i="15"/>
  <c r="E77" i="18"/>
  <c r="D32" i="19"/>
  <c r="D51" i="3"/>
  <c r="C40" i="15"/>
  <c r="C30" i="36"/>
  <c r="B51" i="73"/>
  <c r="D26" i="22"/>
  <c r="D41" i="73"/>
  <c r="D60" i="35"/>
  <c r="D54" i="73"/>
  <c r="C60" i="36"/>
  <c r="B46" i="27"/>
  <c r="B46" i="73"/>
  <c r="H74" i="16"/>
  <c r="H73" i="16"/>
  <c r="H71" i="16"/>
  <c r="H70" i="16"/>
  <c r="H32" i="16"/>
  <c r="H28" i="16"/>
  <c r="H31" i="16"/>
  <c r="H29" i="16"/>
  <c r="C96" i="15"/>
  <c r="E73" i="19"/>
  <c r="E55" i="22"/>
  <c r="B41" i="27"/>
  <c r="C101" i="12"/>
  <c r="G50" i="15"/>
  <c r="D38" i="3"/>
  <c r="D48" i="3"/>
  <c r="F53" i="27"/>
  <c r="D53" i="3"/>
  <c r="B49" i="27"/>
  <c r="B49" i="73"/>
  <c r="D30" i="23"/>
  <c r="D43" i="73"/>
  <c r="H61" i="15"/>
  <c r="E35" i="21"/>
  <c r="E76" i="20"/>
  <c r="F80" i="20"/>
  <c r="E37" i="19"/>
  <c r="E35" i="19"/>
  <c r="F38" i="19"/>
  <c r="F35" i="27"/>
  <c r="E32" i="19"/>
  <c r="D39" i="3"/>
  <c r="E35" i="16"/>
  <c r="E34" i="12"/>
  <c r="J6" i="28"/>
  <c r="G6" i="28"/>
  <c r="E78" i="20"/>
  <c r="F38" i="27"/>
  <c r="E73" i="20"/>
  <c r="F80" i="17"/>
  <c r="D34" i="3"/>
  <c r="F80" i="16"/>
  <c r="E76" i="16"/>
  <c r="D32" i="3"/>
  <c r="E77" i="15"/>
  <c r="E76" i="14"/>
  <c r="E73" i="14"/>
  <c r="D30" i="3"/>
  <c r="F26" i="27"/>
  <c r="E78" i="14"/>
  <c r="F38" i="14"/>
  <c r="F25" i="27"/>
  <c r="E33" i="14"/>
  <c r="E77" i="13"/>
  <c r="E38" i="13"/>
  <c r="E36" i="13"/>
  <c r="E33" i="13"/>
  <c r="F23" i="27"/>
  <c r="F38" i="13"/>
  <c r="D27" i="3"/>
  <c r="E37" i="10"/>
  <c r="G71" i="19"/>
  <c r="G29" i="15"/>
  <c r="G31" i="10"/>
  <c r="G29" i="18"/>
  <c r="G71" i="14"/>
  <c r="G98" i="44"/>
  <c r="G30" i="20"/>
  <c r="G72" i="20"/>
  <c r="G31" i="19"/>
  <c r="G105" i="8"/>
  <c r="G71" i="18"/>
  <c r="G31" i="14"/>
  <c r="G48" i="42"/>
  <c r="G72" i="21"/>
  <c r="G70" i="17"/>
  <c r="G72" i="13"/>
  <c r="G30" i="21"/>
  <c r="G30" i="17"/>
  <c r="G30" i="13"/>
  <c r="G72" i="16"/>
  <c r="G73" i="12"/>
  <c r="D9" i="72"/>
  <c r="G30" i="16"/>
  <c r="G31" i="12"/>
  <c r="G71" i="15"/>
  <c r="G71" i="10"/>
  <c r="D5" i="8"/>
  <c r="G88" i="8"/>
  <c r="H98" i="8"/>
  <c r="G91" i="8"/>
  <c r="H95" i="8"/>
  <c r="H99" i="8"/>
  <c r="H96" i="8"/>
  <c r="B107" i="8"/>
  <c r="H94" i="8"/>
  <c r="H93" i="8"/>
  <c r="E5" i="8"/>
  <c r="E6" i="23" s="1"/>
  <c r="E35" i="23" s="1"/>
  <c r="C5" i="8"/>
  <c r="B176" i="9"/>
  <c r="B293" i="9" s="1"/>
  <c r="D57" i="9"/>
  <c r="D289" i="9" s="1"/>
  <c r="C237" i="9"/>
  <c r="C295" i="9" s="1"/>
  <c r="B287" i="9"/>
  <c r="B116" i="9"/>
  <c r="B291" i="9" s="1"/>
  <c r="D287" i="9"/>
  <c r="D237" i="9"/>
  <c r="D295" i="9" s="1"/>
  <c r="B237" i="9"/>
  <c r="B295" i="9" s="1"/>
  <c r="D51" i="42"/>
  <c r="D17" i="73"/>
  <c r="C51" i="42"/>
  <c r="B17" i="73"/>
  <c r="F17" i="27"/>
  <c r="F17" i="73"/>
  <c r="D43" i="11"/>
  <c r="E66" i="44"/>
  <c r="C43" i="11"/>
  <c r="B43" i="11"/>
  <c r="C72" i="44"/>
  <c r="C103" i="44" s="1"/>
  <c r="B18" i="73" s="1"/>
  <c r="E72" i="44"/>
  <c r="E103" i="44" s="1"/>
  <c r="F106" i="44" s="1"/>
  <c r="C97" i="10"/>
  <c r="D73" i="10"/>
  <c r="G64" i="10"/>
  <c r="B20" i="73"/>
  <c r="D20" i="27"/>
  <c r="G24" i="10"/>
  <c r="D99" i="10"/>
  <c r="E76" i="10"/>
  <c r="F20" i="73"/>
  <c r="D21" i="27"/>
  <c r="D25" i="3"/>
  <c r="E37" i="12"/>
  <c r="E39" i="12"/>
  <c r="C22" i="12"/>
  <c r="B22" i="27"/>
  <c r="C34" i="12"/>
  <c r="H66" i="12"/>
  <c r="G59" i="12"/>
  <c r="G17" i="12"/>
  <c r="F21" i="27"/>
  <c r="F21" i="73"/>
  <c r="C99" i="12"/>
  <c r="D22" i="27"/>
  <c r="D22" i="73"/>
  <c r="B21" i="27"/>
  <c r="H21" i="12"/>
  <c r="H25" i="12"/>
  <c r="E5" i="12"/>
  <c r="E45" i="12" s="1"/>
  <c r="H64" i="12"/>
  <c r="C5" i="12"/>
  <c r="C45" i="12" s="1"/>
  <c r="H19" i="12"/>
  <c r="B78" i="12"/>
  <c r="F80" i="12"/>
  <c r="D99" i="12"/>
  <c r="D21" i="73"/>
  <c r="D75" i="12"/>
  <c r="G56" i="12"/>
  <c r="H20" i="12"/>
  <c r="G24" i="12"/>
  <c r="D101" i="12"/>
  <c r="H63" i="12"/>
  <c r="C21" i="13"/>
  <c r="H21" i="13"/>
  <c r="C100" i="13"/>
  <c r="B79" i="13" s="1"/>
  <c r="C82" i="13"/>
  <c r="H23" i="13"/>
  <c r="B36" i="13"/>
  <c r="G9" i="13"/>
  <c r="G55" i="13"/>
  <c r="H65" i="13"/>
  <c r="H61" i="13"/>
  <c r="G58" i="13"/>
  <c r="H19" i="13"/>
  <c r="G16" i="13"/>
  <c r="H63" i="13"/>
  <c r="C74" i="13"/>
  <c r="D5" i="13"/>
  <c r="D44" i="13" s="1"/>
  <c r="G51" i="13"/>
  <c r="C5" i="13"/>
  <c r="C44" i="13" s="1"/>
  <c r="C75" i="14"/>
  <c r="D45" i="14" s="1"/>
  <c r="D64" i="14" s="1"/>
  <c r="D75" i="14" s="1"/>
  <c r="C97" i="14"/>
  <c r="B25" i="73"/>
  <c r="E36" i="14"/>
  <c r="D26" i="27"/>
  <c r="D26" i="73"/>
  <c r="G64" i="14"/>
  <c r="B26" i="73"/>
  <c r="D31" i="3"/>
  <c r="F27" i="73"/>
  <c r="F38" i="15"/>
  <c r="C74" i="15"/>
  <c r="C99" i="15" s="1"/>
  <c r="B35" i="15"/>
  <c r="H60" i="15"/>
  <c r="H18" i="15"/>
  <c r="H20" i="15"/>
  <c r="G15" i="15"/>
  <c r="E35" i="15"/>
  <c r="H22" i="15"/>
  <c r="C72" i="15"/>
  <c r="D27" i="27"/>
  <c r="D27" i="73"/>
  <c r="C80" i="15"/>
  <c r="E37" i="15"/>
  <c r="G54" i="15"/>
  <c r="H65" i="15"/>
  <c r="G8" i="15"/>
  <c r="G64" i="15"/>
  <c r="H59" i="15"/>
  <c r="F27" i="27"/>
  <c r="E5" i="15"/>
  <c r="E43" i="15" s="1"/>
  <c r="H64" i="15"/>
  <c r="E32" i="15"/>
  <c r="B75" i="15"/>
  <c r="H19" i="15"/>
  <c r="G12" i="15"/>
  <c r="F29" i="27"/>
  <c r="F29" i="73"/>
  <c r="E78" i="16"/>
  <c r="F30" i="73"/>
  <c r="G65" i="16"/>
  <c r="B30" i="73"/>
  <c r="D32" i="16"/>
  <c r="D29" i="73"/>
  <c r="C74" i="17"/>
  <c r="C99" i="17" s="1"/>
  <c r="C98" i="17"/>
  <c r="C61" i="17"/>
  <c r="E72" i="17"/>
  <c r="C72" i="17"/>
  <c r="C23" i="17"/>
  <c r="C34" i="17" s="1"/>
  <c r="C97" i="17" s="1"/>
  <c r="E75" i="17"/>
  <c r="D98" i="17"/>
  <c r="D32" i="73"/>
  <c r="F32" i="27"/>
  <c r="F32" i="73"/>
  <c r="G23" i="17"/>
  <c r="B31" i="73"/>
  <c r="E77" i="17"/>
  <c r="D96" i="18"/>
  <c r="B37" i="18" s="1"/>
  <c r="D33" i="73"/>
  <c r="F80" i="18"/>
  <c r="F34" i="73"/>
  <c r="D34" i="27"/>
  <c r="D34" i="73"/>
  <c r="C61" i="18"/>
  <c r="B34" i="27"/>
  <c r="B34" i="73"/>
  <c r="G22" i="18"/>
  <c r="B33" i="73"/>
  <c r="B35" i="27"/>
  <c r="C21" i="19"/>
  <c r="F36" i="27"/>
  <c r="D99" i="19"/>
  <c r="D36" i="73"/>
  <c r="C81" i="19"/>
  <c r="D35" i="27"/>
  <c r="C99" i="19"/>
  <c r="B36" i="73"/>
  <c r="B37" i="27"/>
  <c r="B37" i="73"/>
  <c r="D94" i="20"/>
  <c r="C32" i="20"/>
  <c r="B38" i="27"/>
  <c r="B38" i="73"/>
  <c r="D97" i="21"/>
  <c r="C63" i="21"/>
  <c r="C75" i="21" s="1"/>
  <c r="C73" i="21"/>
  <c r="F38" i="21"/>
  <c r="F39" i="73"/>
  <c r="C97" i="21"/>
  <c r="B39" i="73"/>
  <c r="D5" i="28"/>
  <c r="E61" i="27"/>
  <c r="D74" i="27"/>
  <c r="B32" i="38"/>
  <c r="F49" i="38" s="1"/>
  <c r="F8" i="38" s="1"/>
  <c r="C32" i="38"/>
  <c r="E62" i="21"/>
  <c r="G61" i="21" s="1"/>
  <c r="E22" i="13"/>
  <c r="E22" i="17"/>
  <c r="G19" i="17" s="1"/>
  <c r="C5" i="38"/>
  <c r="A5" i="38"/>
  <c r="E22" i="21"/>
  <c r="G19" i="21" s="1"/>
  <c r="E62" i="19"/>
  <c r="G60" i="19" s="1"/>
  <c r="E63" i="14"/>
  <c r="G60" i="14" s="1"/>
  <c r="E23" i="12"/>
  <c r="G20" i="12" s="1"/>
  <c r="E63" i="10"/>
  <c r="G60" i="10" s="1"/>
  <c r="E62" i="20"/>
  <c r="G61" i="20" s="1"/>
  <c r="E62" i="15"/>
  <c r="G60" i="15" s="1"/>
  <c r="E22" i="20"/>
  <c r="G19" i="20" s="1"/>
  <c r="E22" i="14"/>
  <c r="G20" i="14" s="1"/>
  <c r="E22" i="15"/>
  <c r="G18" i="15" s="1"/>
  <c r="E63" i="13"/>
  <c r="G61" i="13" s="1"/>
  <c r="E62" i="17"/>
  <c r="G59" i="17" s="1"/>
  <c r="E62" i="16"/>
  <c r="G61" i="16" s="1"/>
  <c r="E5" i="6"/>
  <c r="D5" i="6"/>
  <c r="J37" i="29"/>
  <c r="F74" i="27"/>
  <c r="D7" i="24"/>
  <c r="D16" i="24" s="1"/>
  <c r="D28" i="24" s="1"/>
  <c r="D31" i="24" s="1"/>
  <c r="C31" i="25"/>
  <c r="D36" i="26"/>
  <c r="D45" i="26" s="1"/>
  <c r="D58" i="26" s="1"/>
  <c r="E36" i="26" s="1"/>
  <c r="E45" i="26" s="1"/>
  <c r="E58" i="26" s="1"/>
  <c r="E60" i="26" s="1"/>
  <c r="C63" i="26"/>
  <c r="D7" i="37"/>
  <c r="D16" i="37" s="1"/>
  <c r="D28" i="37" s="1"/>
  <c r="E7" i="37" s="1"/>
  <c r="E16" i="37" s="1"/>
  <c r="E28" i="37" s="1"/>
  <c r="E30" i="37" s="1"/>
  <c r="G13" i="20"/>
  <c r="H91" i="44"/>
  <c r="H88" i="44"/>
  <c r="J49" i="27"/>
  <c r="D119" i="9"/>
  <c r="D6" i="22"/>
  <c r="D35" i="22" s="1"/>
  <c r="H20" i="20"/>
  <c r="G58" i="20"/>
  <c r="C5" i="20"/>
  <c r="C45" i="20" s="1"/>
  <c r="G55" i="20"/>
  <c r="G51" i="20"/>
  <c r="H21" i="20"/>
  <c r="C110" i="44"/>
  <c r="H89" i="44"/>
  <c r="D179" i="9"/>
  <c r="H65" i="20"/>
  <c r="C40" i="20"/>
  <c r="H19" i="20"/>
  <c r="G84" i="44"/>
  <c r="H92" i="44"/>
  <c r="H86" i="44"/>
  <c r="D69" i="27"/>
  <c r="H66" i="20"/>
  <c r="G16" i="20"/>
  <c r="D5" i="20"/>
  <c r="D45" i="20" s="1"/>
  <c r="B76" i="20"/>
  <c r="D5" i="44"/>
  <c r="G81" i="44"/>
  <c r="C81" i="20"/>
  <c r="D61" i="9"/>
  <c r="H62" i="20"/>
  <c r="H23" i="20"/>
  <c r="H24" i="20"/>
  <c r="H63" i="20"/>
  <c r="E5" i="44"/>
  <c r="C5" i="44"/>
  <c r="H61" i="20"/>
  <c r="D46" i="12"/>
  <c r="D65" i="12" s="1"/>
  <c r="D77" i="12" s="1"/>
  <c r="C102" i="12"/>
  <c r="E31" i="49"/>
  <c r="D72" i="44"/>
  <c r="D103" i="44" s="1"/>
  <c r="D18" i="73" s="1"/>
  <c r="F29" i="48"/>
  <c r="F30" i="48" s="1"/>
  <c r="K18" i="48"/>
  <c r="E99" i="8"/>
  <c r="E105" i="8" s="1"/>
  <c r="F16" i="73" s="1"/>
  <c r="C64" i="13"/>
  <c r="C76" i="13" s="1"/>
  <c r="C62" i="13"/>
  <c r="D31" i="27"/>
  <c r="D32" i="17"/>
  <c r="D96" i="17"/>
  <c r="D45" i="24"/>
  <c r="D57" i="24" s="1"/>
  <c r="D63" i="26"/>
  <c r="B29" i="45"/>
  <c r="D31" i="25"/>
  <c r="E7" i="25"/>
  <c r="E16" i="25" s="1"/>
  <c r="E28" i="25" s="1"/>
  <c r="E30" i="25" s="1"/>
  <c r="D7" i="35"/>
  <c r="D16" i="35" s="1"/>
  <c r="D28" i="35" s="1"/>
  <c r="C31" i="35"/>
  <c r="L37" i="29"/>
  <c r="D18" i="45"/>
  <c r="D29" i="45" s="1"/>
  <c r="D30" i="45" s="1"/>
  <c r="K17" i="45"/>
  <c r="K30" i="45" s="1"/>
  <c r="D36" i="23"/>
  <c r="D45" i="23" s="1"/>
  <c r="D58" i="23" s="1"/>
  <c r="C63" i="23"/>
  <c r="D26" i="26"/>
  <c r="D30" i="26"/>
  <c r="C43" i="22"/>
  <c r="C45" i="22"/>
  <c r="C57" i="22" s="1"/>
  <c r="C56" i="8"/>
  <c r="D56" i="8"/>
  <c r="E56" i="8"/>
  <c r="D97" i="14"/>
  <c r="D25" i="27"/>
  <c r="D33" i="14"/>
  <c r="E36" i="25"/>
  <c r="E45" i="25" s="1"/>
  <c r="E57" i="25" s="1"/>
  <c r="E59" i="25" s="1"/>
  <c r="E36" i="36"/>
  <c r="E45" i="36" s="1"/>
  <c r="E58" i="36" s="1"/>
  <c r="E60" i="36" s="1"/>
  <c r="F30" i="46"/>
  <c r="K29" i="46"/>
  <c r="E62" i="18"/>
  <c r="E23" i="10"/>
  <c r="B29" i="36"/>
  <c r="B59" i="36"/>
  <c r="E78" i="21"/>
  <c r="F40" i="27"/>
  <c r="F80" i="21"/>
  <c r="E73" i="21"/>
  <c r="E76" i="21"/>
  <c r="D44" i="3"/>
  <c r="D7" i="23"/>
  <c r="D16" i="23" s="1"/>
  <c r="D28" i="23" s="1"/>
  <c r="D35" i="3"/>
  <c r="E37" i="17"/>
  <c r="E32" i="17"/>
  <c r="F31" i="27"/>
  <c r="F38" i="17"/>
  <c r="E35" i="17"/>
  <c r="E22" i="18"/>
  <c r="D77" i="8"/>
  <c r="C176" i="9"/>
  <c r="C293" i="9" s="1"/>
  <c r="C61" i="27"/>
  <c r="E75" i="12"/>
  <c r="E78" i="12"/>
  <c r="D26" i="3"/>
  <c r="F22" i="27"/>
  <c r="E80" i="12"/>
  <c r="D41" i="3"/>
  <c r="F37" i="27"/>
  <c r="E32" i="20"/>
  <c r="F38" i="20"/>
  <c r="D28" i="26"/>
  <c r="C45" i="37"/>
  <c r="C58" i="37" s="1"/>
  <c r="C43" i="37"/>
  <c r="C43" i="35"/>
  <c r="C45" i="35"/>
  <c r="C58" i="35" s="1"/>
  <c r="D56" i="26"/>
  <c r="D50" i="27"/>
  <c r="D60" i="26"/>
  <c r="D21" i="21"/>
  <c r="E64" i="12"/>
  <c r="E22" i="16"/>
  <c r="E22" i="19"/>
  <c r="H18" i="47"/>
  <c r="K17" i="47"/>
  <c r="K30" i="47" s="1"/>
  <c r="D30" i="48"/>
  <c r="G23" i="16"/>
  <c r="C97" i="16"/>
  <c r="C32" i="16"/>
  <c r="C34" i="16"/>
  <c r="B29" i="27"/>
  <c r="D98" i="15"/>
  <c r="B77" i="15" s="1"/>
  <c r="D72" i="15"/>
  <c r="C99" i="8"/>
  <c r="C105" i="8" s="1"/>
  <c r="B16" i="73" s="1"/>
  <c r="C16" i="22"/>
  <c r="C28" i="22" s="1"/>
  <c r="C14" i="22"/>
  <c r="D59" i="25"/>
  <c r="D55" i="25"/>
  <c r="D48" i="27"/>
  <c r="D26" i="25"/>
  <c r="D47" i="27"/>
  <c r="C56" i="37"/>
  <c r="C60" i="37"/>
  <c r="D116" i="9"/>
  <c r="D291" i="9" s="1"/>
  <c r="D29" i="47"/>
  <c r="C76" i="42"/>
  <c r="B56" i="42" s="1"/>
  <c r="D19" i="27"/>
  <c r="D97" i="10"/>
  <c r="E73" i="16"/>
  <c r="E72" i="15"/>
  <c r="F28" i="27"/>
  <c r="E75" i="15"/>
  <c r="C28" i="36"/>
  <c r="D30" i="25"/>
  <c r="B35" i="17"/>
  <c r="G49" i="17"/>
  <c r="G13" i="17"/>
  <c r="H61" i="17"/>
  <c r="B77" i="13"/>
  <c r="H62" i="13"/>
  <c r="H20" i="13"/>
  <c r="H60" i="13"/>
  <c r="E5" i="13"/>
  <c r="E44" i="13" s="1"/>
  <c r="H24" i="13"/>
  <c r="H66" i="13"/>
  <c r="G13" i="13"/>
  <c r="E35" i="18"/>
  <c r="E32" i="18"/>
  <c r="B55" i="27"/>
  <c r="C30" i="37"/>
  <c r="C26" i="37"/>
  <c r="C26" i="35"/>
  <c r="B53" i="27"/>
  <c r="C30" i="35"/>
  <c r="C59" i="22"/>
  <c r="B42" i="27"/>
  <c r="C23" i="14"/>
  <c r="C35" i="14" s="1"/>
  <c r="D176" i="9"/>
  <c r="D293" i="9" s="1"/>
  <c r="A5" i="43"/>
  <c r="K37" i="29"/>
  <c r="B59" i="26"/>
  <c r="E59" i="37"/>
  <c r="E56" i="37"/>
  <c r="C36" i="12"/>
  <c r="C116" i="9"/>
  <c r="C291" i="9" s="1"/>
  <c r="A6" i="43"/>
  <c r="C97" i="19"/>
  <c r="C57" i="9"/>
  <c r="C289" i="9" s="1"/>
  <c r="D60" i="8"/>
  <c r="D30" i="36"/>
  <c r="D26" i="36"/>
  <c r="F9" i="38" l="1"/>
  <c r="E12" i="44" s="1"/>
  <c r="E13" i="42"/>
  <c r="D45" i="38"/>
  <c r="G51" i="38"/>
  <c r="H53" i="38"/>
  <c r="E47" i="38"/>
  <c r="D6" i="10"/>
  <c r="D24" i="10" s="1"/>
  <c r="D36" i="10" s="1"/>
  <c r="G19" i="10" s="1"/>
  <c r="B78" i="10"/>
  <c r="B37" i="15"/>
  <c r="B37" i="16"/>
  <c r="B78" i="20"/>
  <c r="B37" i="20"/>
  <c r="C102" i="44"/>
  <c r="C100" i="19"/>
  <c r="B79" i="19" s="1"/>
  <c r="C98" i="19"/>
  <c r="C77" i="42"/>
  <c r="D46" i="10"/>
  <c r="D64" i="10" s="1"/>
  <c r="D75" i="10" s="1"/>
  <c r="E46" i="10" s="1"/>
  <c r="E64" i="10" s="1"/>
  <c r="E79" i="10" s="1"/>
  <c r="E81" i="10" s="1"/>
  <c r="C100" i="10"/>
  <c r="B80" i="12"/>
  <c r="D6" i="13"/>
  <c r="D23" i="13" s="1"/>
  <c r="D35" i="13" s="1"/>
  <c r="E6" i="13" s="1"/>
  <c r="E23" i="13" s="1"/>
  <c r="E39" i="13" s="1"/>
  <c r="E41" i="13" s="1"/>
  <c r="B38" i="13"/>
  <c r="C100" i="14"/>
  <c r="D44" i="15"/>
  <c r="D63" i="15" s="1"/>
  <c r="D74" i="15" s="1"/>
  <c r="G59" i="15" s="1"/>
  <c r="D6" i="15"/>
  <c r="D23" i="15" s="1"/>
  <c r="D34" i="15" s="1"/>
  <c r="D97" i="15" s="1"/>
  <c r="B38" i="15" s="1"/>
  <c r="G60" i="16"/>
  <c r="E44" i="16"/>
  <c r="E63" i="16" s="1"/>
  <c r="E79" i="16" s="1"/>
  <c r="E81" i="16" s="1"/>
  <c r="B37" i="17"/>
  <c r="D6" i="17"/>
  <c r="D23" i="17" s="1"/>
  <c r="D34" i="17" s="1"/>
  <c r="D97" i="17" s="1"/>
  <c r="B38" i="17" s="1"/>
  <c r="C97" i="18"/>
  <c r="D6" i="18"/>
  <c r="D23" i="18" s="1"/>
  <c r="D34" i="18" s="1"/>
  <c r="D44" i="18"/>
  <c r="D63" i="18" s="1"/>
  <c r="D74" i="18" s="1"/>
  <c r="C99" i="18"/>
  <c r="B37" i="19"/>
  <c r="D6" i="20"/>
  <c r="D23" i="20" s="1"/>
  <c r="D34" i="20" s="1"/>
  <c r="D95" i="20" s="1"/>
  <c r="B38" i="20" s="1"/>
  <c r="C97" i="20"/>
  <c r="C98" i="21"/>
  <c r="B37" i="21"/>
  <c r="E7" i="42"/>
  <c r="D77" i="42"/>
  <c r="G36" i="42"/>
  <c r="D182" i="9"/>
  <c r="C182" i="9"/>
  <c r="B182" i="9"/>
  <c r="B57" i="73"/>
  <c r="B57" i="27"/>
  <c r="C64" i="9"/>
  <c r="B64" i="9"/>
  <c r="D64" i="9"/>
  <c r="K18" i="45"/>
  <c r="B77" i="17"/>
  <c r="D122" i="9"/>
  <c r="C122" i="9"/>
  <c r="B122" i="9"/>
  <c r="B39" i="10"/>
  <c r="F74" i="73"/>
  <c r="B243" i="9"/>
  <c r="C243" i="9"/>
  <c r="D243" i="9"/>
  <c r="B58" i="73"/>
  <c r="B58" i="27"/>
  <c r="B78" i="14"/>
  <c r="G72" i="17"/>
  <c r="G33" i="14"/>
  <c r="G32" i="21"/>
  <c r="G32" i="20"/>
  <c r="G33" i="19"/>
  <c r="G31" i="18"/>
  <c r="G32" i="17"/>
  <c r="G32" i="16"/>
  <c r="G31" i="15"/>
  <c r="G32" i="13"/>
  <c r="G107" i="8"/>
  <c r="G75" i="12"/>
  <c r="G73" i="14"/>
  <c r="G33" i="12"/>
  <c r="G74" i="21"/>
  <c r="G74" i="20"/>
  <c r="G73" i="19"/>
  <c r="G73" i="18"/>
  <c r="G74" i="16"/>
  <c r="G73" i="15"/>
  <c r="G74" i="13"/>
  <c r="G73" i="10"/>
  <c r="G100" i="44"/>
  <c r="G33" i="10"/>
  <c r="G50" i="42"/>
  <c r="C6" i="35"/>
  <c r="C35" i="35" s="1"/>
  <c r="C6" i="25"/>
  <c r="C35" i="25" s="1"/>
  <c r="C6" i="22"/>
  <c r="C35" i="22" s="1"/>
  <c r="C6" i="37"/>
  <c r="C35" i="37" s="1"/>
  <c r="C6" i="36"/>
  <c r="C35" i="36" s="1"/>
  <c r="C6" i="24"/>
  <c r="C35" i="24" s="1"/>
  <c r="C6" i="23"/>
  <c r="C35" i="23" s="1"/>
  <c r="C6" i="26"/>
  <c r="C35" i="26" s="1"/>
  <c r="E6" i="26"/>
  <c r="E35" i="26" s="1"/>
  <c r="E6" i="37"/>
  <c r="E35" i="37" s="1"/>
  <c r="E6" i="25"/>
  <c r="E35" i="25" s="1"/>
  <c r="E6" i="36"/>
  <c r="E35" i="36" s="1"/>
  <c r="E6" i="35"/>
  <c r="E35" i="35" s="1"/>
  <c r="E6" i="22"/>
  <c r="E35" i="22" s="1"/>
  <c r="E6" i="24"/>
  <c r="E35" i="24" s="1"/>
  <c r="D6" i="26"/>
  <c r="D35" i="26" s="1"/>
  <c r="D6" i="37"/>
  <c r="D35" i="37" s="1"/>
  <c r="D6" i="36"/>
  <c r="D35" i="36" s="1"/>
  <c r="D6" i="25"/>
  <c r="D35" i="25" s="1"/>
  <c r="D6" i="24"/>
  <c r="D35" i="24" s="1"/>
  <c r="D6" i="23"/>
  <c r="D35" i="23" s="1"/>
  <c r="D6" i="35"/>
  <c r="D35" i="35" s="1"/>
  <c r="B297" i="9"/>
  <c r="D297" i="9"/>
  <c r="D99" i="8"/>
  <c r="D105" i="8" s="1"/>
  <c r="D16" i="73" s="1"/>
  <c r="D61" i="73" s="1"/>
  <c r="D64" i="73" s="1"/>
  <c r="E107" i="44"/>
  <c r="D22" i="3"/>
  <c r="E102" i="44"/>
  <c r="F18" i="73"/>
  <c r="F61" i="73" s="1"/>
  <c r="F64" i="73" s="1"/>
  <c r="E105" i="44"/>
  <c r="F18" i="27"/>
  <c r="G91" i="44"/>
  <c r="B18" i="27"/>
  <c r="C104" i="44"/>
  <c r="D6" i="44" s="1"/>
  <c r="D55" i="44" s="1"/>
  <c r="C125" i="44"/>
  <c r="B39" i="12"/>
  <c r="B38" i="14"/>
  <c r="D44" i="17"/>
  <c r="D63" i="17" s="1"/>
  <c r="D74" i="17" s="1"/>
  <c r="B78" i="19"/>
  <c r="E44" i="19"/>
  <c r="E63" i="19" s="1"/>
  <c r="E79" i="19" s="1"/>
  <c r="E81" i="19" s="1"/>
  <c r="G59" i="19"/>
  <c r="B61" i="73"/>
  <c r="B64" i="73" s="1"/>
  <c r="D44" i="21"/>
  <c r="D63" i="21" s="1"/>
  <c r="D75" i="21" s="1"/>
  <c r="C100" i="21"/>
  <c r="M49" i="27"/>
  <c r="M57" i="27" s="1"/>
  <c r="G19" i="13"/>
  <c r="E7" i="24"/>
  <c r="E16" i="24" s="1"/>
  <c r="E28" i="24" s="1"/>
  <c r="E30" i="24" s="1"/>
  <c r="D31" i="37"/>
  <c r="H29" i="47"/>
  <c r="H30" i="47" s="1"/>
  <c r="K18" i="47"/>
  <c r="G20" i="10"/>
  <c r="C62" i="22"/>
  <c r="D36" i="22"/>
  <c r="D45" i="22" s="1"/>
  <c r="D57" i="22" s="1"/>
  <c r="D102" i="12"/>
  <c r="B81" i="12" s="1"/>
  <c r="G61" i="12"/>
  <c r="E46" i="12"/>
  <c r="E65" i="12" s="1"/>
  <c r="E81" i="12" s="1"/>
  <c r="E83" i="12" s="1"/>
  <c r="C297" i="9"/>
  <c r="C98" i="16"/>
  <c r="D6" i="16"/>
  <c r="D23" i="16" s="1"/>
  <c r="D34" i="16" s="1"/>
  <c r="G20" i="19"/>
  <c r="G60" i="18"/>
  <c r="G19" i="16"/>
  <c r="G18" i="18"/>
  <c r="D31" i="23"/>
  <c r="E7" i="23"/>
  <c r="E16" i="23" s="1"/>
  <c r="E28" i="23" s="1"/>
  <c r="E30" i="23" s="1"/>
  <c r="C104" i="8"/>
  <c r="G98" i="8"/>
  <c r="B16" i="27"/>
  <c r="C106" i="8"/>
  <c r="C127" i="8"/>
  <c r="D97" i="18"/>
  <c r="G17" i="18"/>
  <c r="E6" i="18"/>
  <c r="E23" i="18" s="1"/>
  <c r="E38" i="18" s="1"/>
  <c r="E40" i="18" s="1"/>
  <c r="G59" i="14"/>
  <c r="E45" i="14"/>
  <c r="E64" i="14" s="1"/>
  <c r="E79" i="14" s="1"/>
  <c r="E81" i="14" s="1"/>
  <c r="D100" i="14"/>
  <c r="D102" i="44"/>
  <c r="D18" i="27"/>
  <c r="D125" i="44"/>
  <c r="D7" i="22"/>
  <c r="D16" i="22" s="1"/>
  <c r="D28" i="22" s="1"/>
  <c r="C31" i="22"/>
  <c r="D31" i="35"/>
  <c r="E7" i="35"/>
  <c r="E16" i="35" s="1"/>
  <c r="E28" i="35" s="1"/>
  <c r="E30" i="35" s="1"/>
  <c r="D7" i="36"/>
  <c r="D16" i="36" s="1"/>
  <c r="D28" i="36" s="1"/>
  <c r="C31" i="36"/>
  <c r="D36" i="35"/>
  <c r="D45" i="35" s="1"/>
  <c r="D58" i="35" s="1"/>
  <c r="C63" i="35"/>
  <c r="C100" i="12"/>
  <c r="D6" i="12"/>
  <c r="D24" i="12" s="1"/>
  <c r="D36" i="12" s="1"/>
  <c r="K29" i="48"/>
  <c r="G19" i="19"/>
  <c r="E6" i="19"/>
  <c r="E23" i="19" s="1"/>
  <c r="E38" i="19" s="1"/>
  <c r="E40" i="19" s="1"/>
  <c r="D98" i="19"/>
  <c r="E36" i="23"/>
  <c r="E45" i="23" s="1"/>
  <c r="E58" i="23" s="1"/>
  <c r="E60" i="23" s="1"/>
  <c r="D63" i="23"/>
  <c r="K29" i="45"/>
  <c r="B30" i="45"/>
  <c r="C101" i="13"/>
  <c r="D45" i="13"/>
  <c r="D64" i="13" s="1"/>
  <c r="D76" i="13" s="1"/>
  <c r="D30" i="47"/>
  <c r="K29" i="47"/>
  <c r="G62" i="12"/>
  <c r="D98" i="21"/>
  <c r="G18" i="21"/>
  <c r="E6" i="21"/>
  <c r="E23" i="21" s="1"/>
  <c r="E38" i="21" s="1"/>
  <c r="E40" i="21" s="1"/>
  <c r="D36" i="37"/>
  <c r="D45" i="37" s="1"/>
  <c r="D58" i="37" s="1"/>
  <c r="C63" i="37"/>
  <c r="G60" i="20"/>
  <c r="D97" i="20"/>
  <c r="E46" i="20"/>
  <c r="E63" i="20" s="1"/>
  <c r="E79" i="20" s="1"/>
  <c r="E81" i="20" s="1"/>
  <c r="C98" i="14"/>
  <c r="D6" i="14"/>
  <c r="D23" i="14" s="1"/>
  <c r="D35" i="14" s="1"/>
  <c r="D31" i="26"/>
  <c r="E7" i="26"/>
  <c r="E16" i="26" s="1"/>
  <c r="E28" i="26" s="1"/>
  <c r="E30" i="26" s="1"/>
  <c r="E36" i="24"/>
  <c r="E45" i="24" s="1"/>
  <c r="E57" i="24" s="1"/>
  <c r="E59" i="24" s="1"/>
  <c r="D62" i="24"/>
  <c r="F16" i="27"/>
  <c r="D20" i="3"/>
  <c r="F113" i="8"/>
  <c r="E104" i="8"/>
  <c r="E109" i="8"/>
  <c r="E107" i="8"/>
  <c r="F7" i="38" l="1"/>
  <c r="E12" i="8" s="1"/>
  <c r="E8" i="38"/>
  <c r="E12" i="42" s="1"/>
  <c r="E9" i="38"/>
  <c r="E11" i="44" s="1"/>
  <c r="H8" i="38"/>
  <c r="H9" i="38"/>
  <c r="E14" i="44" s="1"/>
  <c r="G8" i="38"/>
  <c r="G9" i="38"/>
  <c r="E13" i="44" s="1"/>
  <c r="D8" i="38"/>
  <c r="E11" i="42" s="1"/>
  <c r="D9" i="38"/>
  <c r="E10" i="44" s="1"/>
  <c r="E7" i="38"/>
  <c r="E15" i="42"/>
  <c r="H7" i="38"/>
  <c r="E14" i="42"/>
  <c r="G7" i="38"/>
  <c r="D98" i="10"/>
  <c r="B40" i="10" s="1"/>
  <c r="E6" i="10"/>
  <c r="E24" i="10" s="1"/>
  <c r="E40" i="10" s="1"/>
  <c r="E42" i="10" s="1"/>
  <c r="E23" i="3" s="1"/>
  <c r="F23" i="3" s="1"/>
  <c r="F26" i="3"/>
  <c r="B79" i="14"/>
  <c r="D99" i="15"/>
  <c r="B78" i="15" s="1"/>
  <c r="B38" i="18"/>
  <c r="B38" i="19"/>
  <c r="D65" i="3"/>
  <c r="B57" i="42"/>
  <c r="C126" i="44"/>
  <c r="G59" i="10"/>
  <c r="D100" i="10"/>
  <c r="B79" i="10" s="1"/>
  <c r="G18" i="13"/>
  <c r="D99" i="13"/>
  <c r="B39" i="13" s="1"/>
  <c r="E44" i="15"/>
  <c r="E63" i="15" s="1"/>
  <c r="E78" i="15" s="1"/>
  <c r="E80" i="15" s="1"/>
  <c r="E6" i="15"/>
  <c r="E23" i="15" s="1"/>
  <c r="E38" i="15" s="1"/>
  <c r="E40" i="15" s="1"/>
  <c r="G17" i="15"/>
  <c r="G18" i="17"/>
  <c r="E6" i="17"/>
  <c r="E23" i="17" s="1"/>
  <c r="E38" i="17" s="1"/>
  <c r="E40" i="17" s="1"/>
  <c r="G59" i="18"/>
  <c r="D99" i="18"/>
  <c r="B78" i="18" s="1"/>
  <c r="E44" i="18"/>
  <c r="E63" i="18" s="1"/>
  <c r="E78" i="18" s="1"/>
  <c r="E80" i="18" s="1"/>
  <c r="E6" i="20"/>
  <c r="E23" i="20" s="1"/>
  <c r="E38" i="20" s="1"/>
  <c r="E40" i="20" s="1"/>
  <c r="G37" i="73" s="1"/>
  <c r="H37" i="73" s="1"/>
  <c r="G18" i="20"/>
  <c r="B79" i="20"/>
  <c r="B38" i="21"/>
  <c r="D16" i="27"/>
  <c r="D61" i="27" s="1"/>
  <c r="D64" i="27" s="1"/>
  <c r="D127" i="8"/>
  <c r="B109" i="8" s="1"/>
  <c r="D104" i="8"/>
  <c r="B61" i="27"/>
  <c r="B64" i="27" s="1"/>
  <c r="F61" i="27"/>
  <c r="F64" i="27" s="1"/>
  <c r="B107" i="44"/>
  <c r="G20" i="27"/>
  <c r="H20" i="27" s="1"/>
  <c r="G69" i="10" s="1"/>
  <c r="G20" i="73"/>
  <c r="H20" i="73" s="1"/>
  <c r="E24" i="3"/>
  <c r="F24" i="3" s="1"/>
  <c r="G22" i="73"/>
  <c r="H22" i="73" s="1"/>
  <c r="G23" i="73"/>
  <c r="H23" i="73" s="1"/>
  <c r="G26" i="73"/>
  <c r="H26" i="73" s="1"/>
  <c r="E61" i="16"/>
  <c r="G30" i="73"/>
  <c r="H30" i="73" s="1"/>
  <c r="E44" i="17"/>
  <c r="E63" i="17" s="1"/>
  <c r="E78" i="17" s="1"/>
  <c r="E80" i="17" s="1"/>
  <c r="G58" i="17"/>
  <c r="D99" i="17"/>
  <c r="B78" i="17" s="1"/>
  <c r="E21" i="18"/>
  <c r="G33" i="73"/>
  <c r="H33" i="73" s="1"/>
  <c r="E61" i="19"/>
  <c r="G36" i="73"/>
  <c r="H36" i="73" s="1"/>
  <c r="E21" i="19"/>
  <c r="G35" i="73"/>
  <c r="H35" i="73" s="1"/>
  <c r="G38" i="73"/>
  <c r="H38" i="73" s="1"/>
  <c r="G60" i="21"/>
  <c r="D100" i="21"/>
  <c r="B79" i="21" s="1"/>
  <c r="E44" i="21"/>
  <c r="E63" i="21" s="1"/>
  <c r="E79" i="21" s="1"/>
  <c r="E81" i="21" s="1"/>
  <c r="G39" i="73"/>
  <c r="H39" i="73" s="1"/>
  <c r="G62" i="16"/>
  <c r="K62" i="16" s="1"/>
  <c r="G61" i="10"/>
  <c r="E62" i="10"/>
  <c r="G20" i="13"/>
  <c r="E27" i="3"/>
  <c r="F27" i="3" s="1"/>
  <c r="G23" i="27"/>
  <c r="H23" i="27" s="1"/>
  <c r="G28" i="13" s="1"/>
  <c r="E21" i="13"/>
  <c r="G30" i="27"/>
  <c r="H30" i="27" s="1"/>
  <c r="G70" i="16" s="1"/>
  <c r="E34" i="3"/>
  <c r="F34" i="3" s="1"/>
  <c r="E40" i="3"/>
  <c r="F40" i="3" s="1"/>
  <c r="G36" i="27"/>
  <c r="H36" i="27" s="1"/>
  <c r="G69" i="19" s="1"/>
  <c r="G61" i="19"/>
  <c r="K61" i="19" s="1"/>
  <c r="G22" i="27"/>
  <c r="H22" i="27" s="1"/>
  <c r="G71" i="12" s="1"/>
  <c r="G63" i="12"/>
  <c r="K63" i="12" s="1"/>
  <c r="E26" i="3"/>
  <c r="E63" i="12"/>
  <c r="G21" i="19"/>
  <c r="K21" i="19" s="1"/>
  <c r="E39" i="3"/>
  <c r="F39" i="3" s="1"/>
  <c r="G35" i="27"/>
  <c r="H35" i="27" s="1"/>
  <c r="G29" i="19" s="1"/>
  <c r="D63" i="35"/>
  <c r="E36" i="35"/>
  <c r="E45" i="35" s="1"/>
  <c r="E58" i="35" s="1"/>
  <c r="E60" i="35" s="1"/>
  <c r="G19" i="14"/>
  <c r="E6" i="14"/>
  <c r="E23" i="14" s="1"/>
  <c r="E39" i="14" s="1"/>
  <c r="E41" i="14" s="1"/>
  <c r="D98" i="14"/>
  <c r="B39" i="14" s="1"/>
  <c r="E45" i="13"/>
  <c r="E64" i="13" s="1"/>
  <c r="E80" i="13" s="1"/>
  <c r="E82" i="13" s="1"/>
  <c r="G60" i="13"/>
  <c r="D101" i="13"/>
  <c r="B80" i="13" s="1"/>
  <c r="E36" i="22"/>
  <c r="E45" i="22" s="1"/>
  <c r="E57" i="22" s="1"/>
  <c r="E59" i="22" s="1"/>
  <c r="D62" i="22"/>
  <c r="D6" i="8"/>
  <c r="D49" i="8" s="1"/>
  <c r="C128" i="8"/>
  <c r="G38" i="27"/>
  <c r="H38" i="27" s="1"/>
  <c r="G70" i="20" s="1"/>
  <c r="E42" i="3"/>
  <c r="F42" i="3" s="1"/>
  <c r="G62" i="20"/>
  <c r="K62" i="20" s="1"/>
  <c r="E61" i="20"/>
  <c r="D100" i="12"/>
  <c r="B40" i="12" s="1"/>
  <c r="G19" i="12"/>
  <c r="E6" i="12"/>
  <c r="E24" i="12" s="1"/>
  <c r="E40" i="12" s="1"/>
  <c r="E42" i="12" s="1"/>
  <c r="E62" i="14"/>
  <c r="G61" i="14"/>
  <c r="K61" i="14" s="1"/>
  <c r="E30" i="3"/>
  <c r="F30" i="3" s="1"/>
  <c r="G26" i="27"/>
  <c r="H26" i="27" s="1"/>
  <c r="G69" i="14" s="1"/>
  <c r="G18" i="16"/>
  <c r="D98" i="16"/>
  <c r="B38" i="16" s="1"/>
  <c r="E6" i="16"/>
  <c r="E23" i="16" s="1"/>
  <c r="E38" i="16" s="1"/>
  <c r="E40" i="16" s="1"/>
  <c r="D104" i="44"/>
  <c r="D64" i="44"/>
  <c r="D31" i="36"/>
  <c r="E7" i="36"/>
  <c r="E16" i="36" s="1"/>
  <c r="E28" i="36" s="1"/>
  <c r="E30" i="36" s="1"/>
  <c r="D63" i="37"/>
  <c r="E36" i="37"/>
  <c r="E45" i="37" s="1"/>
  <c r="E58" i="37" s="1"/>
  <c r="E60" i="37" s="1"/>
  <c r="E7" i="22"/>
  <c r="E16" i="22" s="1"/>
  <c r="E28" i="22" s="1"/>
  <c r="E30" i="22" s="1"/>
  <c r="D31" i="22"/>
  <c r="E43" i="3"/>
  <c r="F43" i="3" s="1"/>
  <c r="G20" i="21"/>
  <c r="K20" i="21" s="1"/>
  <c r="G39" i="27"/>
  <c r="H39" i="27" s="1"/>
  <c r="G28" i="21" s="1"/>
  <c r="E21" i="21"/>
  <c r="E37" i="3"/>
  <c r="F37" i="3" s="1"/>
  <c r="G33" i="27"/>
  <c r="H33" i="27" s="1"/>
  <c r="G27" i="18" s="1"/>
  <c r="G19" i="18"/>
  <c r="K19" i="18" s="1"/>
  <c r="F32" i="38" l="1"/>
  <c r="E54" i="44"/>
  <c r="G87" i="44" s="1"/>
  <c r="D7" i="38"/>
  <c r="E14" i="8"/>
  <c r="H32" i="38"/>
  <c r="G20" i="20"/>
  <c r="K20" i="20" s="1"/>
  <c r="E11" i="8"/>
  <c r="E32" i="38"/>
  <c r="G37" i="27"/>
  <c r="H37" i="27" s="1"/>
  <c r="G28" i="20" s="1"/>
  <c r="E41" i="3"/>
  <c r="E21" i="20"/>
  <c r="E13" i="8"/>
  <c r="G32" i="38"/>
  <c r="E29" i="42"/>
  <c r="E10" i="8"/>
  <c r="D32" i="38"/>
  <c r="G19" i="73"/>
  <c r="H19" i="73" s="1"/>
  <c r="G21" i="10"/>
  <c r="K21" i="10" s="1"/>
  <c r="E22" i="10"/>
  <c r="G19" i="27"/>
  <c r="H19" i="27" s="1"/>
  <c r="G29" i="10" s="1"/>
  <c r="F28" i="3"/>
  <c r="E21" i="15"/>
  <c r="G28" i="73"/>
  <c r="H28" i="73" s="1"/>
  <c r="F33" i="3"/>
  <c r="G20" i="17"/>
  <c r="K20" i="17" s="1"/>
  <c r="E38" i="3"/>
  <c r="F38" i="3"/>
  <c r="F41" i="3"/>
  <c r="G62" i="21"/>
  <c r="K62" i="21" s="1"/>
  <c r="G62" i="10"/>
  <c r="G65" i="10" s="1"/>
  <c r="E61" i="15"/>
  <c r="G61" i="15"/>
  <c r="K61" i="15" s="1"/>
  <c r="E32" i="3"/>
  <c r="F32" i="3" s="1"/>
  <c r="G28" i="27"/>
  <c r="H28" i="27" s="1"/>
  <c r="G69" i="15" s="1"/>
  <c r="G19" i="15"/>
  <c r="K19" i="15" s="1"/>
  <c r="G27" i="27"/>
  <c r="H27" i="27" s="1"/>
  <c r="G27" i="15" s="1"/>
  <c r="E31" i="3"/>
  <c r="F31" i="3" s="1"/>
  <c r="G27" i="73"/>
  <c r="H27" i="73" s="1"/>
  <c r="E35" i="3"/>
  <c r="F35" i="3" s="1"/>
  <c r="G31" i="27"/>
  <c r="H31" i="27" s="1"/>
  <c r="G28" i="17" s="1"/>
  <c r="G31" i="73"/>
  <c r="H31" i="73" s="1"/>
  <c r="E21" i="17"/>
  <c r="G34" i="27"/>
  <c r="H34" i="27" s="1"/>
  <c r="G69" i="18" s="1"/>
  <c r="E61" i="18"/>
  <c r="G34" i="73"/>
  <c r="H34" i="73" s="1"/>
  <c r="G61" i="18"/>
  <c r="K61" i="18" s="1"/>
  <c r="G21" i="20"/>
  <c r="G24" i="20" s="1"/>
  <c r="K61" i="10"/>
  <c r="G21" i="73"/>
  <c r="H21" i="73" s="1"/>
  <c r="G24" i="73"/>
  <c r="H24" i="73" s="1"/>
  <c r="G62" i="14"/>
  <c r="G65" i="14" s="1"/>
  <c r="G25" i="73"/>
  <c r="H25" i="73" s="1"/>
  <c r="G29" i="73"/>
  <c r="H29" i="73" s="1"/>
  <c r="E61" i="17"/>
  <c r="E36" i="3"/>
  <c r="F36" i="3" s="1"/>
  <c r="G32" i="27"/>
  <c r="H32" i="27" s="1"/>
  <c r="G68" i="17" s="1"/>
  <c r="G60" i="17"/>
  <c r="G32" i="73"/>
  <c r="H32" i="73" s="1"/>
  <c r="E44" i="3"/>
  <c r="F44" i="3" s="1"/>
  <c r="G40" i="27"/>
  <c r="H40" i="27" s="1"/>
  <c r="G70" i="21" s="1"/>
  <c r="G40" i="73"/>
  <c r="H40" i="73" s="1"/>
  <c r="E61" i="21"/>
  <c r="G63" i="16"/>
  <c r="G66" i="16" s="1"/>
  <c r="G62" i="19"/>
  <c r="G65" i="19" s="1"/>
  <c r="G64" i="12"/>
  <c r="G67" i="12" s="1"/>
  <c r="K20" i="13"/>
  <c r="G21" i="13"/>
  <c r="G24" i="13" s="1"/>
  <c r="G63" i="20"/>
  <c r="G66" i="20" s="1"/>
  <c r="G22" i="19"/>
  <c r="G25" i="19" s="1"/>
  <c r="E33" i="3"/>
  <c r="G20" i="16"/>
  <c r="K20" i="16" s="1"/>
  <c r="G29" i="27"/>
  <c r="H29" i="27" s="1"/>
  <c r="G28" i="16" s="1"/>
  <c r="E21" i="16"/>
  <c r="D106" i="8"/>
  <c r="D57" i="8"/>
  <c r="G21" i="14"/>
  <c r="K21" i="14" s="1"/>
  <c r="G25" i="27"/>
  <c r="H25" i="27" s="1"/>
  <c r="G29" i="14" s="1"/>
  <c r="E29" i="3"/>
  <c r="F29" i="3" s="1"/>
  <c r="E21" i="14"/>
  <c r="G20" i="18"/>
  <c r="G23" i="18" s="1"/>
  <c r="G21" i="21"/>
  <c r="G24" i="21" s="1"/>
  <c r="D126" i="44"/>
  <c r="B108" i="44" s="1"/>
  <c r="E6" i="44"/>
  <c r="G86" i="44"/>
  <c r="E25" i="3"/>
  <c r="F25" i="3" s="1"/>
  <c r="G21" i="27"/>
  <c r="H21" i="27" s="1"/>
  <c r="G29" i="12" s="1"/>
  <c r="G21" i="12"/>
  <c r="K21" i="12" s="1"/>
  <c r="E22" i="12"/>
  <c r="E28" i="3"/>
  <c r="G24" i="27"/>
  <c r="H24" i="27" s="1"/>
  <c r="G70" i="13" s="1"/>
  <c r="G62" i="13"/>
  <c r="K62" i="13" s="1"/>
  <c r="E62" i="13"/>
  <c r="E55" i="44" l="1"/>
  <c r="E48" i="8"/>
  <c r="G94" i="8" s="1"/>
  <c r="G37" i="42"/>
  <c r="E30" i="42"/>
  <c r="E57" i="42" s="1"/>
  <c r="E59" i="42" s="1"/>
  <c r="E28" i="42" s="1"/>
  <c r="G22" i="10"/>
  <c r="G25" i="10" s="1"/>
  <c r="G21" i="17"/>
  <c r="G24" i="17" s="1"/>
  <c r="G63" i="21"/>
  <c r="G66" i="21" s="1"/>
  <c r="G62" i="15"/>
  <c r="G65" i="15" s="1"/>
  <c r="G20" i="15"/>
  <c r="G23" i="15" s="1"/>
  <c r="G62" i="18"/>
  <c r="G65" i="18" s="1"/>
  <c r="K60" i="17"/>
  <c r="G61" i="17"/>
  <c r="G64" i="17" s="1"/>
  <c r="G21" i="16"/>
  <c r="G24" i="16" s="1"/>
  <c r="G22" i="12"/>
  <c r="G25" i="12" s="1"/>
  <c r="G63" i="13"/>
  <c r="G66" i="13" s="1"/>
  <c r="D128" i="8"/>
  <c r="B110" i="8" s="1"/>
  <c r="G93" i="8"/>
  <c r="E6" i="8"/>
  <c r="G22" i="14"/>
  <c r="G25" i="14" s="1"/>
  <c r="E64" i="44"/>
  <c r="E108" i="44"/>
  <c r="E110" i="44" s="1"/>
  <c r="E49" i="8" l="1"/>
  <c r="E57" i="8" s="1"/>
  <c r="G17" i="27"/>
  <c r="H17" i="27" s="1"/>
  <c r="G46" i="42" s="1"/>
  <c r="E21" i="3"/>
  <c r="F21" i="3" s="1"/>
  <c r="G17" i="73"/>
  <c r="H17" i="73" s="1"/>
  <c r="G38" i="42"/>
  <c r="K38" i="42" s="1"/>
  <c r="G18" i="73"/>
  <c r="H18" i="73" s="1"/>
  <c r="E22" i="3"/>
  <c r="F22" i="3" s="1"/>
  <c r="G18" i="27"/>
  <c r="H18" i="27" s="1"/>
  <c r="G96" i="44" s="1"/>
  <c r="G88" i="44"/>
  <c r="E53" i="44"/>
  <c r="G39" i="42" l="1"/>
  <c r="G42" i="42" s="1"/>
  <c r="E110" i="8"/>
  <c r="E112" i="8" s="1"/>
  <c r="G16" i="73" s="1"/>
  <c r="G61" i="73" s="1"/>
  <c r="K88" i="44"/>
  <c r="G89" i="44"/>
  <c r="G92" i="44" s="1"/>
  <c r="E47" i="8" l="1"/>
  <c r="G95" i="8"/>
  <c r="K95" i="8" s="1"/>
  <c r="G16" i="27"/>
  <c r="G61" i="27" s="1"/>
  <c r="M65" i="27" s="1"/>
  <c r="E20" i="3"/>
  <c r="E65" i="3" s="1"/>
  <c r="F74" i="3" s="1"/>
  <c r="F20" i="3"/>
  <c r="F65" i="3" s="1"/>
  <c r="H16" i="73"/>
  <c r="H61" i="73" s="1"/>
  <c r="M62" i="73" s="1"/>
  <c r="H16" i="27"/>
  <c r="G103" i="8" s="1"/>
  <c r="M56" i="73"/>
  <c r="M58" i="73" s="1"/>
  <c r="M65" i="73"/>
  <c r="G96" i="8" l="1"/>
  <c r="G99" i="8" s="1"/>
  <c r="M56" i="27"/>
  <c r="M58" i="27" s="1"/>
  <c r="H61" i="27"/>
  <c r="G32" i="12" s="1"/>
  <c r="J35" i="12" s="1"/>
  <c r="G37" i="12" s="1"/>
  <c r="M67" i="73"/>
  <c r="J69" i="73" s="1"/>
  <c r="M52" i="73"/>
  <c r="J52" i="73" s="1"/>
  <c r="M51" i="73"/>
  <c r="J51" i="73" s="1"/>
  <c r="M51" i="27"/>
  <c r="J51" i="27" s="1"/>
  <c r="M52" i="27"/>
  <c r="J52" i="27" s="1"/>
  <c r="G73" i="13" l="1"/>
  <c r="J76" i="13" s="1"/>
  <c r="G78" i="13" s="1"/>
  <c r="G72" i="10"/>
  <c r="J75" i="10" s="1"/>
  <c r="G77" i="10" s="1"/>
  <c r="G72" i="18"/>
  <c r="J75" i="18" s="1"/>
  <c r="G77" i="18" s="1"/>
  <c r="G72" i="19"/>
  <c r="J75" i="19" s="1"/>
  <c r="G77" i="19" s="1"/>
  <c r="G31" i="16"/>
  <c r="J34" i="16" s="1"/>
  <c r="G36" i="16" s="1"/>
  <c r="G31" i="20"/>
  <c r="J34" i="20" s="1"/>
  <c r="G36" i="20" s="1"/>
  <c r="G49" i="42"/>
  <c r="J52" i="42" s="1"/>
  <c r="G54" i="42" s="1"/>
  <c r="G9" i="72"/>
  <c r="M67" i="27"/>
  <c r="J69" i="27" s="1"/>
  <c r="G31" i="13"/>
  <c r="J34" i="13" s="1"/>
  <c r="G36" i="13" s="1"/>
  <c r="G73" i="16"/>
  <c r="J76" i="16" s="1"/>
  <c r="G78" i="16" s="1"/>
  <c r="G31" i="17"/>
  <c r="J34" i="17" s="1"/>
  <c r="G36" i="17" s="1"/>
  <c r="G72" i="15"/>
  <c r="J75" i="15" s="1"/>
  <c r="G77" i="15" s="1"/>
  <c r="G73" i="21"/>
  <c r="J76" i="21" s="1"/>
  <c r="G78" i="21" s="1"/>
  <c r="G32" i="19"/>
  <c r="J35" i="19" s="1"/>
  <c r="G37" i="19" s="1"/>
  <c r="G71" i="17"/>
  <c r="J74" i="17" s="1"/>
  <c r="G76" i="17" s="1"/>
  <c r="G74" i="12"/>
  <c r="J77" i="12" s="1"/>
  <c r="G79" i="12" s="1"/>
  <c r="G30" i="18"/>
  <c r="J33" i="18" s="1"/>
  <c r="G35" i="18" s="1"/>
  <c r="G30" i="15"/>
  <c r="J33" i="15" s="1"/>
  <c r="G35" i="15" s="1"/>
  <c r="G73" i="20"/>
  <c r="J76" i="20" s="1"/>
  <c r="G78" i="20" s="1"/>
  <c r="G31" i="21"/>
  <c r="J34" i="21" s="1"/>
  <c r="G36" i="21" s="1"/>
  <c r="M62" i="27"/>
  <c r="G32" i="14"/>
  <c r="J35" i="14" s="1"/>
  <c r="G37" i="14" s="1"/>
  <c r="G99" i="44"/>
  <c r="J102" i="44" s="1"/>
  <c r="G104" i="44" s="1"/>
  <c r="G106" i="8"/>
  <c r="J109" i="8" s="1"/>
  <c r="G111" i="8" s="1"/>
  <c r="G32" i="10"/>
  <c r="J35" i="10" s="1"/>
  <c r="G37" i="10" s="1"/>
  <c r="G72" i="14"/>
  <c r="J75" i="14" s="1"/>
  <c r="G77" i="14" s="1"/>
</calcChain>
</file>

<file path=xl/sharedStrings.xml><?xml version="1.0" encoding="utf-8"?>
<sst xmlns="http://schemas.openxmlformats.org/spreadsheetml/2006/main" count="2630" uniqueCount="958">
  <si>
    <t>Outstanding Indebtness, January 1:</t>
  </si>
  <si>
    <t xml:space="preserve">  G.O. Bonds</t>
  </si>
  <si>
    <t xml:space="preserve">  Revenue Bonds</t>
  </si>
  <si>
    <t xml:space="preserve">  Other</t>
  </si>
  <si>
    <t xml:space="preserve">  Lease Purchase Principal</t>
  </si>
  <si>
    <t>We, the undersigned, officers of</t>
  </si>
  <si>
    <t>Special City &amp; County Highway</t>
  </si>
  <si>
    <t>County Equalization</t>
  </si>
  <si>
    <t>Expenditures from detail page:</t>
  </si>
  <si>
    <t>Special District Funds</t>
  </si>
  <si>
    <t>CERTIFICATE (2)</t>
  </si>
  <si>
    <t>NON-BUDGETED FUNDS (A)</t>
  </si>
  <si>
    <t>Non-Budgeted Funds-A</t>
  </si>
  <si>
    <t>(1) Fund Name:</t>
  </si>
  <si>
    <t>(2) Fund Name:</t>
  </si>
  <si>
    <t>(3) Fund Name:</t>
  </si>
  <si>
    <t>(4) Fund Name:</t>
  </si>
  <si>
    <t>(5) Fund Name:</t>
  </si>
  <si>
    <t xml:space="preserve">Unencumbered </t>
  </si>
  <si>
    <t>Cash Balance Dec 31</t>
  </si>
  <si>
    <t>NON-BUDGETED FUNDS (B)</t>
  </si>
  <si>
    <t>Non-Budgeted Funds-B</t>
  </si>
  <si>
    <t>NON-BUDGETED FUNDS (C)</t>
  </si>
  <si>
    <t>Non-Budgeted Funds-C</t>
  </si>
  <si>
    <t>NON-BUDGETED FUNDS (D)</t>
  </si>
  <si>
    <t>Non-Budgeted Funds-D</t>
  </si>
  <si>
    <t>Other non-tax levy fund names:</t>
  </si>
  <si>
    <t xml:space="preserve">  Subtotal</t>
  </si>
  <si>
    <r>
      <t>Total  Detail Expenditures</t>
    </r>
    <r>
      <rPr>
        <sz val="12"/>
        <color indexed="10"/>
        <rFont val="Times New Roman"/>
        <family val="1"/>
      </rPr>
      <t>**</t>
    </r>
  </si>
  <si>
    <r>
      <t>**</t>
    </r>
    <r>
      <rPr>
        <sz val="12"/>
        <rFont val="Times New Roman"/>
        <family val="1"/>
      </rPr>
      <t xml:space="preserve"> Note: The Total Detail Expenditures amount should agree to the General Subtotal amounts.</t>
    </r>
  </si>
  <si>
    <t>The following were changed to this spreadsheet on 8/06/2007</t>
  </si>
  <si>
    <t>**</t>
  </si>
  <si>
    <t>**Note: These two block figures should agree.</t>
  </si>
  <si>
    <t>xxxxxxxxxxxxxxxxxxxx</t>
  </si>
  <si>
    <t>Funds</t>
  </si>
  <si>
    <t xml:space="preserve">expenditure amounts should reflect the amended </t>
  </si>
  <si>
    <t>expenditure amounts.</t>
  </si>
  <si>
    <t xml:space="preserve">Tax Levy Rate </t>
  </si>
  <si>
    <t>Miscellaneous</t>
  </si>
  <si>
    <t>Does miscellaneous exceed 10% of Total Receipts</t>
  </si>
  <si>
    <t>Neighborhood Revitalization Rebate</t>
  </si>
  <si>
    <t>Does miscellaneous exceed 10% of Total Expenditure</t>
  </si>
  <si>
    <t>Cash Balance Jan 1</t>
  </si>
  <si>
    <t xml:space="preserve">Ad Valorem Tax </t>
  </si>
  <si>
    <t>1. Input tab (inputPrYr) added column for the current year expenditures.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</si>
  <si>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</si>
  <si>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</si>
  <si>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</si>
  <si>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t xml:space="preserve">7. Instruction page have changed all reference for Bond &amp; Interest to Debt Service. </t>
  </si>
  <si>
    <t>10. Changed the Bond &amp; Interest tab (B&amp;I) to Debt Service tab (DebtService).</t>
  </si>
  <si>
    <t>11. Changed the revised date on all pages changed.</t>
  </si>
  <si>
    <t>Budget Summary Page</t>
  </si>
  <si>
    <t>Statute</t>
  </si>
  <si>
    <t>General</t>
  </si>
  <si>
    <t>Total</t>
  </si>
  <si>
    <t>Motor Vehicle Tax Estimate</t>
  </si>
  <si>
    <t>Recreational Vehicle Tax Estimate</t>
  </si>
  <si>
    <t>certify that: (1) the hearing mentioned in the attached publication was held;</t>
  </si>
  <si>
    <t>(2) after the Budget Hearing this budget was duly approved and adopted as the</t>
  </si>
  <si>
    <t>Table of Contents:</t>
  </si>
  <si>
    <t>Expenditures</t>
  </si>
  <si>
    <t>Statement of Indebtedness</t>
  </si>
  <si>
    <t>Statement of Lease-Purchases</t>
  </si>
  <si>
    <t>Fund</t>
  </si>
  <si>
    <t>K.S.A.</t>
  </si>
  <si>
    <t>TOTALS</t>
  </si>
  <si>
    <t>x</t>
  </si>
  <si>
    <t>Assisted by:</t>
  </si>
  <si>
    <t>Governing Body</t>
  </si>
  <si>
    <t>County Clerk</t>
  </si>
  <si>
    <t>Amount</t>
  </si>
  <si>
    <t>Mental Health</t>
  </si>
  <si>
    <t>Hospital</t>
  </si>
  <si>
    <t>TOTAL</t>
  </si>
  <si>
    <t>County Treas Motor Vehicle Estimate</t>
  </si>
  <si>
    <t>Motor Vehicle Factor</t>
  </si>
  <si>
    <t>MVT</t>
  </si>
  <si>
    <t>Totals</t>
  </si>
  <si>
    <t>District Court</t>
  </si>
  <si>
    <t>Juvenile Detention</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</si>
  <si>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</si>
  <si>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</si>
  <si>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</si>
  <si>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</si>
  <si>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</si>
  <si>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</si>
  <si>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</si>
  <si>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</si>
  <si>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</si>
  <si>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</si>
  <si>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</si>
  <si>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</si>
  <si>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 xml:space="preserve">General </t>
  </si>
  <si>
    <t>Expenditures:</t>
  </si>
  <si>
    <t>Total Expenditures</t>
  </si>
  <si>
    <t>Tax Required</t>
  </si>
  <si>
    <t>%</t>
  </si>
  <si>
    <t>General Fund - Detail Expend</t>
  </si>
  <si>
    <t>General Administration</t>
  </si>
  <si>
    <t xml:space="preserve">  Salaries</t>
  </si>
  <si>
    <t xml:space="preserve">  Contractual</t>
  </si>
  <si>
    <t xml:space="preserve">  Commodities</t>
  </si>
  <si>
    <t xml:space="preserve">  Capital Outlay</t>
  </si>
  <si>
    <t>Airport</t>
  </si>
  <si>
    <t>Alcohol &amp; Drug Abuse</t>
  </si>
  <si>
    <t>Ambulance</t>
  </si>
  <si>
    <t>Animal Control</t>
  </si>
  <si>
    <t>Appraisal</t>
  </si>
  <si>
    <t>Building</t>
  </si>
  <si>
    <t>County Attorney/Counselor</t>
  </si>
  <si>
    <t>County Commission</t>
  </si>
  <si>
    <t>County Treasurer</t>
  </si>
  <si>
    <t>Debt Service</t>
  </si>
  <si>
    <t xml:space="preserve">  Principal</t>
  </si>
  <si>
    <t xml:space="preserve">  Interest</t>
  </si>
  <si>
    <t xml:space="preserve">  Commission</t>
  </si>
  <si>
    <t>Economic Development</t>
  </si>
  <si>
    <t>Election</t>
  </si>
  <si>
    <t>Emergency Services</t>
  </si>
  <si>
    <t>Employee Benefits</t>
  </si>
  <si>
    <t xml:space="preserve">  Social Security</t>
  </si>
  <si>
    <t xml:space="preserve">  Medicare</t>
  </si>
  <si>
    <t xml:space="preserve">  Health Insurance</t>
  </si>
  <si>
    <t xml:space="preserve">  Retirement</t>
  </si>
  <si>
    <t xml:space="preserve">  Workers Compensation</t>
  </si>
  <si>
    <t xml:space="preserve">  Unemployment</t>
  </si>
  <si>
    <t>Extension Council</t>
  </si>
  <si>
    <t>Fair</t>
  </si>
  <si>
    <t>Fire</t>
  </si>
  <si>
    <t>Health</t>
  </si>
  <si>
    <t>Historical</t>
  </si>
  <si>
    <t>Law Enforcement</t>
  </si>
  <si>
    <t>Library</t>
  </si>
  <si>
    <t>Memorial</t>
  </si>
  <si>
    <t>Mental Retardation</t>
  </si>
  <si>
    <t>Noxious Weed Control</t>
  </si>
  <si>
    <t>Park &amp; Recreation</t>
  </si>
  <si>
    <t>Register of Deeds</t>
  </si>
  <si>
    <t>Road &amp; Bridge</t>
  </si>
  <si>
    <t>Services for the Aged</t>
  </si>
  <si>
    <t>Soil Conservation</t>
  </si>
  <si>
    <t>Solid Waste</t>
  </si>
  <si>
    <t>Tort Liability</t>
  </si>
  <si>
    <t xml:space="preserve">  Judgments</t>
  </si>
  <si>
    <t>Cultural</t>
  </si>
  <si>
    <t>Other</t>
  </si>
  <si>
    <t>Page No.</t>
  </si>
  <si>
    <t xml:space="preserve">     FUND</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</si>
  <si>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</si>
  <si>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</si>
  <si>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</si>
  <si>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</si>
  <si>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</si>
  <si>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</si>
  <si>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</si>
  <si>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</si>
  <si>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</si>
  <si>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</si>
  <si>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Date</t>
  </si>
  <si>
    <t>Rate</t>
  </si>
  <si>
    <t xml:space="preserve">  Date Due</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</si>
  <si>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</si>
  <si>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</si>
  <si>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</si>
  <si>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</si>
  <si>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</si>
  <si>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</si>
  <si>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</si>
  <si>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</si>
  <si>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</si>
  <si>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</si>
  <si>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</si>
  <si>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</si>
  <si>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</si>
  <si>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</si>
  <si>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(Months)</t>
  </si>
  <si>
    <t>16/20 M Vehicle Tax</t>
  </si>
  <si>
    <t>CERTIFICATE</t>
  </si>
  <si>
    <t>STATEMENT OF CONDITIONAL LEASE-PURCHASE AND CERTIFICATE OF PARTICIPATION*</t>
  </si>
  <si>
    <t>NOTICE OF BUDGET HEARING</t>
  </si>
  <si>
    <t>BUDGET SUMMARY</t>
  </si>
  <si>
    <t>FUND PAGE - GENERAL</t>
  </si>
  <si>
    <t>FUND PAGE - GENERAL DETAIL</t>
  </si>
  <si>
    <t>FUND PAGE - ROAD</t>
  </si>
  <si>
    <t>FUND PAGE - ROAD DETAIL</t>
  </si>
  <si>
    <t>FUND PAGE FOR FUNDS WITH A TAX LEVY</t>
  </si>
  <si>
    <t>FUND PAGE FOR FUNDS WITH NO TAX LEVY</t>
  </si>
  <si>
    <t>STATEMENT OF INDEBTEDNESS</t>
  </si>
  <si>
    <t>RVT</t>
  </si>
  <si>
    <t>16/20M Vehicle Tax Estimate</t>
  </si>
  <si>
    <t>16/20M Vehicle Tax</t>
  </si>
  <si>
    <t xml:space="preserve">The governing body of </t>
  </si>
  <si>
    <t>Gross Earnings (Intangible) Tax</t>
  </si>
  <si>
    <t>Balance On</t>
  </si>
  <si>
    <t>16/20M Veh</t>
  </si>
  <si>
    <t>Unencumbered Cash Balance Jan 1</t>
  </si>
  <si>
    <t>Unencumbered Cash Balance Dec 31</t>
  </si>
  <si>
    <t>Receipts:</t>
  </si>
  <si>
    <t>79-1946</t>
  </si>
  <si>
    <t>Schedule of Transfers</t>
  </si>
  <si>
    <t>(Beginning Principal)</t>
  </si>
  <si>
    <t>Estimated Tax Rate is subject to change depending on the final assessed valuation.</t>
  </si>
  <si>
    <t>Lease Pur. Princ.</t>
  </si>
  <si>
    <t xml:space="preserve">                                                                          16/20M Vehicle Factor</t>
  </si>
  <si>
    <t xml:space="preserve">                                         Recreational Vehicle Factor</t>
  </si>
  <si>
    <t>County Clerk's Use Only</t>
  </si>
  <si>
    <t>November 1st Valuation</t>
  </si>
  <si>
    <t>Address:</t>
  </si>
  <si>
    <t>Fund Names for all funds with a tax levy:</t>
  </si>
  <si>
    <t>10-113</t>
  </si>
  <si>
    <t>In Lieu of Tax (IRB)</t>
  </si>
  <si>
    <t>Neighborhood Revitalization</t>
  </si>
  <si>
    <t>Computation of Delinquency</t>
  </si>
  <si>
    <r>
      <t>**</t>
    </r>
    <r>
      <rPr>
        <u/>
        <sz val="12"/>
        <rFont val="Times New Roman"/>
        <family val="1"/>
      </rPr>
      <t>Note</t>
    </r>
    <r>
      <rPr>
        <sz val="12"/>
        <rFont val="Times New Roman"/>
        <family val="1"/>
      </rPr>
      <t>: The delinquency rate can be up to 5% more than the actual delinquency rate from the preivous year.</t>
    </r>
  </si>
  <si>
    <t>Adjusted Totals</t>
  </si>
  <si>
    <t xml:space="preserve">Total Other </t>
  </si>
  <si>
    <r>
      <rPr>
        <sz val="12"/>
        <color indexed="10"/>
        <rFont val="Times New Roman"/>
        <family val="1"/>
      </rPr>
      <t>*</t>
    </r>
    <r>
      <rPr>
        <sz val="12"/>
        <rFont val="Times New Roman"/>
        <family val="1"/>
      </rPr>
      <t>Expenditures</t>
    </r>
    <r>
      <rPr>
        <sz val="12"/>
        <color indexed="10"/>
        <rFont val="Times New Roman"/>
        <family val="1"/>
      </rPr>
      <t>*</t>
    </r>
  </si>
  <si>
    <t>Transfers - Counties</t>
  </si>
  <si>
    <t>Non-Budgeted Funds - Counties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</si>
  <si>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</si>
  <si>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</si>
  <si>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</si>
  <si>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</si>
  <si>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sz val="12"/>
        <color indexed="8"/>
        <rFont val="Times New Roman"/>
        <family val="1"/>
      </rPr>
      <t xml:space="preserve">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</si>
  <si>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</si>
  <si>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19-119.</t>
    </r>
    <r>
      <rPr>
        <sz val="12"/>
        <color indexed="8"/>
        <rFont val="Times New Roman"/>
        <family val="1"/>
      </rPr>
      <t xml:space="preserve">  </t>
    </r>
    <r>
      <rPr>
        <b/>
        <sz val="12"/>
        <color indexed="8"/>
        <rFont val="Times New Roman"/>
        <family val="1"/>
      </rPr>
      <t xml:space="preserve">County equipment reserve fund. </t>
    </r>
    <r>
      <rPr>
        <sz val="12"/>
        <color indexed="8"/>
        <rFont val="Times New Roman"/>
        <family val="1"/>
      </rPr>
      <t xml:space="preserve"> Provides for the creation of a county equipment reserve fund to finance the acquisition of equipment.</t>
    </r>
  </si>
  <si>
    <r>
      <t xml:space="preserve">K.S.A. </t>
    </r>
    <r>
      <rPr>
        <b/>
        <sz val="12"/>
        <color indexed="8"/>
        <rFont val="Times New Roman"/>
        <family val="1"/>
      </rPr>
      <t>19-120.</t>
    </r>
    <r>
      <rPr>
        <sz val="12"/>
        <color indexed="8"/>
        <rFont val="Times New Roman"/>
        <family val="1"/>
      </rPr>
      <t xml:space="preserve">  </t>
    </r>
    <r>
      <rPr>
        <b/>
        <sz val="12"/>
        <color indexed="8"/>
        <rFont val="Times New Roman"/>
        <family val="1"/>
      </rPr>
      <t>Multi-year capital improvement fund.</t>
    </r>
    <r>
      <rPr>
        <sz val="12"/>
        <color indexed="8"/>
        <rFont val="Times New Roman"/>
        <family val="1"/>
      </rPr>
      <t xml:space="preserve">  (a)  The commissioners of any county with a multi-year capital improvement plan may establish a capital improvements fund.</t>
    </r>
  </si>
  <si>
    <r>
      <t xml:space="preserve">K.S.A. </t>
    </r>
    <r>
      <rPr>
        <b/>
        <sz val="12"/>
        <color indexed="8"/>
        <rFont val="Times New Roman"/>
        <family val="1"/>
      </rPr>
      <t>19-15,136.</t>
    </r>
    <r>
      <rPr>
        <sz val="12"/>
        <color indexed="8"/>
        <rFont val="Times New Roman"/>
        <family val="1"/>
      </rPr>
      <t xml:space="preserve">  </t>
    </r>
    <r>
      <rPr>
        <b/>
        <sz val="12"/>
        <color indexed="8"/>
        <rFont val="Times New Roman"/>
        <family val="1"/>
      </rPr>
      <t>Special building fund.</t>
    </r>
    <r>
      <rPr>
        <sz val="12"/>
        <color indexed="8"/>
        <rFont val="Times New Roman"/>
        <family val="1"/>
      </rPr>
      <t xml:space="preserve">  County commissioners may create a special building fund to act as the repository of proceeds from the sale of county home or farm property</t>
    </r>
  </si>
  <si>
    <r>
      <t xml:space="preserve">K.S.A. </t>
    </r>
    <r>
      <rPr>
        <b/>
        <sz val="12"/>
        <color indexed="8"/>
        <rFont val="Times New Roman"/>
        <family val="1"/>
      </rPr>
      <t>19-2120.</t>
    </r>
    <r>
      <rPr>
        <sz val="12"/>
        <color indexed="8"/>
        <rFont val="Times New Roman"/>
        <family val="1"/>
      </rPr>
      <t xml:space="preserve">  </t>
    </r>
    <r>
      <rPr>
        <b/>
        <sz val="12"/>
        <color indexed="8"/>
        <rFont val="Times New Roman"/>
        <family val="1"/>
      </rPr>
      <t>County home improvement fund in certain counties.</t>
    </r>
    <r>
      <rPr>
        <sz val="12"/>
        <color indexed="8"/>
        <rFont val="Times New Roman"/>
        <family val="1"/>
      </rPr>
      <t xml:space="preserve">  County commissioners in counties having a population of less than 3,000, or any county having a population of more than 5,400 and not more than 6,000 and an assessed tangible valuation of not less than $25,000,000 and not more than $35,000,000, owning a county home for the aged, shall place proceeds from its renting, leasing or letting into a county home improvement fund.</t>
    </r>
  </si>
  <si>
    <r>
      <t xml:space="preserve">[per </t>
    </r>
    <r>
      <rPr>
        <b/>
        <sz val="12"/>
        <rFont val="Times New Roman"/>
        <family val="1"/>
      </rPr>
      <t xml:space="preserve">K.S.A. </t>
    </r>
    <r>
      <rPr>
        <b/>
        <sz val="11"/>
        <color indexed="8"/>
        <rFont val="Arial"/>
        <family val="2"/>
      </rPr>
      <t>19-2121,</t>
    </r>
    <r>
      <rPr>
        <sz val="11"/>
        <color indexed="8"/>
        <rFont val="Arial"/>
        <family val="2"/>
      </rPr>
      <t xml:space="preserve"> such county home improvement fund shall not be subject to the provisions of K.S.A. 79-2925 to 79-2941 . . . .]</t>
    </r>
  </si>
  <si>
    <r>
      <t xml:space="preserve">K.S.A. </t>
    </r>
    <r>
      <rPr>
        <b/>
        <sz val="12"/>
        <color indexed="8"/>
        <rFont val="Times New Roman"/>
        <family val="1"/>
      </rPr>
      <t>44-505b.</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</si>
  <si>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</si>
  <si>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68-559a.</t>
    </r>
    <r>
      <rPr>
        <sz val="12"/>
        <color indexed="8"/>
        <rFont val="Times New Roman"/>
        <family val="1"/>
      </rPr>
      <t xml:space="preserve">   </t>
    </r>
    <r>
      <rPr>
        <b/>
        <sz val="12"/>
        <color indexed="8"/>
        <rFont val="Times New Roman"/>
        <family val="1"/>
      </rPr>
      <t>Special road and bridge fund.</t>
    </r>
    <r>
      <rPr>
        <sz val="12"/>
        <color indexed="8"/>
        <rFont val="Times New Roman"/>
        <family val="1"/>
      </rPr>
      <t xml:space="preserve">  Authorizes the creation of a special road and bridge fund and for funding of such through levy of an annual property tax of not to exceed two mills.</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</si>
  <si>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</si>
  <si>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</si>
  <si>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79-1482.</t>
    </r>
    <r>
      <rPr>
        <sz val="12"/>
        <color indexed="8"/>
        <rFont val="Times New Roman"/>
        <family val="1"/>
      </rPr>
      <t xml:space="preserve">  </t>
    </r>
    <r>
      <rPr>
        <b/>
        <sz val="12"/>
        <color indexed="8"/>
        <rFont val="Times New Roman"/>
        <family val="1"/>
      </rPr>
      <t>Special countywide reappraisal fund.</t>
    </r>
    <r>
      <rPr>
        <sz val="12"/>
        <color indexed="8"/>
        <rFont val="Times New Roman"/>
        <family val="1"/>
      </rPr>
      <t xml:space="preserve">  Counties may levy taxes and place the proceeds in a special countywide reappraisal fund to be used to pay costs associated with countywide reappraisal.</t>
    </r>
  </si>
  <si>
    <r>
      <t xml:space="preserve">K.S.A. </t>
    </r>
    <r>
      <rPr>
        <b/>
        <sz val="12"/>
        <color indexed="8"/>
        <rFont val="Times New Roman"/>
        <family val="1"/>
      </rPr>
      <t>79-1608.</t>
    </r>
    <r>
      <rPr>
        <sz val="12"/>
        <color indexed="8"/>
        <rFont val="Times New Roman"/>
        <family val="1"/>
      </rPr>
      <t xml:space="preserve">  </t>
    </r>
    <r>
      <rPr>
        <b/>
        <sz val="12"/>
        <color indexed="8"/>
        <rFont val="Times New Roman"/>
        <family val="1"/>
      </rPr>
      <t>Special appraisal fund.</t>
    </r>
    <r>
      <rPr>
        <sz val="12"/>
        <color indexed="8"/>
        <rFont val="Times New Roman"/>
        <family val="1"/>
      </rPr>
      <t xml:space="preserve">  Counties may create a special appraisal fund to be used for the purpose of assuring that all property in the county is classified and appraised according to law and for employment of or contracting for appraisal assistance, hearing officers or panels and arbitrators.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</si>
  <si>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</si>
  <si>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Counties may create non-budgeted funds for any gifts or bequests, and, for the operation of a county coliseum.</t>
    </r>
  </si>
  <si>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</si>
  <si>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</si>
  <si>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12-196</t>
    </r>
    <r>
      <rPr>
        <sz val="12"/>
        <rFont val="Times New Roman"/>
        <family val="1"/>
      </rPr>
      <t xml:space="preserve">. </t>
    </r>
    <r>
      <rPr>
        <sz val="12"/>
        <color indexed="8"/>
        <rFont val="Times New Roman"/>
        <family val="1"/>
      </rPr>
      <t xml:space="preserve"> </t>
    </r>
    <r>
      <rPr>
        <b/>
        <sz val="12"/>
        <color indexed="8"/>
        <rFont val="Times New Roman"/>
        <family val="1"/>
      </rPr>
      <t>Transfer of sales tax proceeds.</t>
    </r>
    <r>
      <rPr>
        <sz val="12"/>
        <color indexed="8"/>
        <rFont val="Times New Roman"/>
        <family val="1"/>
      </rPr>
      <t xml:space="preserve">  The board of county commissioners may transfer any portion of the revenue received pursuant to K.S.A. 12-192 [countywide retailers sales tax] from the county general fund to the county road and bridge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</si>
  <si>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</si>
  <si>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</si>
  <si>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</si>
  <si>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 xml:space="preserve">.  </t>
    </r>
    <r>
      <rPr>
        <b/>
        <sz val="12"/>
        <color indexed="8"/>
        <rFont val="Times New Roman"/>
        <family val="1"/>
      </rPr>
      <t>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</si>
  <si>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K.S.A. 19-119</t>
    </r>
    <r>
      <rPr>
        <sz val="12"/>
        <rFont val="Times New Roman"/>
        <family val="1"/>
      </rPr>
      <t>.</t>
    </r>
    <r>
      <rPr>
        <b/>
        <sz val="12"/>
        <rFont val="Times New Roman"/>
        <family val="1"/>
      </rPr>
      <t xml:space="preserve">  Transfer to equipment reserve fund.</t>
    </r>
    <r>
      <rPr>
        <sz val="12"/>
        <rFont val="Times New Roman"/>
        <family val="1"/>
      </rPr>
      <t xml:space="preserve">  </t>
    </r>
    <r>
      <rPr>
        <sz val="12"/>
        <color indexed="8"/>
        <rFont val="Times New Roman"/>
        <family val="1"/>
      </rPr>
      <t>Moneys may be budgeted and transferred to an equipment reserve fund from any source which may be lawfully utilized for such purposes.</t>
    </r>
  </si>
  <si>
    <r>
      <t>K.S.A. 19-120</t>
    </r>
    <r>
      <rPr>
        <sz val="12"/>
        <color indexed="8"/>
        <rFont val="Times New Roman"/>
        <family val="1"/>
      </rPr>
      <t>.</t>
    </r>
    <r>
      <rPr>
        <b/>
        <sz val="12"/>
        <color indexed="8"/>
        <rFont val="Times New Roman"/>
        <family val="1"/>
      </rPr>
      <t xml:space="preserve">  Transfer to capital improvements fund.</t>
    </r>
    <r>
      <rPr>
        <sz val="12"/>
        <color indexed="8"/>
        <rFont val="Times New Roman"/>
        <family val="1"/>
      </rPr>
      <t xml:space="preserve">  Authorizes the budgeted transfer of moneys from other funds lawfully available for improvement purposes to the capital improvements fund, including moneys in the general fund.</t>
    </r>
  </si>
  <si>
    <r>
      <t xml:space="preserve">K.S.A. </t>
    </r>
    <r>
      <rPr>
        <b/>
        <sz val="12"/>
        <color indexed="8"/>
        <rFont val="Times New Roman"/>
        <family val="1"/>
      </rPr>
      <t>44-505b</t>
    </r>
    <r>
      <rPr>
        <sz val="12"/>
        <color indexed="8"/>
        <rFont val="Times New Roman"/>
        <family val="1"/>
      </rPr>
      <t xml:space="preserve">.  </t>
    </r>
    <r>
      <rPr>
        <b/>
        <sz val="12"/>
        <color indexed="8"/>
        <rFont val="Times New Roman"/>
        <family val="1"/>
      </rPr>
      <t>Transfer to worker’s compensation reserve fund.</t>
    </r>
    <r>
      <rPr>
        <sz val="12"/>
        <color indexed="8"/>
        <rFont val="Times New Roman"/>
        <family val="1"/>
      </rPr>
      <t xml:space="preserve">  Where a county chooses to act as a self-insurer under the worker’s compensation act it is authorized it is authorized to make transfers to a worker’s compensation reserve fund at any time by transfer of money from the road and bridge fund of said county in such amount as the board deems necessary.</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</si>
  <si>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</si>
  <si>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</si>
  <si>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</si>
  <si>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</si>
  <si>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</si>
  <si>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</si>
  <si>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Date:</t>
  </si>
  <si>
    <t>Time:</t>
  </si>
  <si>
    <t>Location:</t>
  </si>
  <si>
    <t>Available at:</t>
  </si>
  <si>
    <t>7:00 PM or 7:00 AM</t>
  </si>
  <si>
    <t>Possible Budget Law Violation</t>
  </si>
  <si>
    <t>Can the potential violation be corrected at this time?</t>
  </si>
  <si>
    <t>What should I do?</t>
  </si>
  <si>
    <t>available).</t>
  </si>
  <si>
    <t>Is amending the budget an option?</t>
  </si>
  <si>
    <t>Thank you.</t>
  </si>
  <si>
    <t>Possible Cash Basis Law Violation</t>
  </si>
  <si>
    <t xml:space="preserve">Is this a violation?  </t>
  </si>
  <si>
    <t>What if K.S.A. 10-1116 applies?</t>
  </si>
  <si>
    <t>avoid a cash basis law violation.</t>
  </si>
  <si>
    <t>Options</t>
  </si>
  <si>
    <t>Current Year - Possible Budget Law Violation</t>
  </si>
  <si>
    <t>What should I do at this time?</t>
  </si>
  <si>
    <t>Current Year - Possible Cash Basis Law Violation</t>
  </si>
  <si>
    <t>fund.</t>
  </si>
  <si>
    <t>Should this be fixed?</t>
  </si>
  <si>
    <t>you will want your ending cash balance to be $0.</t>
  </si>
  <si>
    <t>Should this be fixed before we adopt the budget?</t>
  </si>
  <si>
    <t>How do I fix the violation?</t>
  </si>
  <si>
    <t>Is there a benefit to having a positive cash balance?</t>
  </si>
  <si>
    <t>answering objections of taxpayers relating to the proposed use of all funds and the amount of ad valorem tax.</t>
  </si>
  <si>
    <t>the Neighborhood Revitalization Rebate table.</t>
  </si>
  <si>
    <r>
      <t>Adjustments</t>
    </r>
    <r>
      <rPr>
        <sz val="12"/>
        <color indexed="10"/>
        <rFont val="Times New Roman"/>
        <family val="1"/>
      </rPr>
      <t>*</t>
    </r>
  </si>
  <si>
    <t>*Note:</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</si>
  <si>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</si>
  <si>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 xml:space="preserve">K.S.A. 8-145.  </t>
    </r>
    <r>
      <rPr>
        <b/>
        <sz val="12"/>
        <color indexed="8"/>
        <rFont val="Times New Roman"/>
        <family val="1"/>
      </rPr>
      <t>Transfer to general fund from special motor vehicle fund.</t>
    </r>
    <r>
      <rPr>
        <sz val="12"/>
        <color indexed="8"/>
        <rFont val="Times New Roman"/>
        <family val="1"/>
      </rPr>
      <t xml:space="preserve">  Any balance remaining in the special motor vehicle fund at the close of any calendar year shall be withdrawn and credited to the general fund of the county prior to June 1 of the following calendar year.</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</si>
  <si>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</si>
  <si>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1"/>
        <color indexed="8"/>
        <rFont val="Times New Roman"/>
        <family val="1"/>
      </rPr>
      <t>19-2661.</t>
    </r>
    <r>
      <rPr>
        <sz val="11"/>
        <color indexed="8"/>
        <rFont val="Times New Roman"/>
        <family val="1"/>
      </rPr>
      <t xml:space="preserve">  </t>
    </r>
    <r>
      <rPr>
        <b/>
        <sz val="11"/>
        <color indexed="8"/>
        <rFont val="Times New Roman"/>
        <family val="1"/>
      </rPr>
      <t>Transfer to refuse disposal sinking (debt service) fund.</t>
    </r>
    <r>
      <rPr>
        <sz val="11"/>
        <color indexed="8"/>
        <rFont val="Times New Roman"/>
        <family val="1"/>
      </rPr>
      <t xml:space="preserve">  Authorizes the transfer of surplus money from the refuse disposal fund to a refuse disposal debt service fund.</t>
    </r>
  </si>
  <si>
    <t>Compensating Use Tax</t>
  </si>
  <si>
    <t>Local Sales Tax</t>
  </si>
  <si>
    <t>Does miscellaneous exceed 10% of Total Exp</t>
  </si>
  <si>
    <t>Does miscellaneous exceed 10% of Total Rec</t>
  </si>
  <si>
    <t xml:space="preserve">Road &amp; Bridge Fund </t>
  </si>
  <si>
    <t>General Fund - Detail Expenditures</t>
  </si>
  <si>
    <t>Non-Appropriated Balance</t>
  </si>
  <si>
    <t>Total Expenditure/Non-Appr Balance</t>
  </si>
  <si>
    <t>Delinquent Comp Rate:</t>
  </si>
  <si>
    <t>Desired Carryover Amount:</t>
  </si>
  <si>
    <t>Estimated Mill Rate Impact:</t>
  </si>
  <si>
    <t>The estimated value of one mill would be:</t>
  </si>
  <si>
    <t>Change in Ad Valorem Tax Revenue:</t>
  </si>
  <si>
    <t>What Mill Rate Would Be Desired?</t>
  </si>
  <si>
    <t>Helpful Links</t>
  </si>
  <si>
    <t>Municipal Services (Kansas Department of Administration, Accounts and Reports) – Budget forms, confirmation of payments, transfer statutes, non-budgeted fund statutes, etc.</t>
  </si>
  <si>
    <t>State Debt Setoff Program (Kansas Department of Administration, Accounts and Reports) – Passive collection tool to assist municipalities with collection of unpaid utility bills, etc.</t>
  </si>
  <si>
    <t>Kansas Legislature – Kansas Statutes (usually updated in January), House and Senate Bills, etc.</t>
  </si>
  <si>
    <t>Kansas Attorney General Opinions</t>
  </si>
  <si>
    <t>Kansas Department of Revenue</t>
  </si>
  <si>
    <t>Kansas Department of Revenue – Property Valuation</t>
  </si>
  <si>
    <t>Kansas Pooled Money Investment Board – Investment of Idle Funds in the Municipal Investment Pool</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</si>
  <si>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</si>
  <si>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28-115a.</t>
    </r>
    <r>
      <rPr>
        <sz val="12"/>
        <color indexed="8"/>
        <rFont val="Times New Roman"/>
        <family val="1"/>
      </rPr>
      <t xml:space="preserve">  </t>
    </r>
    <r>
      <rPr>
        <b/>
        <sz val="12"/>
        <color indexed="8"/>
        <rFont val="Times New Roman"/>
        <family val="1"/>
      </rPr>
      <t>Register of deeds technology fund.</t>
    </r>
    <r>
      <rPr>
        <sz val="12"/>
        <color indexed="8"/>
        <rFont val="Times New Roman"/>
        <family val="1"/>
      </rPr>
      <t xml:space="preserve">  Moneys in the fund (certain additional recording fees collected pursuant to K.S.A. 28-115(b)) shall be used by the register of deeds to acquire equipment and technological services for the storing, recording, archiving, retrieving, maintaining, and handling of data recorded or stored in the office of the register of deeds.</t>
    </r>
  </si>
  <si>
    <r>
      <t xml:space="preserve">K.S.A. </t>
    </r>
    <r>
      <rPr>
        <b/>
        <sz val="12"/>
        <color indexed="8"/>
        <rFont val="Times New Roman"/>
        <family val="1"/>
      </rPr>
      <t>68-1135.</t>
    </r>
    <r>
      <rPr>
        <sz val="12"/>
        <color indexed="8"/>
        <rFont val="Times New Roman"/>
        <family val="1"/>
      </rPr>
      <t xml:space="preserve">  </t>
    </r>
    <r>
      <rPr>
        <b/>
        <sz val="12"/>
        <color indexed="8"/>
        <rFont val="Times New Roman"/>
        <family val="1"/>
      </rPr>
      <t>Special bridge and culvert fund.</t>
    </r>
    <r>
      <rPr>
        <sz val="12"/>
        <color indexed="8"/>
        <rFont val="Times New Roman"/>
        <family val="1"/>
      </rPr>
      <t xml:space="preserve">  Counties are authorized to levy taxes for the purpose of creating and providing a special fund to be used in building and reconstructing bridges and culverts and constructing the approaches thereto or to be used in repaying loans or advances received from the highway fund.</t>
    </r>
  </si>
  <si>
    <r>
      <t xml:space="preserve">K.S.A. 65-204.  Transfer to County Health Capital Outlay Fund from County Health Fund.  </t>
    </r>
    <r>
      <rPr>
        <sz val="12"/>
        <rFont val="Times New Roman"/>
        <family val="1"/>
      </rPr>
      <t>Any moneys remaining in the county health fund at the end of any county fiscal year for which a levy is made under this section may be transferred to the county health capital outlay fund, which is hereby created, for the making of capital expenditures incident to county health purposes.</t>
    </r>
  </si>
  <si>
    <t xml:space="preserve"> Purchased</t>
  </si>
  <si>
    <t>Items</t>
  </si>
  <si>
    <t xml:space="preserve">Amounts used in lieu of </t>
  </si>
  <si>
    <t>Delinquency % used in this budget will be shown on all fund pages with a tax levy**</t>
  </si>
  <si>
    <t>Expenditures Must Be Changed by:</t>
  </si>
  <si>
    <t xml:space="preserve">Prior Year </t>
  </si>
  <si>
    <t xml:space="preserve">Current Year </t>
  </si>
  <si>
    <t xml:space="preserve">Proposed Budget </t>
  </si>
  <si>
    <t>Allocation of Vehicle Taxes</t>
  </si>
  <si>
    <t>Email:</t>
  </si>
  <si>
    <t>.</t>
  </si>
  <si>
    <t>1.  "Budget Authority Amount" cell added to budget year column of all funds.</t>
  </si>
  <si>
    <t>1.  Several changes to workbook associated with 2014 HB 2047.</t>
  </si>
  <si>
    <t>Input Sheet for County1 Budget Workbook</t>
  </si>
  <si>
    <t>Enter county name followed by "County":</t>
  </si>
  <si>
    <t>Enter year being budgeted (YYYY):</t>
  </si>
  <si>
    <t xml:space="preserve">Enter the following information from the sources shown.  This information will flow throughout the budget worksheets to the appropriate locations. </t>
  </si>
  <si>
    <t>Note:  All amounts are to be entered as whole numbers only.</t>
  </si>
  <si>
    <r>
      <rPr>
        <sz val="12"/>
        <color indexed="10"/>
        <rFont val="Times New Roman"/>
        <family val="1"/>
      </rPr>
      <t>Note:</t>
    </r>
    <r>
      <rPr>
        <sz val="12"/>
        <rFont val="Times New Roman"/>
        <family val="1"/>
      </rPr>
      <t xml:space="preserve">  the tool below may be used to create a more realistic estimate of ad valorem taxes to be received in the current year.  Input an estimated delinquency percentage in the green box. This </t>
    </r>
    <r>
      <rPr>
        <sz val="12"/>
        <color indexed="10"/>
        <rFont val="Times New Roman"/>
        <family val="1"/>
      </rPr>
      <t>is not mandatory</t>
    </r>
    <r>
      <rPr>
        <sz val="12"/>
        <rFont val="Times New Roman"/>
        <family val="1"/>
      </rPr>
      <t xml:space="preserve"> and may be left blank.            </t>
    </r>
  </si>
  <si>
    <t xml:space="preserve">The input for the following comes directly from </t>
  </si>
  <si>
    <t>the -1 Budget, Certificate Page:</t>
  </si>
  <si>
    <r>
      <rPr>
        <b/>
        <sz val="12"/>
        <color indexed="10"/>
        <rFont val="Times New Roman"/>
        <family val="1"/>
      </rPr>
      <t>*</t>
    </r>
    <r>
      <rPr>
        <b/>
        <sz val="12"/>
        <rFont val="Times New Roman"/>
        <family val="1"/>
      </rPr>
      <t>If amended, then use the amended figures.</t>
    </r>
    <r>
      <rPr>
        <b/>
        <sz val="12"/>
        <color indexed="10"/>
        <rFont val="Times New Roman"/>
        <family val="1"/>
      </rPr>
      <t>*</t>
    </r>
  </si>
  <si>
    <t>How to Compute the Value of One Mill, and the Impact of Tax Dollars and Assessed Valuation on Mill Rates</t>
  </si>
  <si>
    <t>Commercial Vehicle Tax Estimate</t>
  </si>
  <si>
    <t>Watercraft Tax Estimate</t>
  </si>
  <si>
    <t>Comm Veh</t>
  </si>
  <si>
    <t>Watercraft</t>
  </si>
  <si>
    <t xml:space="preserve">Allocation of MV, RV, 16/20M, Commercial Vehicle, and Watercraft Tax Estimates </t>
  </si>
  <si>
    <t>County Treas Recreational Vehicle Estimate</t>
  </si>
  <si>
    <t>County Treas 16/20M Vehicle Estimate</t>
  </si>
  <si>
    <t>County Treas Commercial Vehicle Tax Estimate</t>
  </si>
  <si>
    <t>County Treas Watercraft Tax Estimate</t>
  </si>
  <si>
    <t>Commercial Vehicle Factor</t>
  </si>
  <si>
    <t>Watercraft Factor</t>
  </si>
  <si>
    <t>Commercial Vehicle Tax</t>
  </si>
  <si>
    <t>Watercraft Tax</t>
  </si>
  <si>
    <t>1.  Various workbook changes associated with commercial vehicle and watercraft tax estimates.</t>
  </si>
  <si>
    <t>1.  Inserted 2014 CPI percentage on computation tab.</t>
  </si>
  <si>
    <t>68-5,101</t>
  </si>
  <si>
    <t>1.  Inserted 2015 CPI percentage on computation tab.</t>
  </si>
  <si>
    <t xml:space="preserve">CPA Summary </t>
  </si>
  <si>
    <t>CPA Summary</t>
  </si>
  <si>
    <t>Expiration of Property Tax Abatement</t>
  </si>
  <si>
    <t xml:space="preserve">CPA Summary for Assumptions </t>
  </si>
  <si>
    <t>Revenue Neutral Rate</t>
  </si>
  <si>
    <t>Page 6b</t>
  </si>
  <si>
    <t>Page 6c</t>
  </si>
  <si>
    <t>Page 6d</t>
  </si>
  <si>
    <t>Page 6e</t>
  </si>
  <si>
    <t>Total - Page 6c</t>
  </si>
  <si>
    <t>Total - Page 6b</t>
  </si>
  <si>
    <t>Total - Page 6d</t>
  </si>
  <si>
    <t>Total - Page 6e</t>
  </si>
  <si>
    <t>Total - Page 6f</t>
  </si>
  <si>
    <t>Page 6f</t>
  </si>
  <si>
    <t>Page No. 6</t>
  </si>
  <si>
    <t>Page No. 6a</t>
  </si>
  <si>
    <t>Revenue Neutral Rate **</t>
  </si>
  <si>
    <t>The following changes were made to this workbook during April 2021</t>
  </si>
  <si>
    <t>1. CPI was removed (2021 SB 13)</t>
  </si>
  <si>
    <t>2. Computed Limit/Tax Lid references and tabs were removed throughout workbook (2021 SB 13)</t>
  </si>
  <si>
    <t>3. Budget Summary Page was updated to include Revenue Neutral Rate (2021 SB 13)</t>
  </si>
  <si>
    <t xml:space="preserve">4. Instructions were adjusted to reflect changes from 2021 SB 13. </t>
  </si>
  <si>
    <t>Tab E</t>
  </si>
  <si>
    <t>Tab D</t>
  </si>
  <si>
    <t>Tab C</t>
  </si>
  <si>
    <t>Tab B</t>
  </si>
  <si>
    <t>Tab A</t>
  </si>
  <si>
    <t xml:space="preserve">1. Budget instructions were updated. </t>
  </si>
  <si>
    <t>2. Basic and consistent formatting throughout (including updating fonts, consistent language and print areas)</t>
  </si>
  <si>
    <t>3. Removed (by hiding rows - data is still present in background) new improvements, personal property, terrotory added, changed use, and expiration of tax abatements on "Input Oth" tab</t>
  </si>
  <si>
    <t>4. Updated budget hearing input tab to include inputs for combined hearing notice and rate only notice. Retitled tab "InputBudHearing"</t>
  </si>
  <si>
    <t>5. Updated Budget Hearing Tab formating and consistency</t>
  </si>
  <si>
    <t xml:space="preserve">6. Added alternate Combined Rate and Budget Hearing notice tab for subdivisions that will publish and hold the RNR rate and budget hearing in conjunction with eachother. </t>
  </si>
  <si>
    <t>7. Added RNR Hearing Notice for an optional publication for the RNR hearing only</t>
  </si>
  <si>
    <t xml:space="preserve">8. Added sample resolution to exceed RNR and sample notice to county clerk to report intention to exceed RNR. </t>
  </si>
  <si>
    <t xml:space="preserve">9. Updated helpful links to provide accurate weblinks. </t>
  </si>
  <si>
    <t>10. Added RNR to Certificate Page</t>
  </si>
  <si>
    <t>3a. Made the total expenditures block for the actual and current year to turn 'Red' if violation occurs.</t>
  </si>
  <si>
    <t>6. Neighborhood Revitalization (nhood) took off the protection for the page number and made the estimate rebate round the figures to whole dollars.</t>
  </si>
  <si>
    <t>8. Added to the instruction page lines 11a - 11c to provide a little more insight for the Neighborhood Revitalization rebate.</t>
  </si>
  <si>
    <t>9. Added instruction line 2b to explain how to delete delinquency rate from tax levy fund pages.</t>
  </si>
  <si>
    <t>https://admin.ks.gov/offices/accounts-reports/local-government/municipal-services</t>
  </si>
  <si>
    <t>https://admin.ks.gov/offices/accounts-reports/state-agencies/finance/setoff-program</t>
  </si>
  <si>
    <t>League of Kansas Municipalities</t>
  </si>
  <si>
    <t>https://www.lkm.org/</t>
  </si>
  <si>
    <t>http://www.kslegislature.org/li/</t>
  </si>
  <si>
    <t>https://ag.ks.gov/media-center/ag-opinions</t>
  </si>
  <si>
    <t>Kansas State Treasurer</t>
  </si>
  <si>
    <t>https://www.kansasstatetreasurer.com/fin_serv.html</t>
  </si>
  <si>
    <t>https://www.ksrevenue.gov/</t>
  </si>
  <si>
    <t>https://www.ksrevenue.gov/pvdindex.html</t>
  </si>
  <si>
    <t>https://pooledmoneyinvestmentboard.com/</t>
  </si>
  <si>
    <t>Notice of Revenue Neutral Rate Intent</t>
  </si>
  <si>
    <t>THE GOVERNING BODY OF ________________________, HEREBY NOTIFIES THE ___________ COUNTY CLERK OF INTENT TO EXCEED THE REVENUE NEUTRAL RATE;</t>
  </si>
  <si>
    <t>Yes, we intend to exceed the Revenue Neutral Rate and our proposed mill levy rate is _________.  The date of our hearing is ___________ at _____ AM/PM and will be held at ________________ address in _____________, Kansas.</t>
  </si>
  <si>
    <t>No, we do not plan to exceed the Revenue Neutral Rate and will submit our budget to the County Clerk on or before August 25, 20___.</t>
  </si>
  <si>
    <t>WITNESS my hand and official seal on ____________, 20___.</t>
  </si>
  <si>
    <t>(Seal)</t>
  </si>
  <si>
    <t>Clerk or Officer of Governing Body</t>
  </si>
  <si>
    <t>Resolution No. ______</t>
  </si>
  <si>
    <t>A RESOLUTION OF THE County OF __________, KANSAS TO LEVY A PROPERTY TAX RATE EXCEEDING THE REVENUE NEUTRAL RATE;</t>
  </si>
  <si>
    <t xml:space="preserve">           WHEREAS, the Revenue Neutral Rate for the County of __________ was calculated as _________ mills by the ____________ County Clerk; and</t>
  </si>
  <si>
    <t xml:space="preserve">           WHEREAS, the budget proposed by the Governing Body of the County of __________ will require the levy of a property tax rate exceeding the Revenue Neutral Rate; and</t>
  </si>
  <si>
    <r>
      <t xml:space="preserve">           </t>
    </r>
    <r>
      <rPr>
        <b/>
        <sz val="12"/>
        <rFont val="Times New Roman"/>
        <family val="1"/>
      </rPr>
      <t>WHEREAS</t>
    </r>
    <r>
      <rPr>
        <sz val="12"/>
        <rFont val="Times New Roman"/>
        <family val="1"/>
      </rPr>
      <t>, the Governing Body held a hearing on _________ (Insert Date) allowing all interested taxpayers desiring to be heard an opportunity to give oral testimony; and</t>
    </r>
  </si>
  <si>
    <t xml:space="preserve">          WHEREAS, the Governing Body of the County of ____________, having heard testimony, still finds it necessary to exceed the Revenue Neutral Rate.</t>
  </si>
  <si>
    <t xml:space="preserve">          NOW, THEREFORE, BE IT RESOLVED BY THE GOVERNING BODY OF THE COUNTY OF __________:</t>
  </si>
  <si>
    <t xml:space="preserve">          The County of _________ shall levy a property tax rate exceeding the Revenue Neutral Rate of _________ mills.</t>
  </si>
  <si>
    <t>This resolution shall take effect and be in force immediately upon its adoption and shall remain in effect until future action is taken by the Governing Body.</t>
  </si>
  <si>
    <r>
      <t xml:space="preserve">          </t>
    </r>
    <r>
      <rPr>
        <b/>
        <sz val="12"/>
        <rFont val="Times New Roman"/>
        <family val="1"/>
      </rPr>
      <t>ADOPTED</t>
    </r>
    <r>
      <rPr>
        <sz val="12"/>
        <rFont val="Times New Roman"/>
        <family val="1"/>
      </rPr>
      <t xml:space="preserve"> this ____ day of ___________ (month and year) and SIGNED by the Governing Body.</t>
    </r>
  </si>
  <si>
    <t xml:space="preserve">          ______________________________     ______________________________</t>
  </si>
  <si>
    <t xml:space="preserve">          Attested:</t>
  </si>
  <si>
    <t xml:space="preserve">          ______________________________</t>
  </si>
  <si>
    <t xml:space="preserve">          County Clerk</t>
  </si>
  <si>
    <t>NOTICE OF HEARING TO EXCEED REVENUE NEUTRAL RATE</t>
  </si>
  <si>
    <t>answering objections of taxpayers relating to revenue neutral rate and proposed tax rate, as required by KSA 79-2988.</t>
  </si>
  <si>
    <t>Revenue Neutral Rate*</t>
  </si>
  <si>
    <t>Proposed Tax Rate</t>
  </si>
  <si>
    <t>Tax Rates are expressed in mills</t>
  </si>
  <si>
    <t>* Revenue Netural Rate as defined by KSA 79-2988</t>
  </si>
  <si>
    <t>Public Hearing Input Options</t>
  </si>
  <si>
    <t>Input Examples</t>
  </si>
  <si>
    <r>
      <t xml:space="preserve">This tab will populate the date, time and location of the public hearing on the selected hearing pages, as well as other required information. Please enter the relevant information in the GREEN cells.
Please review the sections below to determine which hearing notice best fits the needs of the taxing subdivision.  Please contact Municipal Services with questions. 
</t>
    </r>
    <r>
      <rPr>
        <b/>
        <sz val="12"/>
        <rFont val="Times New Roman"/>
        <family val="1"/>
      </rPr>
      <t xml:space="preserve">WARNING: Prior to providing newspaper with hearing notice, review all of the information has properly been input and linked to the publication draft. </t>
    </r>
    <r>
      <rPr>
        <sz val="12"/>
        <rFont val="Times New Roman"/>
        <family val="1"/>
      </rPr>
      <t xml:space="preserve">
</t>
    </r>
  </si>
  <si>
    <t>Official Title:</t>
  </si>
  <si>
    <t>City Clerk, City Treasurer, Mayor</t>
  </si>
  <si>
    <t>August 12, 2022</t>
  </si>
  <si>
    <t>City Hall</t>
  </si>
  <si>
    <t>Budget Hearing Notice Only</t>
  </si>
  <si>
    <t>Official Name:</t>
  </si>
  <si>
    <t xml:space="preserve">Taxing subdivisions that do not require a hearing to exceed the revenue neutral rate or will hold/publish the rate hearing separately from the budget hearing, please complete the information in green cells of the "Budget Hearing Notice Only" section. 
You will print the tab "Budget Hearing Notice" and publish this notice in the newspaper at least 10 days prior to the budget hearing. </t>
  </si>
  <si>
    <t xml:space="preserve">Reminder: The notice of hearing must be published at least 10 days prior to hearing date. </t>
  </si>
  <si>
    <t>Budget Available at:</t>
  </si>
  <si>
    <t>Combined Revenue Neutral Rate &amp; Budget Hearing Notice</t>
  </si>
  <si>
    <t xml:space="preserve">Taxing subdivisions that wish to hold a hearing to exceed the revenue neutral rate in conjunction with the regular budget hearing should complete the green cells in the section called "Combined Rate &amp; Budget Hearing Notice". 
You will print the tab called "Combined Rate-Bud Hearing Notice" and publish this notice in the newspaper at least 10 days prior to the hearing date. Addittionally, the taxing subdivision will publish a notice of hearing to exceed the RNR to their website (if maintained).  </t>
  </si>
  <si>
    <t>Hearing to Exceed the Revenue Neutral Rate Notice Only</t>
  </si>
  <si>
    <t xml:space="preserve">If the taxing subdivisin wishes to hold or publish the hearing to exceed the revenue neutral rate separate from the budget hearing, the subdivision may choose the alternate publication "Hearing to Exceed the Revenue Neutral Rate". Note: If using this option, the subdivision MUST also publish the buget hearing notice. </t>
  </si>
  <si>
    <t>Budget Workbook Instructions</t>
  </si>
  <si>
    <t xml:space="preserve">Please read these instructions carefully.  If after reviewing the instructions you still have questions, contact Municipal Services at 785-296-6033 or 785-296-8083; or via email to armunis@ks.gov. </t>
  </si>
  <si>
    <t xml:space="preserve">Please use the budget workbook that corresponds to the number of funds that are used by your taxing subdivision.  If you do not need all the fund pages in the workbook, leave the page number field on the unused fund pages blank and number the completed fund pages sequentially.  The Certificate page will be updated when the page numbers are entered on the fund pages. </t>
  </si>
  <si>
    <t>Submitting the Budget</t>
  </si>
  <si>
    <r>
      <t xml:space="preserve">As required by KSA 79-1801, budgets without intent to exceed the Revenue Neutral Rate (RNR) are required be certified and submitted to the County Clerk by </t>
    </r>
    <r>
      <rPr>
        <u/>
        <sz val="12"/>
        <rFont val="Times New Roman"/>
        <family val="1"/>
      </rPr>
      <t>August 25th</t>
    </r>
    <r>
      <rPr>
        <sz val="12"/>
        <rFont val="Times New Roman"/>
        <family val="1"/>
      </rPr>
      <t xml:space="preserve"> of each year.  If the taxing subdivision must conduct a hearing to approve exceeding the RNR, the budget must be certified and submitted to the County Clerk by </t>
    </r>
    <r>
      <rPr>
        <u/>
        <sz val="12"/>
        <rFont val="Times New Roman"/>
        <family val="1"/>
      </rPr>
      <t>October 1</t>
    </r>
    <r>
      <rPr>
        <u/>
        <vertAlign val="superscript"/>
        <sz val="12"/>
        <rFont val="Times New Roman"/>
        <family val="1"/>
      </rPr>
      <t>st</t>
    </r>
    <r>
      <rPr>
        <b/>
        <sz val="12"/>
        <rFont val="Times New Roman"/>
        <family val="1"/>
      </rPr>
      <t xml:space="preserve">. </t>
    </r>
  </si>
  <si>
    <t>KSA 79-2930 requires budgets be submitted by electronic means to your County Clerk. Acceptable electronic formats are Microsoft Excel and Adobe PDF.</t>
  </si>
  <si>
    <t>General Instructions</t>
  </si>
  <si>
    <t xml:space="preserve">The worksheet tabs are labeled an abbreviation of the document name.  The worksheet tabs are identified in workbook by referencing the tab name in parentheses. For example, the General Fund reference is (General). </t>
  </si>
  <si>
    <t>All dollar amounts should be recorded in whole dollars (do not include cents).</t>
  </si>
  <si>
    <t xml:space="preserve">      Data should only be entered in the green-shaded cells on the budget worksheets.  </t>
  </si>
  <si>
    <t xml:space="preserve">      The beige-shaded cells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continue to experience problems, please contact Municipal Services for assistance. </t>
  </si>
  <si>
    <t xml:space="preserve">      The blue-shaded cells indicate where the required data input can be located. </t>
  </si>
  <si>
    <t xml:space="preserve">      Red-shaded cells are for notes or indicate a problem area that may need corrective action. </t>
  </si>
  <si>
    <r>
      <t xml:space="preserve">To print the worksheets, you can print one tab at a time or all tabs at once by highlighting the tabs that need to be printed.  </t>
    </r>
    <r>
      <rPr>
        <b/>
        <u/>
        <sz val="12"/>
        <rFont val="Times New Roman"/>
        <family val="1"/>
      </rPr>
      <t>Note</t>
    </r>
    <r>
      <rPr>
        <sz val="12"/>
        <rFont val="Times New Roman"/>
        <family val="1"/>
      </rPr>
      <t xml:space="preserve">: Do not print the instructions, input tabs, statutes, etc.  All tabs that are colored blue should be printed (if applicable) and submitted.  </t>
    </r>
  </si>
  <si>
    <t>Workbook Preparation</t>
  </si>
  <si>
    <t>Before getting started, make sure that you have all documents necessary to retrieve the input information for this year’s budget. For a list of documents to have available, see the “Preparing the Budget – Documents Needed” checklist on the Municipal Services website.</t>
  </si>
  <si>
    <r>
      <t xml:space="preserve">1. </t>
    </r>
    <r>
      <rPr>
        <u/>
        <sz val="12"/>
        <rFont val="Times New Roman"/>
        <family val="1"/>
      </rPr>
      <t>Input Prior Year (inputPrYr)</t>
    </r>
    <r>
      <rPr>
        <sz val="12"/>
        <rFont val="Times New Roman"/>
        <family val="1"/>
      </rPr>
      <t xml:space="preserve">: The information comes directly from last year's budget.  After the information has been entered, please verify the data is correct.  If at a later date, it is determined the information is incorrect, correct the information on this page, </t>
    </r>
    <r>
      <rPr>
        <u/>
        <sz val="12"/>
        <rFont val="Times New Roman"/>
        <family val="1"/>
      </rPr>
      <t>not</t>
    </r>
    <r>
      <rPr>
        <sz val="12"/>
        <rFont val="Times New Roman"/>
        <family val="1"/>
      </rPr>
      <t xml:space="preserve"> the fund page. </t>
    </r>
  </si>
  <si>
    <r>
      <t>a.</t>
    </r>
    <r>
      <rPr>
        <sz val="7"/>
        <rFont val="Times New Roman"/>
        <family val="1"/>
      </rPr>
      <t xml:space="preserve">       </t>
    </r>
    <r>
      <rPr>
        <sz val="12"/>
        <rFont val="Times New Roman"/>
        <family val="1"/>
      </rPr>
      <t>In the green-shaded cell, enter the name of the taxing subdivision. For cities, please include “City of” before the city name.</t>
    </r>
  </si>
  <si>
    <r>
      <t>b.</t>
    </r>
    <r>
      <rPr>
        <sz val="7"/>
        <rFont val="Times New Roman"/>
        <family val="1"/>
      </rPr>
      <t xml:space="preserve">      </t>
    </r>
    <r>
      <rPr>
        <sz val="12"/>
        <rFont val="Times New Roman"/>
        <family val="1"/>
      </rPr>
      <t>Dates for the entire budget workbook are controlled by the year entered into the "Enter year being budgeted (YYYY)" field. This field will be prepopulated. If you find a date that is not correct for the budget being submitted, please contact Municipal Services for assistance.</t>
    </r>
  </si>
  <si>
    <r>
      <t>c.</t>
    </r>
    <r>
      <rPr>
        <sz val="7"/>
        <rFont val="Times New Roman"/>
        <family val="1"/>
      </rPr>
      <t xml:space="preserve">       </t>
    </r>
    <r>
      <rPr>
        <u/>
        <sz val="12"/>
        <rFont val="Times New Roman"/>
        <family val="1"/>
      </rPr>
      <t>Optional</t>
    </r>
    <r>
      <rPr>
        <sz val="12"/>
        <rFont val="Times New Roman"/>
        <family val="1"/>
      </rPr>
      <t>: To the right of the last year Ad Valorem Tax column is a tool that may be used to create an estimate of ad valorem taxes to be received in the current year. Input an estimated delinquency percentage in the green-shaded cell. If you do not wish to use an estimated delinquency percentage, leave the green-shaded field at 0.00%.</t>
    </r>
  </si>
  <si>
    <r>
      <t>d.</t>
    </r>
    <r>
      <rPr>
        <sz val="7"/>
        <rFont val="Times New Roman"/>
        <family val="1"/>
      </rPr>
      <t xml:space="preserve">      </t>
    </r>
    <r>
      <rPr>
        <sz val="12"/>
        <rFont val="Times New Roman"/>
        <family val="1"/>
      </rPr>
      <t>Follow the instruction in the blue-shaded cells to complete the green-shaded input cells applicable to your budget.</t>
    </r>
  </si>
  <si>
    <r>
      <t>2.</t>
    </r>
    <r>
      <rPr>
        <sz val="12"/>
        <rFont val="Times New Roman"/>
        <family val="1"/>
      </rPr>
      <t xml:space="preserve"> </t>
    </r>
    <r>
      <rPr>
        <u/>
        <sz val="12"/>
        <rFont val="Times New Roman"/>
        <family val="1"/>
      </rPr>
      <t>Input Other (inputOth)</t>
    </r>
    <r>
      <rPr>
        <sz val="12"/>
        <rFont val="Times New Roman"/>
        <family val="1"/>
      </rPr>
      <t xml:space="preserve">: The information entered on this tab is obtained from the County Clerk, County Treasurer, Municipal Services website, and the adopted budget information from two years ago (including any amendments).  After the information has been entered, please verify the data is correct. </t>
    </r>
  </si>
  <si>
    <r>
      <t>a.</t>
    </r>
    <r>
      <rPr>
        <sz val="7"/>
        <rFont val="Times New Roman"/>
        <family val="1"/>
      </rPr>
      <t xml:space="preserve">       </t>
    </r>
    <r>
      <rPr>
        <sz val="12"/>
        <rFont val="Times New Roman"/>
        <family val="1"/>
      </rPr>
      <t>Follow instruction in the blue-shaded cells to complete the green-shaded input cells.</t>
    </r>
  </si>
  <si>
    <r>
      <t>b.</t>
    </r>
    <r>
      <rPr>
        <sz val="7"/>
        <rFont val="Times New Roman"/>
        <family val="1"/>
      </rPr>
      <t xml:space="preserve">      </t>
    </r>
    <r>
      <rPr>
        <b/>
        <u/>
        <sz val="12"/>
        <rFont val="Times New Roman"/>
        <family val="1"/>
      </rPr>
      <t>Note</t>
    </r>
    <r>
      <rPr>
        <sz val="12"/>
        <rFont val="Times New Roman"/>
        <family val="1"/>
      </rPr>
      <t>: Computation of Delinquency. This allowance is not mandatory but may be used if the municipality wishes. KSA 79-2930 states that such allowance shall not exceed by more than 5% the percentage of delinquency for the preceding tax year. The delinquency rate will be applied to all tax levy fund pages.</t>
    </r>
  </si>
  <si>
    <t>If the taxing subdivision chooses to use the delinquency rate for some but not all tax levy funds, the taxing subdivision must delete the delinquency rate from the funds that should not include delinquency. Right-click on the tab of the fund that does not require the delinquency rate estimate and select Unprotect Sheet. Delete the data in the Delinquent Comp Rate cell. Right click on the tab of the fund page and select Protect Sheet and OK. You do not need to enter a password in the Protect Sheet window. Select OK. Go to the next fund tab and complete the same steps, if applicable.</t>
  </si>
  <si>
    <r>
      <t>3.</t>
    </r>
    <r>
      <rPr>
        <sz val="12"/>
        <rFont val="Times New Roman"/>
        <family val="1"/>
      </rPr>
      <t xml:space="preserve"> </t>
    </r>
    <r>
      <rPr>
        <u/>
        <sz val="12"/>
        <rFont val="Times New Roman"/>
        <family val="1"/>
      </rPr>
      <t>Input Hearing Information (inputHearing)</t>
    </r>
    <r>
      <rPr>
        <sz val="12"/>
        <rFont val="Times New Roman"/>
        <family val="1"/>
      </rPr>
      <t xml:space="preserve">: The information entered on this tab will populate the public hearing information to the appropriate hearing notice.  Review the available options and based on the taxing subdivision needs and complete the appropriate section(s). </t>
    </r>
  </si>
  <si>
    <r>
      <t xml:space="preserve">NOTE: </t>
    </r>
    <r>
      <rPr>
        <sz val="12"/>
        <rFont val="Times New Roman"/>
        <family val="1"/>
      </rPr>
      <t xml:space="preserve">All taxing subdivisions must publish the summarized budget in order to legally adopt the budget (unless otherwise authorized by law).  To do this, either the “Budget Hearing Notice Only” or the “Combined Revenue Neutral Rate &amp; Budget Hearing Notice” section and publication should be used.  </t>
    </r>
  </si>
  <si>
    <r>
      <t>a.</t>
    </r>
    <r>
      <rPr>
        <sz val="7"/>
        <rFont val="Times New Roman"/>
        <family val="1"/>
      </rPr>
      <t xml:space="preserve">       </t>
    </r>
    <r>
      <rPr>
        <u/>
        <sz val="12"/>
        <rFont val="Times New Roman"/>
        <family val="1"/>
      </rPr>
      <t>Budget Hearing Notice Only</t>
    </r>
    <r>
      <rPr>
        <sz val="12"/>
        <rFont val="Times New Roman"/>
        <family val="1"/>
      </rPr>
      <t xml:space="preserve">: If the subdivision does not intend to exceed the RNR or will publish the RNR hearing information separately, this section may be used.  Enter the required information into the green-shaded cells. Print and review the tab (Budget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t>
    </r>
  </si>
  <si>
    <r>
      <t>b.</t>
    </r>
    <r>
      <rPr>
        <sz val="7"/>
        <rFont val="Times New Roman"/>
        <family val="1"/>
      </rPr>
      <t xml:space="preserve">      </t>
    </r>
    <r>
      <rPr>
        <u/>
        <sz val="12"/>
        <rFont val="Times New Roman"/>
        <family val="1"/>
      </rPr>
      <t>Combined Revenue Neutral Rate &amp; Budget Hearing Notice</t>
    </r>
    <r>
      <rPr>
        <sz val="12"/>
        <rFont val="Times New Roman"/>
        <family val="1"/>
      </rPr>
      <t xml:space="preserve">: If the subdivision intends to hold a hearing to exceed the RNR, the subdivision may elect to publish the rate and budget hearing together.  This alternate publication may be used for that purpose.  Enter the required information into the green-shaded cells. Print and review the tab (Combined-Rate-Bud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Additionally, the rate hearing information must be published to the taxing subdivision’s website, if maintained.  </t>
    </r>
  </si>
  <si>
    <r>
      <t>c.</t>
    </r>
    <r>
      <rPr>
        <sz val="7"/>
        <rFont val="Times New Roman"/>
        <family val="1"/>
      </rPr>
      <t xml:space="preserve">       </t>
    </r>
    <r>
      <rPr>
        <u/>
        <sz val="12"/>
        <rFont val="Times New Roman"/>
        <family val="1"/>
      </rPr>
      <t>Hearing to Exceed the Revenue Neutral Rate Notice Only</t>
    </r>
    <r>
      <rPr>
        <sz val="12"/>
        <rFont val="Times New Roman"/>
        <family val="1"/>
      </rPr>
      <t xml:space="preserve">: If the subdivision wishes to publish the hearing information to exceed the RNR separately, this alternate publication may be used.  Enter the required information into the green-shaded cells. Print and review the tab (RNR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Additionally, the rate hearing information must be published to the taxing subdivision’s website, if maintained.  </t>
    </r>
  </si>
  <si>
    <r>
      <t>4.</t>
    </r>
    <r>
      <rPr>
        <sz val="12"/>
        <rFont val="Times New Roman"/>
        <family val="1"/>
      </rPr>
      <t xml:space="preserve"> </t>
    </r>
    <r>
      <rPr>
        <u/>
        <sz val="12"/>
        <rFont val="Times New Roman"/>
        <family val="1"/>
      </rPr>
      <t>Certificate (Cert)</t>
    </r>
    <r>
      <rPr>
        <sz val="12"/>
        <rFont val="Times New Roman"/>
        <family val="1"/>
      </rPr>
      <t xml:space="preserve">:  This document is populated with information entered on the fund tabs and input tabs.  If there is incorrect information on the Certificate, do </t>
    </r>
    <r>
      <rPr>
        <u/>
        <sz val="12"/>
        <rFont val="Times New Roman"/>
        <family val="1"/>
      </rPr>
      <t>not</t>
    </r>
    <r>
      <rPr>
        <sz val="12"/>
        <rFont val="Times New Roman"/>
        <family val="1"/>
      </rPr>
      <t xml:space="preserve"> correct the Certificate directly. Correct the fund or input tab that populates the information on the Certificate.  If you cannot correct the error, please contact Municipal Services for assistance. </t>
    </r>
  </si>
  <si>
    <r>
      <t>a.</t>
    </r>
    <r>
      <rPr>
        <sz val="7"/>
        <rFont val="Times New Roman"/>
        <family val="1"/>
      </rPr>
      <t xml:space="preserve">       </t>
    </r>
    <r>
      <rPr>
        <sz val="12"/>
        <rFont val="Times New Roman"/>
        <family val="1"/>
      </rPr>
      <t>If someone other than a municipal employee assists in preparing the budget, please enter the person's or firm's name and address in the green-shaded cells provided at the bottom left.</t>
    </r>
  </si>
  <si>
    <r>
      <t>b.</t>
    </r>
    <r>
      <rPr>
        <sz val="7"/>
        <rFont val="Times New Roman"/>
        <family val="1"/>
      </rPr>
      <t xml:space="preserve">      </t>
    </r>
    <r>
      <rPr>
        <sz val="12"/>
        <rFont val="Times New Roman"/>
        <family val="1"/>
      </rPr>
      <t xml:space="preserve">This is a required document and must be included in the adopted budget submitted to the County Clerk. </t>
    </r>
  </si>
  <si>
    <r>
      <t>5.</t>
    </r>
    <r>
      <rPr>
        <sz val="12"/>
        <rFont val="Times New Roman"/>
        <family val="1"/>
      </rPr>
      <t xml:space="preserve">  </t>
    </r>
    <r>
      <rPr>
        <u/>
        <sz val="12"/>
        <rFont val="Times New Roman"/>
        <family val="1"/>
      </rPr>
      <t>Allocation of MV, RV, 16/20M, Commercial Vehicle and Watercraft Tax Estimates (Mvalloc)</t>
    </r>
    <r>
      <rPr>
        <sz val="12"/>
        <rFont val="Times New Roman"/>
        <family val="1"/>
      </rPr>
      <t>: This information populated from the information entered on inputPrYr and inputOth.  Once calculated, the motor allocation information is linked to the applicable fund pages. If information concerning on this tab is not correct, do not make changes to this tab, but rather correct the information on inputPrYr and/or inputOth.</t>
    </r>
  </si>
  <si>
    <r>
      <t>a.</t>
    </r>
    <r>
      <rPr>
        <sz val="7"/>
        <rFont val="Times New Roman"/>
        <family val="1"/>
      </rPr>
      <t xml:space="preserve">       </t>
    </r>
    <r>
      <rPr>
        <sz val="12"/>
        <rFont val="Times New Roman"/>
        <family val="1"/>
      </rPr>
      <t xml:space="preserve">This is a required document and must be included in the adopted budget submitted to the County Clerk. </t>
    </r>
  </si>
  <si>
    <r>
      <t>6.</t>
    </r>
    <r>
      <rPr>
        <sz val="12"/>
        <rFont val="Times New Roman"/>
        <family val="1"/>
      </rPr>
      <t xml:space="preserve"> </t>
    </r>
    <r>
      <rPr>
        <u/>
        <sz val="12"/>
        <rFont val="Times New Roman"/>
        <family val="1"/>
      </rPr>
      <t>Schedule of Transfers (Transfers)</t>
    </r>
    <r>
      <rPr>
        <sz val="12"/>
        <rFont val="Times New Roman"/>
        <family val="1"/>
      </rPr>
      <t xml:space="preserve">:  This document reports all actual, current, and proposed transfers for the taxing subdivision. Provide the statute that authorizes the transfer. The Transfer Statutes (Transfer Statutes) tab lists applicable transfer statutes for reference. If Home Rule is applied, provide the charter ordinance number in place of the statute. </t>
    </r>
  </si>
  <si>
    <r>
      <t>a.</t>
    </r>
    <r>
      <rPr>
        <sz val="7"/>
        <rFont val="Times New Roman"/>
        <family val="1"/>
      </rPr>
      <t xml:space="preserve">      </t>
    </r>
    <r>
      <rPr>
        <sz val="12"/>
        <rFont val="Times New Roman"/>
        <family val="1"/>
      </rPr>
      <t xml:space="preserve">The transfers are totaled at the bottom of the schedule and the aggregate transfer amount is linked to the hearing notice pages.    </t>
    </r>
  </si>
  <si>
    <r>
      <t>b.</t>
    </r>
    <r>
      <rPr>
        <sz val="7"/>
        <rFont val="Times New Roman"/>
        <family val="1"/>
      </rPr>
      <t xml:space="preserve">       </t>
    </r>
    <r>
      <rPr>
        <sz val="12"/>
        <rFont val="Times New Roman"/>
        <family val="1"/>
      </rPr>
      <t xml:space="preserve">Adjustments are made for only those non-budgeted expenditure transfers appearing in the current and/or proposed columns of the schedule and do not have expenditures shown in the hearing notice current and proposed columns. These types of transfers are not truly an expenditure at this time and as such an adjustment is needed to show the taxpayers the actual expenditures for the municipality. </t>
    </r>
  </si>
  <si>
    <r>
      <t>c.</t>
    </r>
    <r>
      <rPr>
        <sz val="7"/>
        <rFont val="Times New Roman"/>
        <family val="1"/>
      </rPr>
      <t xml:space="preserve">      </t>
    </r>
    <r>
      <rPr>
        <sz val="12"/>
        <rFont val="Times New Roman"/>
        <family val="1"/>
      </rPr>
      <t>Each transfer listed must be recorded on the appropriate fund pages (tabs) the individual completed fund pages.</t>
    </r>
  </si>
  <si>
    <r>
      <t>d.</t>
    </r>
    <r>
      <rPr>
        <sz val="7"/>
        <rFont val="Times New Roman"/>
        <family val="1"/>
      </rPr>
      <t xml:space="preserve">       </t>
    </r>
    <r>
      <rPr>
        <sz val="12"/>
        <rFont val="Times New Roman"/>
        <family val="1"/>
      </rPr>
      <t xml:space="preserve">If there are no transfers, leave as zeroes. This document must be included in the adopted budget submitted to the County Clerk. </t>
    </r>
  </si>
  <si>
    <r>
      <t>7.</t>
    </r>
    <r>
      <rPr>
        <sz val="12"/>
        <rFont val="Times New Roman"/>
        <family val="1"/>
      </rPr>
      <t xml:space="preserve">  </t>
    </r>
    <r>
      <rPr>
        <u/>
        <sz val="12"/>
        <rFont val="Times New Roman"/>
        <family val="1"/>
      </rPr>
      <t>Statement of Indebtedness (Debt)</t>
    </r>
    <r>
      <rPr>
        <sz val="12"/>
        <rFont val="Times New Roman"/>
        <family val="1"/>
      </rPr>
      <t xml:space="preserve">: This document must show all of the debt owed or proposed to be issued.  The general obligation and revenue bond totals for the budget year are linked to the hearing notice pages.  </t>
    </r>
  </si>
  <si>
    <r>
      <t>a.</t>
    </r>
    <r>
      <rPr>
        <sz val="7"/>
        <rFont val="Times New Roman"/>
        <family val="1"/>
      </rPr>
      <t xml:space="preserve">       </t>
    </r>
    <r>
      <rPr>
        <sz val="12"/>
        <rFont val="Times New Roman"/>
        <family val="1"/>
      </rPr>
      <t xml:space="preserve">If the taxing subdivision does not have any debt, enter “None” on the first line. This document must be included in the adopted budget submitted to the County Clerk. </t>
    </r>
  </si>
  <si>
    <r>
      <t>8.</t>
    </r>
    <r>
      <rPr>
        <sz val="12"/>
        <rFont val="Times New Roman"/>
        <family val="1"/>
      </rPr>
      <t xml:space="preserve">  </t>
    </r>
    <r>
      <rPr>
        <u/>
        <sz val="12"/>
        <rFont val="Times New Roman"/>
        <family val="1"/>
      </rPr>
      <t>Statement of Conditional Lease, Lease-Purchases and Certificate of Participation (LP Form)</t>
    </r>
    <r>
      <rPr>
        <sz val="12"/>
        <rFont val="Times New Roman"/>
        <family val="1"/>
      </rPr>
      <t xml:space="preserve">: This document must be completed for all transactions in which the taxing subdivision intends to own the equipment.  Principal Balance Due for the actual year is linked to the hearing notice pages. </t>
    </r>
  </si>
  <si>
    <r>
      <t>a.</t>
    </r>
    <r>
      <rPr>
        <sz val="7"/>
        <rFont val="Times New Roman"/>
        <family val="1"/>
      </rPr>
      <t xml:space="preserve">       </t>
    </r>
    <r>
      <rPr>
        <sz val="12"/>
        <rFont val="Times New Roman"/>
        <family val="1"/>
      </rPr>
      <t>If the taxing subdivision does not have any leases, enter 'None' on the first line. This document must be included in the adopted budget submitted to the County Clerk.</t>
    </r>
  </si>
  <si>
    <r>
      <t>9.</t>
    </r>
    <r>
      <rPr>
        <sz val="12"/>
        <rFont val="Times New Roman"/>
        <family val="1"/>
      </rPr>
      <t xml:space="preserve"> </t>
    </r>
    <r>
      <rPr>
        <u/>
        <sz val="12"/>
        <rFont val="Times New Roman"/>
        <family val="1"/>
      </rPr>
      <t>Worksheet for State Grant-In-Aid to Public Libraries and Regional Library Systems (Library Grant)</t>
    </r>
    <r>
      <rPr>
        <sz val="12"/>
        <rFont val="Times New Roman"/>
        <family val="1"/>
      </rPr>
      <t xml:space="preserve">: This information is populated from the Library fund page and is used to determine if the municipality qualifies for a State grant. If qualified, the bottom of the Library fund page will say “Qualifies for State Library Grant” in red. If not qualified, it will say “See Library Grant tab.”  </t>
    </r>
  </si>
  <si>
    <r>
      <t>a.</t>
    </r>
    <r>
      <rPr>
        <sz val="7"/>
        <rFont val="Times New Roman"/>
        <family val="1"/>
      </rPr>
      <t xml:space="preserve">       </t>
    </r>
    <r>
      <rPr>
        <sz val="12"/>
        <rFont val="Times New Roman"/>
        <family val="1"/>
      </rPr>
      <t>For subdivisions with a library: If the Library fund page is used, the Certificate page will update the Table of Contents to show “Computation to Determine State Library Grant.” This worksheet will be a required document in the adopted budget submitted to the County Clerk.</t>
    </r>
  </si>
  <si>
    <r>
      <t>b.</t>
    </r>
    <r>
      <rPr>
        <sz val="7"/>
        <rFont val="Times New Roman"/>
        <family val="1"/>
      </rPr>
      <t xml:space="preserve">      </t>
    </r>
    <r>
      <rPr>
        <sz val="12"/>
        <rFont val="Times New Roman"/>
        <family val="1"/>
      </rPr>
      <t xml:space="preserve">For subdivisions without a library: No action is required, and this page </t>
    </r>
    <r>
      <rPr>
        <i/>
        <sz val="12"/>
        <rFont val="Times New Roman"/>
        <family val="1"/>
      </rPr>
      <t xml:space="preserve">does not </t>
    </r>
    <r>
      <rPr>
        <sz val="12"/>
        <rFont val="Times New Roman"/>
        <family val="1"/>
      </rPr>
      <t>need to be included in the adopted budget submitted to the County Clerk.</t>
    </r>
  </si>
  <si>
    <r>
      <t>10.</t>
    </r>
    <r>
      <rPr>
        <sz val="12"/>
        <rFont val="Times New Roman"/>
        <family val="1"/>
      </rPr>
      <t xml:space="preserve">  The budget workbook has individual fund sheets such as, but not limited to, General Fund (General), Debt Service and Library levy fund (DebtSvs-Library), levy funds (Levy Page #), Special Highway fund (Spec Hwy), non-levy funds (No Levy Page #) and single no levy funds (Single No Levy Page #).  Only complete the fund pages needed.  </t>
    </r>
    <r>
      <rPr>
        <b/>
        <u/>
        <sz val="12"/>
        <rFont val="Times New Roman"/>
        <family val="1"/>
      </rPr>
      <t>Do not delete unused pages.</t>
    </r>
    <r>
      <rPr>
        <sz val="12"/>
        <rFont val="Times New Roman"/>
        <family val="1"/>
      </rPr>
      <t xml:space="preserve"> When the fund pages are completed, the totals will be shown on the Certificate and hearing notice pages.</t>
    </r>
  </si>
  <si>
    <r>
      <t>a.</t>
    </r>
    <r>
      <rPr>
        <sz val="7"/>
        <rFont val="Times New Roman"/>
        <family val="1"/>
      </rPr>
      <t xml:space="preserve">       </t>
    </r>
    <r>
      <rPr>
        <sz val="12"/>
        <rFont val="Times New Roman"/>
        <family val="1"/>
      </rPr>
      <t>The page number for the General Fund and General Fund Detail do not prepopulate.  Once the page number is manually entered at the bottom of the General Fund page, the correct page number will auto-populate at the bottom of the General Fund Detail page. If the taxing subdivision has a Library Fund, the Library Grant page will auto-populate.</t>
    </r>
  </si>
  <si>
    <r>
      <t>b.</t>
    </r>
    <r>
      <rPr>
        <sz val="7"/>
        <rFont val="Times New Roman"/>
        <family val="1"/>
      </rPr>
      <t xml:space="preserve">      </t>
    </r>
    <r>
      <rPr>
        <sz val="12"/>
        <rFont val="Times New Roman"/>
        <family val="1"/>
      </rPr>
      <t xml:space="preserve">On all tax levy fund pages, see the “Projected Carryover” tool for the proposed budgeted year.   The carryover tool provides insight as what the projected cash might be using figures from the budget being submitted.  The figures used are only estimates and if the actual receipts or expenditures vary, the projected cash carryover will be affected.  </t>
    </r>
    <r>
      <rPr>
        <b/>
        <u/>
        <sz val="12"/>
        <rFont val="Times New Roman"/>
        <family val="1"/>
      </rPr>
      <t>Note</t>
    </r>
    <r>
      <rPr>
        <sz val="12"/>
        <rFont val="Times New Roman"/>
        <family val="1"/>
      </rPr>
      <t>: delinquent taxes are not included in the projected carryover as they have a major impact on the “Desired Carryover” tool.</t>
    </r>
  </si>
  <si>
    <r>
      <t>c.</t>
    </r>
    <r>
      <rPr>
        <sz val="7"/>
        <rFont val="Times New Roman"/>
        <family val="1"/>
      </rPr>
      <t xml:space="preserve">       </t>
    </r>
    <r>
      <rPr>
        <sz val="12"/>
        <rFont val="Times New Roman"/>
        <family val="1"/>
      </rPr>
      <t xml:space="preserve">On all tax levy fund page, see the “Desired Carryover” tool. This is used to estimate a desired carryover amount and show the estimated mill rate impact along with the expenditure adjustments required to reach the desired carryover.  </t>
    </r>
    <r>
      <rPr>
        <b/>
        <u/>
        <sz val="12"/>
        <rFont val="Times New Roman"/>
        <family val="1"/>
      </rPr>
      <t>Note</t>
    </r>
    <r>
      <rPr>
        <sz val="12"/>
        <rFont val="Times New Roman"/>
        <family val="1"/>
      </rPr>
      <t>: if a delinquency rate is used, the tool may require several adjustments to get the desired amount or close to the desire amount.</t>
    </r>
  </si>
  <si>
    <r>
      <t>d.</t>
    </r>
    <r>
      <rPr>
        <sz val="7"/>
        <rFont val="Times New Roman"/>
        <family val="1"/>
      </rPr>
      <t xml:space="preserve">      </t>
    </r>
    <r>
      <rPr>
        <sz val="12"/>
        <rFont val="Times New Roman"/>
        <family val="1"/>
      </rPr>
      <t xml:space="preserve">On all tax levy fund pages, we have placed “Estimated Mill Rate &amp; Revenue Neutral Rate Comparison” tool. This tool is used to illustrate and compare the fund rates (both estimated and current year) as well as the total rates (estimated and current year). Additionally, users will see the RNR to determine whether the process in KSA 79-2988 should be followed. If a RNR hearing is required, “Yes” will appear in a red box, and a red statement with additional instruction will appear. </t>
    </r>
  </si>
  <si>
    <r>
      <t>e.</t>
    </r>
    <r>
      <rPr>
        <sz val="7"/>
        <rFont val="Times New Roman"/>
        <family val="1"/>
      </rPr>
      <t xml:space="preserve">       </t>
    </r>
    <r>
      <rPr>
        <u/>
        <sz val="12"/>
        <rFont val="Times New Roman"/>
        <family val="1"/>
      </rPr>
      <t>General Detail Page (General Detail)</t>
    </r>
    <r>
      <rPr>
        <sz val="12"/>
        <rFont val="Times New Roman"/>
        <family val="1"/>
      </rPr>
      <t xml:space="preserve">:  This page shows detailed expenditures for the General Fund departments.  If used, you will input each department name and expenditures on this page </t>
    </r>
    <r>
      <rPr>
        <i/>
        <sz val="12"/>
        <rFont val="Times New Roman"/>
        <family val="1"/>
      </rPr>
      <t xml:space="preserve">and </t>
    </r>
    <r>
      <rPr>
        <sz val="12"/>
        <rFont val="Times New Roman"/>
        <family val="1"/>
      </rPr>
      <t xml:space="preserve">input the department name and </t>
    </r>
    <r>
      <rPr>
        <u/>
        <sz val="12"/>
        <rFont val="Times New Roman"/>
        <family val="1"/>
      </rPr>
      <t>total</t>
    </r>
    <r>
      <rPr>
        <sz val="12"/>
        <rFont val="Times New Roman"/>
        <family val="1"/>
      </rPr>
      <t xml:space="preserve"> expenditures on the General Fund page. Department transfers should be shown on the General Fund page only. Departments with like transfers may be shown together on the General Fund page as single line items. For example: if several departments have a transfer for equipment reserve, the total of all equipment reserve transfers should be shown on the General Fund page as “Transfer to Equipment Reserve” for each budgeted year.</t>
    </r>
  </si>
  <si>
    <r>
      <t>f.</t>
    </r>
    <r>
      <rPr>
        <sz val="7"/>
        <rFont val="Times New Roman"/>
        <family val="1"/>
      </rPr>
      <t xml:space="preserve">        </t>
    </r>
    <r>
      <rPr>
        <sz val="12"/>
        <rFont val="Times New Roman"/>
        <family val="1"/>
      </rPr>
      <t xml:space="preserve">Each tax levy fund will have an expenditure line for neighborhood revitalization.  Only input the rebate amounts for the </t>
    </r>
    <r>
      <rPr>
        <b/>
        <sz val="12"/>
        <rFont val="Times New Roman"/>
        <family val="1"/>
      </rPr>
      <t>actual and current year</t>
    </r>
    <r>
      <rPr>
        <sz val="12"/>
        <rFont val="Times New Roman"/>
        <family val="1"/>
      </rPr>
      <t xml:space="preserve">.  The proposed budget year amount will be computed for you. Please see step 12 for neighborhood revitalization rebate instructions for the proposed budget year. </t>
    </r>
  </si>
  <si>
    <r>
      <t>g.</t>
    </r>
    <r>
      <rPr>
        <sz val="7"/>
        <rFont val="Times New Roman"/>
        <family val="1"/>
      </rPr>
      <t xml:space="preserve">      </t>
    </r>
    <r>
      <rPr>
        <u/>
        <sz val="12"/>
        <rFont val="Times New Roman"/>
        <family val="1"/>
      </rPr>
      <t>Optional</t>
    </r>
    <r>
      <rPr>
        <sz val="12"/>
        <rFont val="Times New Roman"/>
        <family val="1"/>
      </rPr>
      <t xml:space="preserve">: All levy fund pages have a Non-Appropriated Balance cell. It is not mandatory enter an amount or the Non-Appropriated Balance.  KSA 79-2927 allows the taxing subdivision to enter an amount not to exceed 5% of the total expenditures for each fund. If the amount entered in the cell exceeds the 5%, a warning "Exceeds 5%" will appear and the block will turn red.  In order to remove this warning message, you must reduce the non-appropriated amount. </t>
    </r>
  </si>
  <si>
    <r>
      <t>h.</t>
    </r>
    <r>
      <rPr>
        <sz val="7"/>
        <rFont val="Times New Roman"/>
        <family val="1"/>
      </rPr>
      <t xml:space="preserve">      </t>
    </r>
    <r>
      <rPr>
        <sz val="12"/>
        <rFont val="Times New Roman"/>
        <family val="1"/>
      </rPr>
      <t xml:space="preserve">Each fund page has a “Miscellaneous” receipt and expenditure line item.  Once an amount has been entered into the cell for actual/current/proposed columns, the amount will be compared with either total expenditures or total receipts to determine if it exceeds the 10% Rule in KSA 79-2927.  If the amount exceeds the 10% Rule, the block will turn red, the amount bolded, and “Exceed 10% Rule” will appear in red.  To remove the statement and return the block to normal, you must reduce the amount to either 10% or less. </t>
    </r>
    <r>
      <rPr>
        <b/>
        <u/>
        <sz val="12"/>
        <rFont val="Times New Roman"/>
        <family val="1"/>
      </rPr>
      <t>Note</t>
    </r>
    <r>
      <rPr>
        <sz val="12"/>
        <rFont val="Times New Roman"/>
        <family val="1"/>
      </rPr>
      <t>: Under the proposed column, the miscellaneous receipt takes into consideration the amount of ad valorem taxes in determining the 10% Rule.</t>
    </r>
  </si>
  <si>
    <r>
      <t>i.</t>
    </r>
    <r>
      <rPr>
        <sz val="7"/>
        <rFont val="Times New Roman"/>
        <family val="1"/>
      </rPr>
      <t xml:space="preserve">        </t>
    </r>
    <r>
      <rPr>
        <u/>
        <sz val="12"/>
        <rFont val="Times New Roman"/>
        <family val="1"/>
      </rPr>
      <t>Debt Service fund page (DebtSvs-Library)</t>
    </r>
    <r>
      <rPr>
        <sz val="12"/>
        <rFont val="Times New Roman"/>
        <family val="1"/>
      </rPr>
      <t xml:space="preserve">: This fund page may contain all debts owed by the taxing subdivision and the amounts should agree with the Statement of Indebtedness amounts.  Debts that are pledged from a revenue stream should have enough funds transferred into the Debt Service fund to cover the bond principal and interest for these debts. </t>
    </r>
    <r>
      <rPr>
        <b/>
        <u/>
        <sz val="12"/>
        <rFont val="Times New Roman"/>
        <family val="1"/>
      </rPr>
      <t>Note</t>
    </r>
    <r>
      <rPr>
        <sz val="12"/>
        <rFont val="Times New Roman"/>
        <family val="1"/>
      </rPr>
      <t>: Debts pledged from revenue streams are not required to be included in the Debt Service fund page but can be paid from the fund in which the revenue stream is located. If the taxing subdivision has No Fund warrants, these can be included in the Debt Service fund page and levy taxes for this debt. No Fund warrants are not required to be included in the Debt Service fund and may have a separate Tax Levy Fund to account for them.</t>
    </r>
  </si>
  <si>
    <t xml:space="preserve">See step 9 for detailed instruction on the library fund. </t>
  </si>
  <si>
    <r>
      <t>j.</t>
    </r>
    <r>
      <rPr>
        <sz val="7"/>
        <rFont val="Times New Roman"/>
        <family val="1"/>
      </rPr>
      <t xml:space="preserve">        </t>
    </r>
    <r>
      <rPr>
        <u/>
        <sz val="12"/>
        <rFont val="Times New Roman"/>
        <family val="1"/>
      </rPr>
      <t>Funds with No Tax Levy fund page (No Levy Page #)</t>
    </r>
    <r>
      <rPr>
        <sz val="12"/>
        <rFont val="Times New Roman"/>
        <family val="1"/>
      </rPr>
      <t xml:space="preserve">:  These pages will be used to budget any fund that does not have the authority or need to levy an ad valorem property tax. These funds will have revenues of fees, sales tax, license, enterprise, etc.  </t>
    </r>
  </si>
  <si>
    <r>
      <t>k.</t>
    </r>
    <r>
      <rPr>
        <sz val="7"/>
        <rFont val="Times New Roman"/>
        <family val="1"/>
      </rPr>
      <t xml:space="preserve">      </t>
    </r>
    <r>
      <rPr>
        <u/>
        <sz val="12"/>
        <rFont val="Times New Roman"/>
        <family val="1"/>
      </rPr>
      <t>Single No Tax Levy fund page (Single No Levy Page #)</t>
    </r>
    <r>
      <rPr>
        <sz val="12"/>
        <rFont val="Times New Roman"/>
        <family val="1"/>
      </rPr>
      <t>: These pages are for funds with numerous lines for receipts or expenditures that do not fit on one of the other no levy fund pages.  Additional lines may be added as needed. Please contact Municipal Services for assistance.</t>
    </r>
  </si>
  <si>
    <r>
      <t>l.</t>
    </r>
    <r>
      <rPr>
        <sz val="7"/>
        <rFont val="Times New Roman"/>
        <family val="1"/>
      </rPr>
      <t xml:space="preserve">        </t>
    </r>
    <r>
      <rPr>
        <u/>
        <sz val="12"/>
        <rFont val="Times New Roman"/>
        <family val="1"/>
      </rPr>
      <t>Non-Budgeted Funds (Non-Budgeted Funds)</t>
    </r>
    <r>
      <rPr>
        <sz val="12"/>
        <rFont val="Times New Roman"/>
        <family val="1"/>
      </rPr>
      <t xml:space="preserve">: The non-budgeted funds are only required to show the actual year receipts and expenditures. The expenditures total will populate the hearing notice page. Normally, the unencumbered cash balance should end with a positive cash balance.  If it ends with a negative, the worksheet will indicate the negative balance by displaying “See Tab B” in red under the unencumbered cash balance. Use Tab B to determine if corrective action is available.  </t>
    </r>
  </si>
  <si>
    <r>
      <t>m.</t>
    </r>
    <r>
      <rPr>
        <sz val="7"/>
        <rFont val="Times New Roman"/>
        <family val="1"/>
      </rPr>
      <t xml:space="preserve">    </t>
    </r>
    <r>
      <rPr>
        <u/>
        <sz val="12"/>
        <rFont val="Times New Roman"/>
        <family val="1"/>
      </rPr>
      <t>Tab A and Tab B</t>
    </r>
    <r>
      <rPr>
        <sz val="12"/>
        <rFont val="Times New Roman"/>
        <family val="1"/>
      </rPr>
      <t xml:space="preserve">: If the </t>
    </r>
    <r>
      <rPr>
        <i/>
        <sz val="12"/>
        <rFont val="Times New Roman"/>
        <family val="1"/>
      </rPr>
      <t>prior year</t>
    </r>
    <r>
      <rPr>
        <sz val="12"/>
        <rFont val="Times New Roman"/>
        <family val="1"/>
      </rPr>
      <t xml:space="preserve"> total expenditures on any budgeted fund page exceeds the budget authority amount, "See Tab A" will appear in red to indicate a possible prior year budget law violation.  If a fund ended the prior year with a negative cash balance, "See Tab B" will appear in red to indicate a possible prior year cash basis law violation.  Use Tab A and Tab B to determine if corrective action is available.</t>
    </r>
  </si>
  <si>
    <r>
      <t>n.</t>
    </r>
    <r>
      <rPr>
        <sz val="7"/>
        <rFont val="Times New Roman"/>
        <family val="1"/>
      </rPr>
      <t xml:space="preserve">      </t>
    </r>
    <r>
      <rPr>
        <u/>
        <sz val="12"/>
        <rFont val="Times New Roman"/>
        <family val="1"/>
      </rPr>
      <t>Tab C and Tab D</t>
    </r>
    <r>
      <rPr>
        <sz val="12"/>
        <rFont val="Times New Roman"/>
        <family val="1"/>
      </rPr>
      <t xml:space="preserve">: If the </t>
    </r>
    <r>
      <rPr>
        <i/>
        <sz val="12"/>
        <rFont val="Times New Roman"/>
        <family val="1"/>
      </rPr>
      <t>current year</t>
    </r>
    <r>
      <rPr>
        <sz val="12"/>
        <rFont val="Times New Roman"/>
        <family val="1"/>
      </rPr>
      <t xml:space="preserve"> adjusted expenditures on any budgeted fund page exceeds the budget authority amount, “See Tab C” will appear in red to indicate a possible current year budget law violation. If a fund ends the current year with a negative cash balance "See Tab D" will appear in red to indicate a possible current year cash basis law violation. Use Tab C and Tab D to determine if corrective action is available.</t>
    </r>
  </si>
  <si>
    <r>
      <t>o.</t>
    </r>
    <r>
      <rPr>
        <sz val="7"/>
        <rFont val="Times New Roman"/>
        <family val="1"/>
      </rPr>
      <t xml:space="preserve">      </t>
    </r>
    <r>
      <rPr>
        <u/>
        <sz val="12"/>
        <rFont val="Times New Roman"/>
        <family val="1"/>
      </rPr>
      <t>Tab E</t>
    </r>
    <r>
      <rPr>
        <sz val="12"/>
        <rFont val="Times New Roman"/>
        <family val="1"/>
      </rPr>
      <t xml:space="preserve">: If the </t>
    </r>
    <r>
      <rPr>
        <i/>
        <sz val="12"/>
        <rFont val="Times New Roman"/>
        <family val="1"/>
      </rPr>
      <t>proposed budget</t>
    </r>
    <r>
      <rPr>
        <sz val="12"/>
        <rFont val="Times New Roman"/>
        <family val="1"/>
      </rPr>
      <t xml:space="preserve"> cash balance is negative, “See Tab E” will appear in red to indicate a possible proposed budget year budget law violation. Use Tab E to determine if corrective action is available. </t>
    </r>
  </si>
  <si>
    <r>
      <t>11.</t>
    </r>
    <r>
      <rPr>
        <sz val="12"/>
        <rFont val="Times New Roman"/>
        <family val="1"/>
      </rPr>
      <t xml:space="preserve">  </t>
    </r>
    <r>
      <rPr>
        <u/>
        <sz val="12"/>
        <rFont val="Times New Roman"/>
        <family val="1"/>
      </rPr>
      <t>Hearing Notices (Budget Hearing Notice), (Combined Rate-Bud Hearing Notice), (RNR Hearing Notice)</t>
    </r>
    <r>
      <rPr>
        <sz val="12"/>
        <rFont val="Times New Roman"/>
        <family val="1"/>
      </rPr>
      <t xml:space="preserve">: These pages will populate the required information from other worksheets.  If you find information that is not correct, please go to the worksheet from which the information originates to make the correction. If you cannot correct the error, please contact Municipal Services for assistance.   </t>
    </r>
  </si>
  <si>
    <r>
      <t>a.</t>
    </r>
    <r>
      <rPr>
        <sz val="7"/>
        <rFont val="Times New Roman"/>
        <family val="1"/>
      </rPr>
      <t xml:space="preserve">       </t>
    </r>
    <r>
      <rPr>
        <sz val="12"/>
        <rFont val="Times New Roman"/>
        <family val="1"/>
      </rPr>
      <t>The inputHearing tab is used to place information on the respective hearing notice options.  On input tab you will key in the following information: Name of Person presenting the budget, Title of Person, date the budget hearing will be held, time of the hearing, location of the budget hearing, and a place whereas the taxpayers can obtain a copy of the budget.</t>
    </r>
  </si>
  <si>
    <r>
      <t>b.</t>
    </r>
    <r>
      <rPr>
        <sz val="7"/>
        <rFont val="Times New Roman"/>
        <family val="1"/>
      </rPr>
      <t xml:space="preserve">      </t>
    </r>
    <r>
      <rPr>
        <sz val="12"/>
        <rFont val="Times New Roman"/>
        <family val="1"/>
      </rPr>
      <t>At the bottom of the hearing notice pages is a green-shaded cell, enter the page number.</t>
    </r>
  </si>
  <si>
    <r>
      <t>c.</t>
    </r>
    <r>
      <rPr>
        <sz val="7"/>
        <rFont val="Times New Roman"/>
        <family val="1"/>
      </rPr>
      <t xml:space="preserve">       </t>
    </r>
    <r>
      <rPr>
        <u/>
        <sz val="12"/>
        <rFont val="Times New Roman"/>
        <family val="1"/>
      </rPr>
      <t>Optional Tools</t>
    </r>
    <r>
      <rPr>
        <sz val="12"/>
        <rFont val="Times New Roman"/>
        <family val="1"/>
      </rPr>
      <t>: The following tools are not required to be used but are designed for different budget targets.</t>
    </r>
  </si>
  <si>
    <r>
      <t xml:space="preserve"> </t>
    </r>
    <r>
      <rPr>
        <sz val="12"/>
        <rFont val="Times New Roman"/>
        <family val="1"/>
      </rPr>
      <t>i.</t>
    </r>
    <r>
      <rPr>
        <sz val="7"/>
        <rFont val="Times New Roman"/>
        <family val="1"/>
      </rPr>
      <t xml:space="preserve">      </t>
    </r>
    <r>
      <rPr>
        <sz val="12"/>
        <rFont val="Times New Roman"/>
        <family val="1"/>
      </rPr>
      <t xml:space="preserve">The “Estimated Value of One Mill” tool shows what 1 mill rate would generate in dollars for the municipality, based on the estimated valuation input on the inputOth tab.  </t>
    </r>
  </si>
  <si>
    <r>
      <rPr>
        <sz val="12"/>
        <rFont val="Times New Roman"/>
        <family val="1"/>
      </rPr>
      <t>ii.</t>
    </r>
    <r>
      <rPr>
        <sz val="7"/>
        <rFont val="Times New Roman"/>
        <family val="1"/>
      </rPr>
      <t xml:space="preserve">      </t>
    </r>
    <r>
      <rPr>
        <sz val="12"/>
        <rFont val="Times New Roman"/>
        <family val="1"/>
      </rPr>
      <t xml:space="preserve">The “What the Mill Rate the Same As” and “Impact on Keeping the Same Mill Rate” tools show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tax levy fund expenditures.  </t>
    </r>
    <r>
      <rPr>
        <u/>
        <sz val="12"/>
        <rFont val="Times New Roman"/>
        <family val="1"/>
      </rPr>
      <t>Note</t>
    </r>
    <r>
      <rPr>
        <sz val="12"/>
        <rFont val="Times New Roman"/>
        <family val="1"/>
      </rPr>
      <t xml:space="preserve">: If a delinquency rate is used on the tax levy fund pages, the tool may require several adjustments to get the desired result or close to the desired amount. </t>
    </r>
  </si>
  <si>
    <r>
      <rPr>
        <sz val="12"/>
        <rFont val="Times New Roman"/>
        <family val="1"/>
      </rPr>
      <t>iii.</t>
    </r>
    <r>
      <rPr>
        <sz val="7"/>
        <rFont val="Times New Roman"/>
        <family val="1"/>
      </rPr>
      <t xml:space="preserve">      </t>
    </r>
    <r>
      <rPr>
        <sz val="12"/>
        <rFont val="Times New Roman"/>
        <family val="1"/>
      </rPr>
      <t>The “Mill Rate Estimates versus Mill Rate Target” tool allows the municipality to enter a target mill rate and compare such rate with the estimated rate, as well as the RNR.  This tool will show the amount of expenditure adjustments required to hit the rate target. If a rate hearing/resolution is required based on the estimated mill rate, a red warning “Yes” and a statement “Follow procedure prescribed by KSA 79-2988 to exceed the Revenue Neutral Rate” will appear.</t>
    </r>
  </si>
  <si>
    <r>
      <t>d.</t>
    </r>
    <r>
      <rPr>
        <sz val="7"/>
        <rFont val="Times New Roman"/>
        <family val="1"/>
      </rPr>
      <t xml:space="preserve">      </t>
    </r>
    <r>
      <rPr>
        <sz val="12"/>
        <rFont val="Times New Roman"/>
        <family val="1"/>
      </rPr>
      <t xml:space="preserve"> Before printing, review the selected hearing notice to ensure the information has accurately populated and the figures are correct. Print the page, have an official sign it, and submit to the local newspaper for printing. For those municipalities that are electronically sending the summary to the newspaper, you can type in the official name before sending.  Signing the document is desired, but not signing will not cause the municipality to reprint. </t>
    </r>
    <r>
      <rPr>
        <b/>
        <sz val="12"/>
        <rFont val="Times New Roman"/>
        <family val="1"/>
      </rPr>
      <t>WARNING</t>
    </r>
    <r>
      <rPr>
        <sz val="12"/>
        <rFont val="Times New Roman"/>
        <family val="1"/>
      </rPr>
      <t>: The newspaper publication must occur at least 10 days prior to the hearing date.  If the newspaper publication is not at least 10 days prior to the hearing, the municipality may need to republish.</t>
    </r>
  </si>
  <si>
    <t xml:space="preserve">Once the hearing notice has been printed in the local newspaper, please review the notice to ensure the information was correctly printed and readable.  If the information is not correct, the notice may need to be republished, and may delay the submission of the budget to the County Clerk and the timeline prescribed by KSA 79-2988 to exceed the RNR. </t>
  </si>
  <si>
    <r>
      <t>12.</t>
    </r>
    <r>
      <rPr>
        <sz val="12"/>
        <rFont val="Times New Roman"/>
        <family val="1"/>
      </rPr>
      <t xml:space="preserve"> </t>
    </r>
    <r>
      <rPr>
        <u/>
        <sz val="12"/>
        <rFont val="Times New Roman"/>
        <family val="1"/>
      </rPr>
      <t>Neighborhood Revitalization (NR Rebate)</t>
    </r>
    <r>
      <rPr>
        <sz val="12"/>
        <rFont val="Times New Roman"/>
        <family val="1"/>
      </rPr>
      <t xml:space="preserve">: This document should be completed only after all tax levy fund pages have been completed and the estimated levy rates have been computed on the Budget Summary page.  The ad valorem amounts for each fund will be input into the neighborhood revitalization tool.  The tool will compute the estimated amount of rebate and populate the estimated rebate to each tax levy fund page. This will cause each tax levy fund to have an entry in the neighborhood revitalization expenditure cell, increase the total expenditures amount, recompute the ad valorem needed, and populate the new amount to the hearing notice page.  </t>
    </r>
  </si>
  <si>
    <r>
      <t>Note</t>
    </r>
    <r>
      <rPr>
        <sz val="12"/>
        <rFont val="Times New Roman"/>
        <family val="1"/>
      </rPr>
      <t>: If you had already set the ad valorem taxes so that they were equal to or below the Revenue Neutral Rate (RNR), the neighborhood revitalization rebate could cause the ad valorem tax amount to exceed RNR. If this occurs, you have three options:1) accept the rebate expenditures and pass the RNR resolution; 2) accept the rebate expenditures and reduce other expenditures to reduce ad valorem tax dollars below the RNR threshold; or 3) do not use the rebate expenditures by deleting the ad valorem taxes that were keyed into the Neighborhood Revitalization tool.</t>
    </r>
  </si>
  <si>
    <r>
      <t>a.</t>
    </r>
    <r>
      <rPr>
        <sz val="7"/>
        <rFont val="Times New Roman"/>
        <family val="1"/>
      </rPr>
      <t xml:space="preserve">       </t>
    </r>
    <r>
      <rPr>
        <sz val="12"/>
        <rFont val="Times New Roman"/>
        <family val="1"/>
      </rPr>
      <t xml:space="preserve">You are </t>
    </r>
    <r>
      <rPr>
        <i/>
        <sz val="12"/>
        <rFont val="Times New Roman"/>
        <family val="1"/>
      </rPr>
      <t>not</t>
    </r>
    <r>
      <rPr>
        <sz val="12"/>
        <rFont val="Times New Roman"/>
        <family val="1"/>
      </rPr>
      <t xml:space="preserve"> required to use the Neighborhood Revitalization tool. The tool can be used to estimate the amount of the rebate so that you will have an idea of the amount of ad valorem taxes you will not be receiving. If the municipality chooses not to use the tool, another method of estimating the Neighborhood Revitalization rebate impact should be substituted.</t>
    </r>
  </si>
  <si>
    <r>
      <t>b.</t>
    </r>
    <r>
      <rPr>
        <sz val="7"/>
        <rFont val="Times New Roman"/>
        <family val="1"/>
      </rPr>
      <t xml:space="preserve">      </t>
    </r>
    <r>
      <rPr>
        <sz val="12"/>
        <rFont val="Times New Roman"/>
        <family val="1"/>
      </rPr>
      <t xml:space="preserve"> If you do not have Neighborhood Revitalization, you do not need to include this page with the adopted budget submitted to the County Clerk. </t>
    </r>
  </si>
  <si>
    <r>
      <t>13.</t>
    </r>
    <r>
      <rPr>
        <sz val="12"/>
        <rFont val="Times New Roman"/>
        <family val="1"/>
      </rPr>
      <t xml:space="preserve">  Before submission of the budget to the County Clerk, please review the entire document and verify that all amounts are correct.  In addition, the Certificate page needs to be signed by at least one member of the governing body (signatures from the entire governing body are preferred, but not mandatory). </t>
    </r>
  </si>
  <si>
    <r>
      <t>14.</t>
    </r>
    <r>
      <rPr>
        <sz val="12"/>
        <rFont val="Times New Roman"/>
        <family val="1"/>
      </rPr>
      <t xml:space="preserve">  How to Protect and Unprotect a Worksheet: To Unprotect a worksheet, right-click on the tab and select Unprotect Sheet. </t>
    </r>
    <r>
      <rPr>
        <b/>
        <sz val="12"/>
        <color rgb="FFFF0000"/>
        <rFont val="Times New Roman"/>
        <family val="1"/>
      </rPr>
      <t xml:space="preserve">After changes are made you must protect the worksheet. </t>
    </r>
    <r>
      <rPr>
        <sz val="12"/>
        <color rgb="FFFF0000"/>
        <rFont val="Times New Roman"/>
        <family val="1"/>
      </rPr>
      <t xml:space="preserve"> </t>
    </r>
    <r>
      <rPr>
        <sz val="12"/>
        <rFont val="Times New Roman"/>
        <family val="1"/>
      </rPr>
      <t xml:space="preserve">Right click on the tab, select Protect Sheet and hit OK. You do not need to enter a password. Select OK. </t>
    </r>
  </si>
  <si>
    <t>***If leasing/renting with no intent to purchase, do not list--such transactions are not lease-purchases.</t>
  </si>
  <si>
    <t>Type of Debt</t>
  </si>
  <si>
    <t>Date of Issue</t>
  </si>
  <si>
    <t>Date of Retirement</t>
  </si>
  <si>
    <t>Interest Rate %</t>
  </si>
  <si>
    <t>Expenditure Fund Transferred From:</t>
  </si>
  <si>
    <t>Receipt Fund Transferred To:</t>
  </si>
  <si>
    <t>Transfers Authorized by Statute</t>
  </si>
  <si>
    <t>Amount Issue</t>
  </si>
  <si>
    <t>Budget Authority for Expenditures</t>
  </si>
  <si>
    <t>Final Tax Rate (County Clerk's Use Only)</t>
  </si>
  <si>
    <t>Budget Hearing Notice</t>
  </si>
  <si>
    <t xml:space="preserve">Budget Hearing Notice 2 </t>
  </si>
  <si>
    <t>Combined Rate and Budget Hearing</t>
  </si>
  <si>
    <t>Combined Rate and Budget Hearing 2</t>
  </si>
  <si>
    <t>RNR Hearing Notice</t>
  </si>
  <si>
    <t xml:space="preserve">Revenue Neutral Rate </t>
  </si>
  <si>
    <t>__________________________  __________________________</t>
  </si>
  <si>
    <t>_______________________________  _______________________________</t>
  </si>
  <si>
    <t>Attest: _____________________,</t>
  </si>
  <si>
    <t xml:space="preserve">Is rate hearing/resolution required to exceed Revenue Neutral Rate? </t>
  </si>
  <si>
    <t>**Revenue Neutral Rate as defined by KSA 79-2988</t>
  </si>
  <si>
    <t>Actual Tax Rate*</t>
  </si>
  <si>
    <t xml:space="preserve"> Expenditures</t>
  </si>
  <si>
    <t>Proposed Estimated Tax Rate*</t>
  </si>
  <si>
    <t>Proposed Estimted Tax Rate*</t>
  </si>
  <si>
    <t>Revenue Neutral Rate**</t>
  </si>
  <si>
    <t>NOTICE OF HEARING TO EXCEED REVENUE NEUTRAL RATE AND BUDGET HEARING</t>
  </si>
  <si>
    <t>answering objections of taxpayers relating to the proposed use of all funds and the amount of ad valorem tax and Revenue Neutral Rate.</t>
  </si>
  <si>
    <t>Estimated Mill Rate &amp;
 Revenue Neutral Rate Comparison</t>
  </si>
  <si>
    <t>Revenue Neutral Rate (KSA 79-2988)</t>
  </si>
  <si>
    <t>Is a rate hearing/resolution required:</t>
  </si>
  <si>
    <t>** Note: The Total Detail Expenditures amounts should agree to Road Subtotal amounts.</t>
  </si>
  <si>
    <t>Total Detail Expenditures**</t>
  </si>
  <si>
    <t>Total - Page6e</t>
  </si>
  <si>
    <t>Roll Call Vote</t>
  </si>
  <si>
    <r>
      <t>A Roll Call Vote of the ___</t>
    </r>
    <r>
      <rPr>
        <u/>
        <sz val="12"/>
        <rFont val="Calibri"/>
        <family val="2"/>
        <scheme val="minor"/>
      </rPr>
      <t>(Governing Body Name)</t>
    </r>
    <r>
      <rPr>
        <sz val="12"/>
        <rFont val="Calibri"/>
        <family val="2"/>
        <scheme val="minor"/>
      </rPr>
      <t>___ To Levy a Property Tax Exceeding the Revenue Neutral Rate</t>
    </r>
  </si>
  <si>
    <r>
      <t>Hearing to Exceed Revenue Neutral Rate held on __</t>
    </r>
    <r>
      <rPr>
        <u/>
        <sz val="12"/>
        <rFont val="Calibri"/>
        <family val="2"/>
        <scheme val="minor"/>
      </rPr>
      <t>(Date)</t>
    </r>
    <r>
      <rPr>
        <sz val="12"/>
        <rFont val="Calibri"/>
        <family val="2"/>
        <scheme val="minor"/>
      </rPr>
      <t>__</t>
    </r>
  </si>
  <si>
    <t>Resolution No. _______________</t>
  </si>
  <si>
    <t>Governing Body Member</t>
  </si>
  <si>
    <t>Yes</t>
  </si>
  <si>
    <t>No</t>
  </si>
  <si>
    <t>No Vote</t>
  </si>
  <si>
    <t xml:space="preserve">Certified: </t>
  </si>
  <si>
    <t xml:space="preserve">In short, you are looking at a potential budget law violation. However, the good news is that you </t>
  </si>
  <si>
    <t>may have options available that will allow you to avoid a budget law violation.</t>
  </si>
  <si>
    <r>
      <t xml:space="preserve">If the municipality financial records have </t>
    </r>
    <r>
      <rPr>
        <b/>
        <u/>
        <sz val="12"/>
        <rFont val="Times New Roman"/>
        <family val="1"/>
      </rPr>
      <t>not been</t>
    </r>
    <r>
      <rPr>
        <sz val="12"/>
        <rFont val="Times New Roman"/>
        <family val="1"/>
      </rPr>
      <t xml:space="preserve"> closed (i.e. an audit has not been completed,</t>
    </r>
  </si>
  <si>
    <t>can be fixed before submission of the budget to the county clerk.</t>
  </si>
  <si>
    <t xml:space="preserve">First, review the input page information (inputPrYr tab) to ensure that the correct amount was </t>
  </si>
  <si>
    <t>higher budget amount?</t>
  </si>
  <si>
    <t>are you showing any transfers from this fund to another?  If so, consider whether you can reduce</t>
  </si>
  <si>
    <t>or eliminate one or more transfers.</t>
  </si>
  <si>
    <t>showing the reimbursement as a receipt, show the reimbursement as a negative expenditure.</t>
  </si>
  <si>
    <t>Another option is to consider whether your fund shares expenditures with another fund.  For</t>
  </si>
  <si>
    <t xml:space="preserve"> example, your electric and water funds may split salaries between the two funds.  If one of those </t>
  </si>
  <si>
    <t>funds is in trouble, you might be able to allocate a little more in salaries to the healthy fund in order</t>
  </si>
  <si>
    <t>to eliminate the violation (but be sure that the healthy fund has sufficient budget authority and cash</t>
  </si>
  <si>
    <t xml:space="preserve">The shifting of expenditures between funds, as described in the preceding paragraph, can be </t>
  </si>
  <si>
    <t>accomplished between any funds that share expenses.</t>
  </si>
  <si>
    <t>Finally, if your general fund is healthy - it has enough budget authority and cash - then it might be</t>
  </si>
  <si>
    <t>used to cover the excess expenditures. (AGO No. 85-181)</t>
  </si>
  <si>
    <t>Amending the budget is a timing issue.  In order to amend the budget, you must have the complete</t>
  </si>
  <si>
    <t>amending process completed before the end of the calandar year.  If you start at the beginning of</t>
  </si>
  <si>
    <t>December, then you should have enough time to amend the budget.  But, if started during the middle</t>
  </si>
  <si>
    <t>of December, then you might not have enough time to complete the amending process.  Remember</t>
  </si>
  <si>
    <t xml:space="preserve">the complete processing must be completed on or before the end of December and you must have </t>
  </si>
  <si>
    <t xml:space="preserve">at least 10 days between when published in local newspaper and when the budget hearing is held. </t>
  </si>
  <si>
    <t>So, if your local newspaper only publishes once a week or bi-weekly, then there might not be time</t>
  </si>
  <si>
    <t>enough to have the 10 day requirement between publication and the hearing.</t>
  </si>
  <si>
    <t xml:space="preserve">Amending the budget can be done at any time during the budgeted year.  But, amending the budget </t>
  </si>
  <si>
    <t>should take place before the expenditures exceed the budget authority.</t>
  </si>
  <si>
    <t xml:space="preserve"> </t>
  </si>
  <si>
    <t>No punitive action will be taken as a result of the violation, but you should determine what caused</t>
  </si>
  <si>
    <t>the violation and take steps to avoid future violations of this nature.</t>
  </si>
  <si>
    <t>finished the year with a negative unencumbered cash balance in this fund.</t>
  </si>
  <si>
    <t>However, the good news is that you may have one or more options available that will allow you to</t>
  </si>
  <si>
    <t>Hopefully not. The first thing that you might do is to review K.S.A. 10-1116 to see if your fund</t>
  </si>
  <si>
    <t xml:space="preserve">might be one of those for which a negative cash balance is permitted. </t>
  </si>
  <si>
    <t xml:space="preserve">If the fund falls into one of the categories, then a cash basis law violation has not occurred. Please </t>
  </si>
  <si>
    <t>annotate to the left of the 'See Tab B' as follows:  "10-1116 applies."</t>
  </si>
  <si>
    <r>
      <t xml:space="preserve">What if K.S.A. 10-1116 </t>
    </r>
    <r>
      <rPr>
        <b/>
        <i/>
        <sz val="12"/>
        <rFont val="Times New Roman"/>
        <family val="1"/>
      </rPr>
      <t>does not</t>
    </r>
    <r>
      <rPr>
        <b/>
        <sz val="12"/>
        <rFont val="Times New Roman"/>
        <family val="1"/>
      </rPr>
      <t xml:space="preserve"> apply?</t>
    </r>
  </si>
  <si>
    <t xml:space="preserve">If the fund does not fall into one of the categories, then let's explore your options (below) to see if </t>
  </si>
  <si>
    <t>we can help you avoid a cash basis law violation.</t>
  </si>
  <si>
    <t xml:space="preserve">need to be increased (transfer from another fund) or your expenditures will need to be decreased </t>
  </si>
  <si>
    <t>(shifting of expenditures to another fund), or a combination of the two.</t>
  </si>
  <si>
    <t>Increasing your receipts through one or more transfers is contingent upon the available cash, budget</t>
  </si>
  <si>
    <t>authority, and statutory authority for the transfer from the fund or funds from which one or more</t>
  </si>
  <si>
    <t>transfers might be made.</t>
  </si>
  <si>
    <t xml:space="preserve">Another option for you to consider is the shifting of expenditures from this fund to another fund. </t>
  </si>
  <si>
    <t xml:space="preserve">Again, the fund to which expenditures are shifted must have available cash and budget authority in </t>
  </si>
  <si>
    <t xml:space="preserve">order to absorb the additional expenditures.  </t>
  </si>
  <si>
    <t>What if K.S.A. 10-1116 does not apply and no options are available to me?</t>
  </si>
  <si>
    <t xml:space="preserve">Unfortunately, under this scenario you are pretty much stuck with a cash basis law violation.  </t>
  </si>
  <si>
    <t>However, you can accept the violation as a learning tool to help you prevent violations in the future.</t>
  </si>
  <si>
    <t>Regular reviews of current year budget performance, especially from the end of the third quarter on,</t>
  </si>
  <si>
    <t xml:space="preserve">might allow you to determine in a timely fashion whether an increase in revenue or a decrease in </t>
  </si>
  <si>
    <t>expenditures is going to be needed before the end of the fiscal year in order to ensure that a fund</t>
  </si>
  <si>
    <t>finishes the year in good shape.</t>
  </si>
  <si>
    <t xml:space="preserve">In addition to the options discussed above, during the later part of the year if a utility fund or the </t>
  </si>
  <si>
    <t>general fund has the cash, but not the budget authority, amending the budget might be done in order</t>
  </si>
  <si>
    <t>to increase budget authority so that a transfer can then be made to the struggling fund or, in the case</t>
  </si>
  <si>
    <t xml:space="preserve">of the general fund, there can be a shifting of expenditures from the struggling fund to the general </t>
  </si>
  <si>
    <t xml:space="preserve">If, in the future, you choose to amend the budget as described in the paragraph above, please </t>
  </si>
  <si>
    <t>remember that the amendment must occur before the end of the fiscal year.</t>
  </si>
  <si>
    <t>In short, you are looking at a potential budget law violation if you truly end up the year as your</t>
  </si>
  <si>
    <t>current estimates reflect.  The good news is that you have an early indication of possible issues which</t>
  </si>
  <si>
    <t>can be addressed sooner rather than later.</t>
  </si>
  <si>
    <t xml:space="preserve">Should the potential for a violation be corrected at this time? </t>
  </si>
  <si>
    <t xml:space="preserve">be necessary to ensure that your expenditures do not, at year-end, exceed your budget authority for </t>
  </si>
  <si>
    <t>this fund.</t>
  </si>
  <si>
    <t xml:space="preserve">Well, the easiest thing to do at this time is to increase any underestimated revenue numbers, or </t>
  </si>
  <si>
    <t>decrease any overestimated expenditure numbers, or a combination of the two.</t>
  </si>
  <si>
    <t>What if I check my estimates and find that we're still on pace for a budget law violation?</t>
  </si>
  <si>
    <t xml:space="preserve">are you showing any transfers from this fund to another?  If so, consider whether you can reduce or </t>
  </si>
  <si>
    <t>eliminate one or more transfers.</t>
  </si>
  <si>
    <t>the reimbursement as a receipt, show the reimbursement as a negative expenditure.</t>
  </si>
  <si>
    <t>Another option is to consider whether your fund shares expenditures with another fund.  For example,</t>
  </si>
  <si>
    <t>your electric and water funds may split salaries between the two funds.  If one of those funds is in</t>
  </si>
  <si>
    <t xml:space="preserve">trouble you might be able to allocate a little more in salaries to the healthy fund in order to eliminate </t>
  </si>
  <si>
    <t xml:space="preserve">the potential violation (be sure, though, that the healthy fund has sufficient budget authority and cash </t>
  </si>
  <si>
    <t xml:space="preserve">A sometimes overlooked option is to use your general fund to cover the excess expenditures, </t>
  </si>
  <si>
    <t>assuming that general fund is not the one that's in trouble and that it has the budget authority and cash</t>
  </si>
  <si>
    <t>to absorb additional expenditures.</t>
  </si>
  <si>
    <t>Finally, If none of the above options can be applied and the fund has an unencumbered cash balance</t>
  </si>
  <si>
    <t>which will cover the estimated overage, the budget can be amended before the end of the fiscal year.</t>
  </si>
  <si>
    <t>Remember, the amendment process must occur before the end of the fiscal year.</t>
  </si>
  <si>
    <t>If the fund does not have enough ending cash so that an amendment will cover the expected overage,</t>
  </si>
  <si>
    <t>but another fund does have enough unemcumbered cash (along with budget authority and statutory</t>
  </si>
  <si>
    <t xml:space="preserve">authority to transfer to the fund with the potential budget law violation), go ahead and make the </t>
  </si>
  <si>
    <t>transfer and then amend the budget.</t>
  </si>
  <si>
    <t>that at the end of this year you will have a negative unencumbered cash balance in this fund.</t>
  </si>
  <si>
    <t>Yes. You don't want to end this year with a negative cash balance in the fund.  At a minimum</t>
  </si>
  <si>
    <t>Note: it is possible that this is one of those funds which may, under K.S.A. 10-1116, end the year</t>
  </si>
  <si>
    <t>with a negative cash balance, but otherwise you will want to make sure that it does not.</t>
  </si>
  <si>
    <t>The easiest thing to do at this time is to increase any underestimated revenue numbers, or decrease</t>
  </si>
  <si>
    <t>any overestimated expenditure numbers, or a combination of the two.</t>
  </si>
  <si>
    <t>Either your fund receipts will need to be increased before the end of the year (transfer from another</t>
  </si>
  <si>
    <t xml:space="preserve">fund) or your expenditures will need to be decreased before the end of the year (shifting of </t>
  </si>
  <si>
    <t>expenditures to another fund), or a combination of the two.</t>
  </si>
  <si>
    <r>
      <t xml:space="preserve">showing the reimbursement as a receipt, show the reimbursement as a negative </t>
    </r>
    <r>
      <rPr>
        <i/>
        <sz val="12"/>
        <rFont val="Times New Roman"/>
        <family val="1"/>
      </rPr>
      <t>expenditure.</t>
    </r>
  </si>
  <si>
    <t xml:space="preserve">Another option for you to consider is the shifting of expenditures from this fund to another fund.  </t>
  </si>
  <si>
    <t>Again, the fund to which expenditures are shifted must have available cash and budget authority</t>
  </si>
  <si>
    <t xml:space="preserve"> in order to absorb the additional expenditures.  </t>
  </si>
  <si>
    <t xml:space="preserve">On the revenue side of the fund you might increase your receipts through one or more transfers, </t>
  </si>
  <si>
    <t xml:space="preserve">contingent upon available cash, budget authority, and statutory authority for the transfer from the </t>
  </si>
  <si>
    <t>fund or funds from which one or more transfers might be made.</t>
  </si>
  <si>
    <t>assuming that the general fund is not the one that's in trouble and that it has the budget authority and</t>
  </si>
  <si>
    <t>cash to absorb additional expenditures.</t>
  </si>
  <si>
    <t>Proposed Budget Year - Possible Budget Law Violation No Levy Funds</t>
  </si>
  <si>
    <t>In short, you are looking at a budget law violation if you adopt a budget in which there exists a fund</t>
  </si>
  <si>
    <t>with a negative ending cash balance.</t>
  </si>
  <si>
    <t xml:space="preserve">Yes. Budget law mandates that fund expenditures shall balance with anticipated revenue. A fund </t>
  </si>
  <si>
    <t>ending cash balance should end either in $0 or a positive cash balance.</t>
  </si>
  <si>
    <t xml:space="preserve">The negative cash balance can be remedied by increasing the anticipated receipts or by reducing </t>
  </si>
  <si>
    <t>the proposed expenditures, or a combination of the two.</t>
  </si>
  <si>
    <t xml:space="preserve">If the municipality governing body chooses to adopt a budget whereby the no levy fund has a </t>
  </si>
  <si>
    <t xml:space="preserve">positive ending balance, that's okay.  But, we recommend that the fund be budgeted to end with a </t>
  </si>
  <si>
    <t>$0 balance.</t>
  </si>
  <si>
    <t xml:space="preserve">Why?  Remember that no levy funds do not result in a levy of property tax dollars. So, there is no </t>
  </si>
  <si>
    <t>impimpact to the property taxpayer from a budget which utilizes all anticipated revenue in the</t>
  </si>
  <si>
    <t>upcoming year.</t>
  </si>
  <si>
    <t xml:space="preserve">The advantage of budgeting the no levy fund to end the budget year with a $0 balance is that it </t>
  </si>
  <si>
    <t>provides the municipality with maximum spending authority. In the event the municipality is faced with</t>
  </si>
  <si>
    <t>with unanticipated spending during the budget year it will not need to amend its budget to do so.</t>
  </si>
  <si>
    <r>
      <t xml:space="preserve">Note: by budgeting to $0, the municipality does not have to </t>
    </r>
    <r>
      <rPr>
        <i/>
        <sz val="12"/>
        <rFont val="Times New Roman"/>
        <family val="1"/>
      </rPr>
      <t>spend</t>
    </r>
    <r>
      <rPr>
        <sz val="12"/>
        <rFont val="Times New Roman"/>
        <family val="1"/>
      </rPr>
      <t xml:space="preserve"> down to $0, but the authority to </t>
    </r>
  </si>
  <si>
    <t>do so without a budget amendment is there in the event that a need to do so should arise.</t>
  </si>
  <si>
    <r>
      <t xml:space="preserve">• </t>
    </r>
    <r>
      <rPr>
        <sz val="12"/>
        <color rgb="FF000000"/>
        <rFont val="Calibri"/>
        <family val="2"/>
      </rPr>
      <t>RNR – Rate calculated to compare prior year ad valorem tax to current year estimates</t>
    </r>
  </si>
  <si>
    <r>
      <t xml:space="preserve">• </t>
    </r>
    <r>
      <rPr>
        <sz val="12"/>
        <color rgb="FF000000"/>
        <rFont val="Calibri"/>
        <family val="2"/>
      </rPr>
      <t xml:space="preserve">RNR = (Prior year ad valorem revenue/current year valuation estimate)  X 1,000 </t>
    </r>
  </si>
  <si>
    <t>Note: Revenue used is the final billed tax revenue</t>
  </si>
  <si>
    <t xml:space="preserve">Example: </t>
  </si>
  <si>
    <r>
      <t>RNR = (</t>
    </r>
    <r>
      <rPr>
        <b/>
        <sz val="12"/>
        <color rgb="FFFF0000"/>
        <rFont val="Calibri"/>
        <family val="2"/>
      </rPr>
      <t>A</t>
    </r>
    <r>
      <rPr>
        <sz val="12"/>
        <rFont val="Calibri"/>
        <family val="2"/>
      </rPr>
      <t xml:space="preserve"> $80,773/</t>
    </r>
    <r>
      <rPr>
        <b/>
        <sz val="12"/>
        <color rgb="FFFF0000"/>
        <rFont val="Calibri"/>
        <family val="2"/>
      </rPr>
      <t>B</t>
    </r>
    <r>
      <rPr>
        <sz val="12"/>
        <rFont val="Calibri"/>
        <family val="2"/>
      </rPr>
      <t xml:space="preserve"> 1,323,770) X 1,000  =  </t>
    </r>
    <r>
      <rPr>
        <b/>
        <sz val="12"/>
        <color rgb="FFFF0000"/>
        <rFont val="Calibri"/>
        <family val="2"/>
      </rPr>
      <t>C</t>
    </r>
    <r>
      <rPr>
        <sz val="12"/>
        <rFont val="Calibri"/>
        <family val="2"/>
      </rPr>
      <t xml:space="preserve"> 61.017</t>
    </r>
  </si>
  <si>
    <r>
      <t xml:space="preserve">Prior year mill levy rate was </t>
    </r>
    <r>
      <rPr>
        <b/>
        <sz val="12"/>
        <color rgb="FFFF0000"/>
        <rFont val="Calibri"/>
        <family val="2"/>
      </rPr>
      <t>D</t>
    </r>
    <r>
      <rPr>
        <sz val="12"/>
        <rFont val="Calibri"/>
        <family val="2"/>
      </rPr>
      <t xml:space="preserve"> 66.44</t>
    </r>
  </si>
  <si>
    <t>Prior Year Ad Valorem Revenue</t>
  </si>
  <si>
    <r>
      <rPr>
        <b/>
        <sz val="12"/>
        <color rgb="FFFF0000"/>
        <rFont val="Calibri"/>
        <family val="2"/>
      </rPr>
      <t>A</t>
    </r>
    <r>
      <rPr>
        <sz val="12"/>
        <rFont val="Calibri"/>
        <family val="2"/>
      </rPr>
      <t xml:space="preserve"> The prior year ad valorem revenue comes from the 2023 budget certificate page.  </t>
    </r>
  </si>
  <si>
    <t xml:space="preserve">It is the total for the Amount of 2022 Ad Valorem Tax column. </t>
  </si>
  <si>
    <t xml:space="preserve">The 2022 Ad Valorem Tax by fund is keyed in the 2022 Ad Valorem Tax column in the 2024 budget </t>
  </si>
  <si>
    <t>workbook inputPrYr tab.</t>
  </si>
  <si>
    <t>Current Year Valuation Estimate</t>
  </si>
  <si>
    <r>
      <rPr>
        <b/>
        <sz val="12"/>
        <color rgb="FFFF0000"/>
        <rFont val="Calibri"/>
        <family val="2"/>
      </rPr>
      <t>B</t>
    </r>
    <r>
      <rPr>
        <sz val="12"/>
        <rFont val="Calibri"/>
        <family val="2"/>
      </rPr>
      <t xml:space="preserve"> The current year valuation estimate comes from the County Clerk's Budget Information for </t>
    </r>
  </si>
  <si>
    <t xml:space="preserve">the the 2024 Budget received from the county clerk in June. </t>
  </si>
  <si>
    <t xml:space="preserve">The information from the County Clerk's Budget Information for the 2024 Budget is keyed in the </t>
  </si>
  <si>
    <t>2024 budget workbook inputOth tab.</t>
  </si>
  <si>
    <r>
      <t xml:space="preserve">C </t>
    </r>
    <r>
      <rPr>
        <sz val="12"/>
        <color theme="1"/>
        <rFont val="Calibri"/>
        <family val="2"/>
      </rPr>
      <t>The revenue neutral rate is calculated by the county clerk and provided to each taxing subdivision in the county by June 15th.</t>
    </r>
  </si>
  <si>
    <t>Prior Year RNR/Mill Levy Rate</t>
  </si>
  <si>
    <r>
      <t xml:space="preserve">D </t>
    </r>
    <r>
      <rPr>
        <sz val="12"/>
        <color theme="1"/>
        <rFont val="Calibri"/>
        <family val="2"/>
      </rPr>
      <t xml:space="preserve">The sum of the actual tax rates </t>
    </r>
  </si>
  <si>
    <t>The following changes were made to this workbook during April 2023</t>
  </si>
  <si>
    <t xml:space="preserve">1. Made final Nov 1, 2023 assessed valuation fillable and added final rate formula by fund on the Certificate page. </t>
  </si>
  <si>
    <t>2. Added County Clerk attest signature line on Cert 2 page.</t>
  </si>
  <si>
    <t>3. Added 'SAMPLE Roll Call to Exceed RNR' tab.</t>
  </si>
  <si>
    <t>4. Combined 'Mill Rate Computation' tab and 'Helpful Links' tab into new tab labeled 'Budget Tools.'</t>
  </si>
  <si>
    <t>5. Added explanation of how the Revenue Neutral Rate is calculated to 'Budget Tools' tab.</t>
  </si>
  <si>
    <t>6. Updated spacing and formatting to Tab A, Tab B, Tab C, Tab D and Tab E.</t>
  </si>
  <si>
    <t>The following changes were made to this workbook during February 2022</t>
  </si>
  <si>
    <t>5. Updated certificate/table of contents and page numbering for changes</t>
  </si>
  <si>
    <t>The following changes were made to this workbook during March 2020</t>
  </si>
  <si>
    <t>1. CPI Percentages were entered for the 2021 budget year</t>
  </si>
  <si>
    <t xml:space="preserve">2. Combined percentage/revenue adjustment computation for tax lid into "Comp1", added "If/then" statement at bottom of comp tab to direct users on following steps. </t>
  </si>
  <si>
    <t>3. Comp2 is now the other limit determination tests (Property Decline and Lost Valuation)</t>
  </si>
  <si>
    <t>4. Updated the Helpful Links to correct weblinks</t>
  </si>
  <si>
    <t>5. Used format painter to make all pages consistent in color and layout</t>
  </si>
  <si>
    <t>The following changes were made to this workbook during April 2019</t>
  </si>
  <si>
    <t>1.  Updated Municipal Services' contact information on the Instruction tab</t>
  </si>
  <si>
    <t xml:space="preserve">2.  Entered 2020 for the budget year and the applicable CPI percentages on the InputPrYr tab </t>
  </si>
  <si>
    <t>3.  Highlighted tab (pages) in blue if the page is to be printed and submitted as part of the budget</t>
  </si>
  <si>
    <t>4.  Added Remodeling and Rennovation to the New Improvements line on the InputOther tab</t>
  </si>
  <si>
    <t>5.  Added Remodeling and Rennovation to the New Improvements line on the Comp1 tab</t>
  </si>
  <si>
    <t>6.  Added Levy for Dissolved Taxing Entity on the Comp3 tab</t>
  </si>
  <si>
    <t>The following changes were made to this workbook during April 2018</t>
  </si>
  <si>
    <t>1.  Added CPA Summary Tab</t>
  </si>
  <si>
    <t xml:space="preserve">2.  Added CPA Summary Box to Certification Page and all Fund Pages </t>
  </si>
  <si>
    <t xml:space="preserve">3. Added CPI Percentages on Input Prior Year Tab </t>
  </si>
  <si>
    <t>4. Added Computed Tax Levy Amount on Certification Page and Edit if Election is Required</t>
  </si>
  <si>
    <t>5.  Removed Computation Tab and Inserted Comp1, Comp2, and Comp3 Tabs and Inserted Various Links</t>
  </si>
  <si>
    <t>6.  Changed Megan Schulz email address on Library Grant Tab</t>
  </si>
  <si>
    <t xml:space="preserve">7.  Removed Public Notice Options Tabs 1, 2, and 3 </t>
  </si>
  <si>
    <t xml:space="preserve">8.  Removed Resolution Tab   </t>
  </si>
  <si>
    <t>The following changes were made to this workbook on 4/7/2017</t>
  </si>
  <si>
    <t xml:space="preserve">1.  Update the Instruction tab with Rico's name and telephone number.  Updated ARMUNIS address.  </t>
  </si>
  <si>
    <t xml:space="preserve">2.  Disabled the Computation tab - Counties and Cities will need to use the HB 2088 Template for the 2018 budgets.  </t>
  </si>
  <si>
    <t>The following changes were made to this workbook on 1/27/2016</t>
  </si>
  <si>
    <t>The following changes were made to this workbook on 8/28/2015</t>
  </si>
  <si>
    <t>1.  Added edits related to adoption of a resolution</t>
  </si>
  <si>
    <t>2.  Added a sample resolution tab</t>
  </si>
  <si>
    <t>3.  Added a third notice of vote option</t>
  </si>
  <si>
    <t>4.  Added to each fund a "cash forward" expenditure line item</t>
  </si>
  <si>
    <t>5.  Added a total tax levy comparison tool adjacent to each tax levy fund</t>
  </si>
  <si>
    <t>6.  On tax levy funds NR estimate shown as a negative receipt</t>
  </si>
  <si>
    <t>The following changes were made to this workbook on 1/21/15</t>
  </si>
  <si>
    <t>2.  Corrected formula in cell d24 of library grant tab.</t>
  </si>
  <si>
    <t>The following changes were made to this workbook on 9/22/14</t>
  </si>
  <si>
    <t>The following changes were made to this workbook on 9/16/14</t>
  </si>
  <si>
    <t>1.  Corrected the print margins of the general fund tab.</t>
  </si>
  <si>
    <t>The following changes were made to this workbook on 8/4/14</t>
  </si>
  <si>
    <t>1.  Update of State Library contact name on library grant tab.</t>
  </si>
  <si>
    <t>The following changes were made to this workbook on 7/9/14</t>
  </si>
  <si>
    <t>1.  Correction to formula in cell j44 of the computation tab worksheet.</t>
  </si>
  <si>
    <t>The following changes were made to this workbook on 5/7/14</t>
  </si>
  <si>
    <t>The following changes were made to this workbook on 4/2/14</t>
  </si>
  <si>
    <t>The following changes were made to this workbook on 1/13/14</t>
  </si>
  <si>
    <t>1.  Corrected formulas for column totals on general fund detail page.</t>
  </si>
  <si>
    <t>The following changes were made to this workbook on 3/21/13</t>
  </si>
  <si>
    <t>1.  Instruction tab narrative modification</t>
  </si>
  <si>
    <t>The following changes were made to this workbook on 1/31/13</t>
  </si>
  <si>
    <t>1.  Corrected formula in cell e28 of Library Grant tab</t>
  </si>
  <si>
    <t>The following changes were made to this workbook on 10/8/12</t>
  </si>
  <si>
    <t>1.  Added "ordinance required?  yes/no" message to area adjacent to each tax levy fund</t>
  </si>
  <si>
    <t>The following changes were made to this workbook on 4/10/12</t>
  </si>
  <si>
    <t>1. Corrected addition computation in column D, inputPrYr tab</t>
  </si>
  <si>
    <t>The following changes were made to this workbook on 3/22/12</t>
  </si>
  <si>
    <t>1. Concantenate at line 9 of the Certificate page changed to reference cell F1</t>
  </si>
  <si>
    <t>2. Corrected misspelling of word "limitations" on line 9 of the Certificate page.</t>
  </si>
  <si>
    <t>The following changes were made to this workbook on 2/22/12</t>
  </si>
  <si>
    <t>1. Library Grant tab, updated State Library e-mail contact address</t>
  </si>
  <si>
    <t>The following changes were made to this workbook on 8/16/11</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</si>
  <si>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</si>
  <si>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</si>
  <si>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</si>
  <si>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</si>
  <si>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</si>
  <si>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</si>
  <si>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</si>
  <si>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</si>
  <si>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</si>
  <si>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</si>
  <si>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</si>
  <si>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</si>
  <si>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</si>
  <si>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</si>
  <si>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</si>
  <si>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</si>
  <si>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</si>
  <si>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</si>
  <si>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</si>
  <si>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</si>
  <si>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</si>
  <si>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</si>
  <si>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</si>
  <si>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</si>
  <si>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</si>
  <si>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</si>
  <si>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</si>
  <si>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</si>
  <si>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</si>
  <si>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</si>
  <si>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</si>
  <si>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</si>
  <si>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</si>
  <si>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</si>
  <si>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35. General tab, link page number with detail page number to show 7 without a library fund or 8 with a library fund</t>
  </si>
  <si>
    <t>The following changes were made to this workbook on 6/30/11</t>
  </si>
  <si>
    <t>1. Certificate page: supplied link to input prior year tab to pull statutory reference for tax levy fund (cell B23 on certificate page)</t>
  </si>
  <si>
    <t>The following changes were made to this workbook on 6/17/11</t>
  </si>
  <si>
    <t>1. Debt Service fund page: total receipts formula changed to eliminate reference to unencumbered cash (cell C6)</t>
  </si>
  <si>
    <t>2. Summary page: corrected cell reference in current year expenditures, cell D26</t>
  </si>
  <si>
    <t>The following changes were made to this workbook on 5/26/11</t>
  </si>
  <si>
    <t>1. Tabs level page 9 and 10 cell D32 formatting change reference C34 to D34 and cell D69 reference from C71 to D71</t>
  </si>
  <si>
    <t>The following changes were made to this workbook on 5/6/11</t>
  </si>
  <si>
    <t>1. Summary tab correct cells J28, J29, M28, and M29 as wrong cell reference and formula error</t>
  </si>
  <si>
    <t>The following changes were made to this workbook on 4/19/11</t>
  </si>
  <si>
    <t>1. Summ tab changed proposed year expenditure column to 'Budget Authority for Expenditures'</t>
  </si>
  <si>
    <t>2. Mvalloc/slider column cell corrections.</t>
  </si>
  <si>
    <t>The following changes were made to this workbook on 3/16/11</t>
  </si>
  <si>
    <t>1. DebtService tab corrected cell E20 total computation</t>
  </si>
  <si>
    <t>2. Mvalloc tab corrected table link with InputPrYr ad valorem taxes</t>
  </si>
  <si>
    <t>3. Debt Service tab corrected cell G34 from E21 to E20</t>
  </si>
  <si>
    <t>The following changes were made to this workbook on 8/20/10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</si>
  <si>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</si>
  <si>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</si>
  <si>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</si>
  <si>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</si>
  <si>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</si>
  <si>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</si>
  <si>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</si>
  <si>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</si>
  <si>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</si>
  <si>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</si>
  <si>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</si>
  <si>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</si>
  <si>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</si>
  <si>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</si>
  <si>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</si>
  <si>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</si>
  <si>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</si>
  <si>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</si>
  <si>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</si>
  <si>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</si>
  <si>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</si>
  <si>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</si>
  <si>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</si>
  <si>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</si>
  <si>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</si>
  <si>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</si>
  <si>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</si>
  <si>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</si>
  <si>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The following changes were made to this workbook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</si>
  <si>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</si>
  <si>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</si>
  <si>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</si>
  <si>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changes were made to this workbook on 12/28/09</t>
  </si>
  <si>
    <t>1. Nhood tab added note for computing table</t>
  </si>
  <si>
    <t>2. SpecHwy and No Levy Page 12 tabs changed conditional statements</t>
  </si>
  <si>
    <t>The following changes were made to this workbook on 12/08/09</t>
  </si>
  <si>
    <t>1. Instruction tab, added step 3 for 'inputBudSum'</t>
  </si>
  <si>
    <t>2. Added tab 'inputBudSum'</t>
  </si>
  <si>
    <t>3. Changed Budget Summary replacing the green areas for date/time/location so info comes from inputBudSum tab</t>
  </si>
  <si>
    <t>4. Deleted lines on Budget Summary reference in #3</t>
  </si>
  <si>
    <t>The following changes were made to this workbook on 10/2/09</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</si>
  <si>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</si>
  <si>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</si>
  <si>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</si>
  <si>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</si>
  <si>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</si>
  <si>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</si>
  <si>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</si>
  <si>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</si>
  <si>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Certificate tab moved the Assisted By: and added more lines for governing body signatures</t>
  </si>
  <si>
    <t>The following changes were made to this workbook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</si>
  <si>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</si>
  <si>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</si>
  <si>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</si>
  <si>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</si>
  <si>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t>The following changes were made to this workbook on 4/24/09</t>
  </si>
  <si>
    <t>1. Transfer tab - changed the column heading dates as had wrong reference cell</t>
  </si>
  <si>
    <t>The following were changed to this spreadsheet on 3/19/09</t>
  </si>
  <si>
    <t>1. Change Certificate page Bond &amp; Interest to Debt Service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</si>
  <si>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</si>
  <si>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</si>
  <si>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</si>
  <si>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</si>
  <si>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8/13/08</t>
  </si>
  <si>
    <t>2. Statement of Indebtedness (debt) added lines to all categories.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</si>
  <si>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</si>
  <si>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</si>
  <si>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7a. Added instruction line 4a to explain about no-fund warrants and temporary notes can be added to the debt service on the Computation to Determine Levy Limit.</t>
  </si>
  <si>
    <t>7b. Added instruction line 9d to explain more about the debt service fund page can included for debts.</t>
  </si>
  <si>
    <t>12. Added instruction lines 9j to 9l for additional edits for budget authority.</t>
  </si>
  <si>
    <t>13. Added to instruction line 9c about the miscellaneous receipt for the proposed year takes into account the ad valorem taxes for the 10% Rule.</t>
  </si>
  <si>
    <t>14. Added to instruction line 6 for using chartered ordinance number in place of statute reference.</t>
  </si>
  <si>
    <t>The following were changed to this spreadsheet on 7/01/08</t>
  </si>
  <si>
    <t>1. Added instructions to 9f for the nonbud tab explaining about negative cash balance.</t>
  </si>
  <si>
    <t>2. Changed the formula for unencumbered cash balances for nonbud to show a negative balance.</t>
  </si>
  <si>
    <t>3. Added box under unencumbered cash balance for nonbud to reflect a negative ending cash balance.</t>
  </si>
  <si>
    <t>4. Changed foot note to reflect the changes made on 7/1/08 to the above tabs.</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</si>
  <si>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</si>
  <si>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</si>
  <si>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</si>
  <si>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1.Instruction were changed: POC change from Roger to ARMUNIS, got rid about us providing disk, took the input page and split to input prior budget information and input other, with more in-depth of forms and fund page, and more in-depth on the budget summary page.</t>
  </si>
  <si>
    <t>2. All pages have a revision date.</t>
  </si>
  <si>
    <t xml:space="preserve">3. Hard coded the Bond &amp; Interest on Certificate and Summary pages. </t>
  </si>
  <si>
    <t xml:space="preserve">4.  All dates on the spreadsheet are controlled from input on the input Prior Year page. </t>
  </si>
  <si>
    <t>5. Computation to Determine Limit now has the debts amounts link within the spreadsheet.</t>
  </si>
  <si>
    <t>6. Schedule of Transfers have the transfers totaled and link to the budget summary page.</t>
  </si>
  <si>
    <t>7. Added a single page for no tax levy fund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</si>
  <si>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</si>
  <si>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</si>
  <si>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</si>
  <si>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11. Added Neighborhood Revitalization, LAVTR, City and County Revenue Sharing, and Slider to the input page and to the General Fund page.</t>
  </si>
  <si>
    <t>12. Changed the Budget Summary Heading to include Actual/Estimate/Proposed with the budget year.</t>
  </si>
  <si>
    <t>13. Changed the delinquency rate formula for all levy funds.</t>
  </si>
  <si>
    <t>14. Changed the Certificate page so the county name flows instead of having unneeded spaces.</t>
  </si>
  <si>
    <t>15. Using the actual ad valorem rates from the Clerk's information versus from the Certificate page.</t>
  </si>
  <si>
    <t>16. Delinquency rate for actual for 3 decimal and note that rate can be up to 5% over the actual rate.</t>
  </si>
  <si>
    <t>17. Computation to Determine Limit changed the note on bottom to include publish ordinance and attach the published ordinance to the budget.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</si>
  <si>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</si>
  <si>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</si>
  <si>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</si>
  <si>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</si>
  <si>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</si>
  <si>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</si>
  <si>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</si>
  <si>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</si>
  <si>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</si>
  <si>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</si>
  <si>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</si>
  <si>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</si>
  <si>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</si>
  <si>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</si>
  <si>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33. Expanded on the preparation of budget note 10 for instructions for the Notice of Budget Hearing.</t>
  </si>
  <si>
    <t>34. Added 'excluding oil, gas, and mobile homes' to lines 8 and 14 on Clerks budget info on tab inputoth.</t>
  </si>
  <si>
    <t>Attest: ___________________________,</t>
  </si>
  <si>
    <t>The following changes were made to this workbook during October 2023</t>
  </si>
  <si>
    <t>1. Removed external links to correct update issue in Tab A, Tab B, Tab C, Tab D and Tab E.</t>
  </si>
  <si>
    <t>2. Corrected reference cell for FY link formula in Tab A, Tab B, Tab C, Tab D and Tab E.</t>
  </si>
  <si>
    <t>1. Removed LAVTR from inputOth, Library Grant and General fund tabs.</t>
  </si>
  <si>
    <t>2. Removed City and County Revenue Sharing from inputOth and General fund tabs.</t>
  </si>
  <si>
    <t>3. Renamed Cash Forward/Cash-Basis Reserve to Cash Reserve on all fund pages.</t>
  </si>
  <si>
    <t>Does budget require a resolution to exceed the Revenue Neutral Rate?</t>
  </si>
  <si>
    <t>The following changes were made to this workbook during April-May 2024</t>
  </si>
  <si>
    <t>4. Added RNR Resolution YES/NO formula to certificate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</si>
</sst>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_(* \(#,##0.00\);_(* &quot;-&quot;??_);_(@_)"/>
    <numFmt numFmtId="164" formatCode="0.000_)"/>
    <numFmt numFmtId="165" formatCode="0.00000_)"/>
    <numFmt numFmtId="166" formatCode="0_)"/>
    <numFmt numFmtId="167" formatCode="m/d/yy"/>
    <numFmt numFmtId="168" formatCode="m/d"/>
    <numFmt numFmtId="169" formatCode="_(* #,##0_);_(* \(#,##0\);_(* &quot;-&quot;??_);_(@_)"/>
    <numFmt numFmtId="170" formatCode="#,##0.000_);\(#,##0.000\)"/>
    <numFmt numFmtId="171" formatCode="0.000"/>
    <numFmt numFmtId="172" formatCode="#,##0.000"/>
    <numFmt numFmtId="173" formatCode="&quot;$&quot;#,##0"/>
    <numFmt numFmtId="174" formatCode="#,###"/>
    <numFmt numFmtId="175" formatCode="0.0%"/>
  </numFmts>
  <fonts count="68" x14ac:knownFonts="1">
    <font>
      <sz val="12"/>
      <name val="Courier"/>
    </font>
    <font>
      <b/>
      <sz val="12"/>
      <name val="Courier"/>
    </font>
    <font>
      <sz val="12"/>
      <name val="Courier"/>
      <family val="3"/>
    </font>
    <font>
      <sz val="12"/>
      <name val="Times New Roman"/>
      <family val="1"/>
    </font>
    <font>
      <b/>
      <sz val="12"/>
      <name val="Times New Roman"/>
      <family val="1"/>
    </font>
    <font>
      <u/>
      <sz val="12"/>
      <name val="Times New Roman"/>
      <family val="1"/>
    </font>
    <font>
      <sz val="11"/>
      <name val="Times New Roman"/>
      <family val="1"/>
    </font>
    <font>
      <sz val="8"/>
      <name val="Courier"/>
      <family val="3"/>
    </font>
    <font>
      <u/>
      <sz val="12"/>
      <color indexed="12"/>
      <name val="Courier New"/>
      <family val="3"/>
    </font>
    <font>
      <sz val="12"/>
      <name val="Courier New"/>
      <family val="3"/>
    </font>
    <font>
      <b/>
      <sz val="11"/>
      <name val="Times New Roman"/>
      <family val="1"/>
    </font>
    <font>
      <sz val="10"/>
      <name val="Times New Roman"/>
      <family val="1"/>
    </font>
    <font>
      <b/>
      <sz val="10"/>
      <name val="Times New Roman"/>
      <family val="1"/>
    </font>
    <font>
      <sz val="10"/>
      <name val="Courier"/>
      <family val="3"/>
    </font>
    <font>
      <sz val="8"/>
      <name val="Times New Roman"/>
      <family val="1"/>
    </font>
    <font>
      <b/>
      <u/>
      <sz val="12"/>
      <name val="Times New Roman"/>
      <family val="1"/>
    </font>
    <font>
      <sz val="12"/>
      <color indexed="10"/>
      <name val="Times New Roman"/>
      <family val="1"/>
    </font>
    <font>
      <b/>
      <u/>
      <sz val="12"/>
      <color indexed="10"/>
      <name val="Times New Roman"/>
      <family val="1"/>
    </font>
    <font>
      <b/>
      <u/>
      <sz val="12"/>
      <name val="Courier"/>
      <family val="3"/>
    </font>
    <font>
      <b/>
      <sz val="8"/>
      <name val="Times New Roman"/>
      <family val="1"/>
    </font>
    <font>
      <b/>
      <u/>
      <sz val="10"/>
      <name val="Times New Roman"/>
      <family val="1"/>
    </font>
    <font>
      <b/>
      <sz val="12"/>
      <color indexed="10"/>
      <name val="Times New Roman"/>
      <family val="1"/>
    </font>
    <font>
      <sz val="12"/>
      <color indexed="10"/>
      <name val="Courier"/>
      <family val="3"/>
    </font>
    <font>
      <i/>
      <sz val="12"/>
      <name val="Times New Roman"/>
      <family val="1"/>
    </font>
    <font>
      <b/>
      <u/>
      <sz val="14"/>
      <name val="Times New Roman"/>
      <family val="1"/>
    </font>
    <font>
      <b/>
      <sz val="12"/>
      <color indexed="8"/>
      <name val="Times New Roman"/>
      <family val="1"/>
    </font>
    <font>
      <sz val="12"/>
      <color indexed="8"/>
      <name val="Times New Roman"/>
      <family val="1"/>
    </font>
    <font>
      <b/>
      <sz val="11"/>
      <color indexed="8"/>
      <name val="Arial"/>
      <family val="2"/>
    </font>
    <font>
      <sz val="11"/>
      <color indexed="8"/>
      <name val="Arial"/>
      <family val="2"/>
    </font>
    <font>
      <b/>
      <u/>
      <sz val="8"/>
      <color indexed="10"/>
      <name val="Times New Roman"/>
      <family val="1"/>
    </font>
    <font>
      <sz val="14"/>
      <name val="Courier"/>
      <family val="3"/>
    </font>
    <font>
      <b/>
      <sz val="14"/>
      <name val="Times New Roman"/>
      <family val="1"/>
    </font>
    <font>
      <u/>
      <sz val="12"/>
      <color indexed="12"/>
      <name val="Courier"/>
      <family val="3"/>
    </font>
    <font>
      <sz val="12"/>
      <name val="Courier New"/>
      <family val="3"/>
    </font>
    <font>
      <b/>
      <sz val="12"/>
      <name val="Courier"/>
      <family val="3"/>
    </font>
    <font>
      <sz val="12"/>
      <name val="Courier"/>
      <family val="3"/>
    </font>
    <font>
      <sz val="11"/>
      <color indexed="8"/>
      <name val="Times New Roman"/>
      <family val="1"/>
    </font>
    <font>
      <b/>
      <sz val="11"/>
      <color indexed="8"/>
      <name val="Times New Roman"/>
      <family val="1"/>
    </font>
    <font>
      <b/>
      <u/>
      <sz val="10"/>
      <name val="Courier"/>
      <family val="3"/>
    </font>
    <font>
      <sz val="10"/>
      <color indexed="10"/>
      <name val="Times New Roman"/>
      <family val="1"/>
    </font>
    <font>
      <b/>
      <sz val="13"/>
      <name val="Times New Roman"/>
      <family val="1"/>
    </font>
    <font>
      <u/>
      <sz val="12"/>
      <color indexed="12"/>
      <name val="Times New Roman"/>
      <family val="1"/>
    </font>
    <font>
      <sz val="11"/>
      <color theme="1"/>
      <name val="Calibri"/>
      <family val="2"/>
      <scheme val="minor"/>
    </font>
    <font>
      <u/>
      <sz val="12"/>
      <color rgb="FFFF0000"/>
      <name val="Times New Roman"/>
      <family val="1"/>
    </font>
    <font>
      <b/>
      <sz val="12"/>
      <color rgb="FFFF0000"/>
      <name val="Times New Roman"/>
      <family val="1"/>
    </font>
    <font>
      <sz val="10"/>
      <color rgb="FFFF0000"/>
      <name val="Times New Roman"/>
      <family val="1"/>
    </font>
    <font>
      <b/>
      <sz val="16"/>
      <name val="Times New Roman"/>
      <family val="1"/>
    </font>
    <font>
      <b/>
      <u/>
      <sz val="16"/>
      <name val="Times New Roman"/>
      <family val="1"/>
    </font>
    <font>
      <u/>
      <vertAlign val="superscript"/>
      <sz val="12"/>
      <name val="Times New Roman"/>
      <family val="1"/>
    </font>
    <font>
      <sz val="11"/>
      <name val="Calibri"/>
      <family val="2"/>
    </font>
    <font>
      <sz val="7"/>
      <name val="Times New Roman"/>
      <family val="1"/>
    </font>
    <font>
      <sz val="12"/>
      <color rgb="FFFF0000"/>
      <name val="Times New Roman"/>
      <family val="1"/>
    </font>
    <font>
      <sz val="14"/>
      <name val="Times New Roman"/>
      <family val="1"/>
    </font>
    <font>
      <b/>
      <sz val="14"/>
      <name val="Calibri"/>
      <family val="2"/>
      <scheme val="minor"/>
    </font>
    <font>
      <sz val="12"/>
      <name val="Calibri"/>
      <family val="2"/>
      <scheme val="minor"/>
    </font>
    <font>
      <u/>
      <sz val="12"/>
      <name val="Calibri"/>
      <family val="2"/>
      <scheme val="minor"/>
    </font>
    <font>
      <b/>
      <sz val="13"/>
      <name val="Calibri"/>
      <family val="2"/>
      <scheme val="minor"/>
    </font>
    <font>
      <b/>
      <sz val="12"/>
      <name val="Calibri"/>
      <family val="2"/>
      <scheme val="minor"/>
    </font>
    <font>
      <b/>
      <sz val="18"/>
      <name val="Times New Roman"/>
      <family val="1"/>
    </font>
    <font>
      <b/>
      <i/>
      <sz val="12"/>
      <name val="Times New Roman"/>
      <family val="1"/>
    </font>
    <font>
      <b/>
      <sz val="14"/>
      <color rgb="FF000000"/>
      <name val="Cambria"/>
      <family val="1"/>
      <scheme val="major"/>
    </font>
    <font>
      <b/>
      <sz val="28"/>
      <color rgb="FF000000"/>
      <name val="Calibri Light"/>
      <family val="2"/>
    </font>
    <font>
      <sz val="12"/>
      <name val="Calibri"/>
      <family val="2"/>
    </font>
    <font>
      <sz val="12"/>
      <color rgb="FF000000"/>
      <name val="Calibri"/>
      <family val="2"/>
    </font>
    <font>
      <b/>
      <sz val="12"/>
      <color rgb="FFFF0000"/>
      <name val="Calibri"/>
      <family val="2"/>
    </font>
    <font>
      <sz val="12"/>
      <color theme="1"/>
      <name val="Calibri"/>
      <family val="2"/>
    </font>
    <font>
      <b/>
      <sz val="14"/>
      <color theme="1"/>
      <name val="Cambria"/>
      <family val="1"/>
    </font>
    <font>
      <b/>
      <sz val="14"/>
      <name val="Cambria"/>
      <family val="1"/>
      <scheme val="major"/>
    </font>
  </fonts>
  <fills count="19">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10"/>
        <bgColor indexed="64"/>
      </patternFill>
    </fill>
    <fill>
      <patternFill patternType="solid">
        <fgColor indexed="11"/>
      </patternFill>
    </fill>
    <fill>
      <patternFill patternType="solid">
        <fgColor indexed="43"/>
        <bgColor indexed="64"/>
      </patternFill>
    </fill>
    <fill>
      <patternFill patternType="solid">
        <fgColor indexed="34"/>
        <bgColor indexed="64"/>
      </patternFill>
    </fill>
    <fill>
      <patternFill patternType="solid">
        <fgColor indexed="13"/>
        <bgColor indexed="64"/>
      </patternFill>
    </fill>
    <fill>
      <patternFill patternType="solid">
        <fgColor indexed="35"/>
        <bgColor indexed="64"/>
      </patternFill>
    </fill>
    <fill>
      <patternFill patternType="solid">
        <fgColor indexed="41"/>
        <bgColor indexed="64"/>
      </patternFill>
    </fill>
    <fill>
      <patternFill patternType="solid">
        <fgColor rgb="FF00FF00"/>
        <bgColor indexed="64"/>
      </patternFill>
    </fill>
    <fill>
      <patternFill patternType="solid">
        <fgColor rgb="FFFFFFC0"/>
        <bgColor indexed="64"/>
      </patternFill>
    </fill>
    <fill>
      <patternFill patternType="solid">
        <fgColor rgb="FFFFFF0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499984740745262"/>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522">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33"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2" fillId="0" borderId="0"/>
    <xf numFmtId="0" fontId="9" fillId="0" borderId="0"/>
    <xf numFmtId="0" fontId="9" fillId="0" borderId="0"/>
    <xf numFmtId="0" fontId="2" fillId="0" borderId="0"/>
    <xf numFmtId="0" fontId="2" fillId="0" borderId="0"/>
    <xf numFmtId="0" fontId="2"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33"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9" fillId="0" borderId="0"/>
    <xf numFmtId="0" fontId="9" fillId="0" borderId="0"/>
    <xf numFmtId="0" fontId="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3"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9" fillId="0" borderId="0"/>
    <xf numFmtId="0" fontId="33" fillId="0" borderId="0"/>
    <xf numFmtId="0" fontId="9" fillId="0" borderId="0"/>
    <xf numFmtId="0" fontId="9" fillId="0" borderId="0"/>
    <xf numFmtId="0" fontId="9" fillId="0" borderId="0"/>
    <xf numFmtId="0" fontId="9" fillId="0" borderId="0"/>
    <xf numFmtId="0" fontId="33" fillId="0" borderId="0"/>
    <xf numFmtId="0" fontId="9" fillId="0" borderId="0"/>
    <xf numFmtId="0" fontId="9" fillId="0" borderId="0"/>
    <xf numFmtId="0" fontId="9" fillId="0" borderId="0"/>
    <xf numFmtId="0" fontId="9" fillId="0" borderId="0"/>
    <xf numFmtId="0" fontId="33"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9" fillId="0" borderId="0"/>
    <xf numFmtId="0" fontId="2" fillId="0" borderId="0"/>
    <xf numFmtId="0" fontId="2"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9" fillId="0" borderId="0"/>
    <xf numFmtId="0" fontId="2" fillId="0" borderId="0"/>
    <xf numFmtId="0" fontId="2" fillId="0" borderId="0"/>
    <xf numFmtId="0" fontId="9" fillId="0" borderId="0"/>
    <xf numFmtId="0" fontId="9" fillId="0" borderId="0"/>
    <xf numFmtId="0" fontId="2" fillId="0" borderId="0"/>
    <xf numFmtId="0" fontId="9" fillId="0" borderId="0"/>
    <xf numFmtId="0" fontId="2" fillId="0" borderId="0"/>
    <xf numFmtId="0" fontId="9" fillId="0" borderId="0"/>
    <xf numFmtId="0" fontId="9" fillId="0" borderId="0"/>
    <xf numFmtId="0" fontId="9" fillId="0" borderId="0"/>
    <xf numFmtId="0" fontId="2" fillId="0" borderId="0"/>
    <xf numFmtId="0" fontId="2"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9" fillId="0" borderId="0"/>
    <xf numFmtId="0" fontId="2" fillId="0" borderId="0"/>
    <xf numFmtId="0" fontId="2" fillId="0" borderId="0"/>
    <xf numFmtId="0" fontId="2" fillId="0" borderId="0"/>
    <xf numFmtId="0" fontId="9" fillId="0" borderId="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9" fillId="0" borderId="0"/>
    <xf numFmtId="0" fontId="9" fillId="0" borderId="0"/>
    <xf numFmtId="0" fontId="9"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9" fillId="0" borderId="0"/>
    <xf numFmtId="0" fontId="9"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42" fillId="0" borderId="0"/>
    <xf numFmtId="0" fontId="42" fillId="0" borderId="0"/>
    <xf numFmtId="0" fontId="2"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0" fontId="9" fillId="0" borderId="0"/>
    <xf numFmtId="0" fontId="2" fillId="0" borderId="0"/>
    <xf numFmtId="0" fontId="2" fillId="0" borderId="0"/>
    <xf numFmtId="0" fontId="9" fillId="0" borderId="0"/>
    <xf numFmtId="0" fontId="9" fillId="0" borderId="0"/>
    <xf numFmtId="0" fontId="2" fillId="0" borderId="0"/>
    <xf numFmtId="0" fontId="9" fillId="0" borderId="0"/>
    <xf numFmtId="0" fontId="2"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0" fontId="2" fillId="0" borderId="0"/>
    <xf numFmtId="0" fontId="2" fillId="0" borderId="0"/>
    <xf numFmtId="0" fontId="9" fillId="0" borderId="0"/>
    <xf numFmtId="0" fontId="9" fillId="0" borderId="0"/>
    <xf numFmtId="0" fontId="9" fillId="0" borderId="0"/>
    <xf numFmtId="0" fontId="2" fillId="0" borderId="0"/>
    <xf numFmtId="0" fontId="9" fillId="0" borderId="0"/>
    <xf numFmtId="0" fontId="9" fillId="0" borderId="0"/>
    <xf numFmtId="0" fontId="2"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9" fillId="0" borderId="0"/>
    <xf numFmtId="0" fontId="2" fillId="0" borderId="0"/>
    <xf numFmtId="0" fontId="9" fillId="0" borderId="0"/>
    <xf numFmtId="0" fontId="9" fillId="0" borderId="0"/>
    <xf numFmtId="0" fontId="2" fillId="0" borderId="0"/>
    <xf numFmtId="0" fontId="2" fillId="0" borderId="0"/>
    <xf numFmtId="0" fontId="9" fillId="0" borderId="0"/>
    <xf numFmtId="0" fontId="9" fillId="0" borderId="0"/>
    <xf numFmtId="0" fontId="9" fillId="0" borderId="0"/>
    <xf numFmtId="0" fontId="2" fillId="0" borderId="0"/>
    <xf numFmtId="0" fontId="2" fillId="0" borderId="0"/>
    <xf numFmtId="0" fontId="33" fillId="0" borderId="0"/>
    <xf numFmtId="0" fontId="9"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9" fillId="0" borderId="0"/>
    <xf numFmtId="0" fontId="9" fillId="0" borderId="0"/>
    <xf numFmtId="0" fontId="9" fillId="0" borderId="0"/>
    <xf numFmtId="0" fontId="2" fillId="0" borderId="0"/>
    <xf numFmtId="0" fontId="33"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33"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2" fillId="0" borderId="0"/>
    <xf numFmtId="0" fontId="2" fillId="0" borderId="0"/>
    <xf numFmtId="0" fontId="3" fillId="0" borderId="0"/>
  </cellStyleXfs>
  <cellXfs count="739">
    <xf numFmtId="0" fontId="0" fillId="0" borderId="0" xfId="0"/>
    <xf numFmtId="0" fontId="3" fillId="0" borderId="0" xfId="0" applyFont="1" applyProtection="1">
      <protection locked="0"/>
    </xf>
    <xf numFmtId="0" fontId="3" fillId="0" borderId="0" xfId="0" applyFont="1"/>
    <xf numFmtId="0" fontId="3" fillId="0" borderId="0" xfId="0" applyFont="1" applyAlignment="1">
      <alignment horizontal="centerContinuous"/>
    </xf>
    <xf numFmtId="37" fontId="3" fillId="0" borderId="0" xfId="0" applyNumberFormat="1" applyFont="1" applyAlignment="1" applyProtection="1">
      <alignment horizontal="left"/>
      <protection locked="0"/>
    </xf>
    <xf numFmtId="37" fontId="3" fillId="0" borderId="0" xfId="0" applyNumberFormat="1" applyFont="1" applyAlignment="1" applyProtection="1">
      <alignment horizontal="center"/>
      <protection locked="0"/>
    </xf>
    <xf numFmtId="37" fontId="3" fillId="2" borderId="2" xfId="0" applyNumberFormat="1" applyFont="1" applyFill="1" applyBorder="1" applyProtection="1">
      <protection locked="0"/>
    </xf>
    <xf numFmtId="164" fontId="3" fillId="2" borderId="2" xfId="0" applyNumberFormat="1" applyFont="1" applyFill="1" applyBorder="1" applyProtection="1">
      <protection locked="0"/>
    </xf>
    <xf numFmtId="37" fontId="3" fillId="3" borderId="0" xfId="0" applyNumberFormat="1" applyFont="1" applyFill="1" applyAlignment="1">
      <alignment horizontal="right"/>
    </xf>
    <xf numFmtId="0" fontId="3" fillId="3" borderId="0" xfId="0" applyFont="1" applyFill="1"/>
    <xf numFmtId="37" fontId="3" fillId="3" borderId="0" xfId="0" applyNumberFormat="1" applyFont="1" applyFill="1" applyAlignment="1">
      <alignment horizontal="left"/>
    </xf>
    <xf numFmtId="37" fontId="3" fillId="3" borderId="0" xfId="0" applyNumberFormat="1" applyFont="1" applyFill="1" applyAlignment="1">
      <alignment horizontal="centerContinuous"/>
    </xf>
    <xf numFmtId="0" fontId="3" fillId="3" borderId="0" xfId="0" applyFont="1" applyFill="1" applyAlignment="1">
      <alignment horizontal="centerContinuous"/>
    </xf>
    <xf numFmtId="37" fontId="3" fillId="3" borderId="0" xfId="0" applyNumberFormat="1" applyFont="1" applyFill="1" applyAlignment="1">
      <alignment horizontal="fill"/>
    </xf>
    <xf numFmtId="37" fontId="3" fillId="3" borderId="2" xfId="0" applyNumberFormat="1" applyFont="1" applyFill="1" applyBorder="1"/>
    <xf numFmtId="37" fontId="3" fillId="3" borderId="0" xfId="0" applyNumberFormat="1" applyFont="1" applyFill="1"/>
    <xf numFmtId="0" fontId="3" fillId="3" borderId="0" xfId="0" applyFont="1" applyFill="1" applyAlignment="1">
      <alignment horizontal="center"/>
    </xf>
    <xf numFmtId="0" fontId="3" fillId="3" borderId="0" xfId="0" applyFont="1" applyFill="1" applyAlignment="1">
      <alignment horizontal="right"/>
    </xf>
    <xf numFmtId="164" fontId="3" fillId="3" borderId="2" xfId="0" applyNumberFormat="1" applyFont="1" applyFill="1" applyBorder="1" applyProtection="1">
      <protection locked="0"/>
    </xf>
    <xf numFmtId="166" fontId="3" fillId="3" borderId="0" xfId="0" applyNumberFormat="1" applyFont="1" applyFill="1" applyAlignment="1">
      <alignment horizontal="center"/>
    </xf>
    <xf numFmtId="37" fontId="3" fillId="3" borderId="1" xfId="0" applyNumberFormat="1" applyFont="1" applyFill="1" applyBorder="1" applyAlignment="1">
      <alignment horizontal="center"/>
    </xf>
    <xf numFmtId="37" fontId="3" fillId="3" borderId="0" xfId="0" applyNumberFormat="1" applyFont="1" applyFill="1" applyAlignment="1">
      <alignment horizontal="center"/>
    </xf>
    <xf numFmtId="170" fontId="3" fillId="3" borderId="0" xfId="0" applyNumberFormat="1" applyFont="1" applyFill="1" applyAlignment="1">
      <alignment horizontal="center"/>
    </xf>
    <xf numFmtId="0" fontId="3" fillId="0" borderId="0" xfId="0" applyFont="1" applyAlignment="1">
      <alignment vertical="center"/>
    </xf>
    <xf numFmtId="0" fontId="3" fillId="0" borderId="0" xfId="0" applyFont="1" applyAlignment="1">
      <alignment vertical="center" wrapText="1"/>
    </xf>
    <xf numFmtId="37" fontId="3" fillId="3" borderId="0" xfId="0" applyNumberFormat="1" applyFont="1" applyFill="1" applyAlignment="1">
      <alignment horizontal="left" vertical="center"/>
    </xf>
    <xf numFmtId="0" fontId="3" fillId="3" borderId="0" xfId="0" applyFont="1" applyFill="1" applyAlignment="1">
      <alignment vertical="center"/>
    </xf>
    <xf numFmtId="37" fontId="3" fillId="3" borderId="0" xfId="0" applyNumberFormat="1" applyFont="1" applyFill="1" applyAlignment="1" applyProtection="1">
      <alignment horizontal="left" vertical="center"/>
      <protection locked="0"/>
    </xf>
    <xf numFmtId="0" fontId="4" fillId="2" borderId="2" xfId="0" applyFont="1" applyFill="1" applyBorder="1" applyAlignment="1" applyProtection="1">
      <alignment horizontal="center" vertical="center"/>
      <protection locked="0"/>
    </xf>
    <xf numFmtId="0" fontId="4" fillId="3" borderId="0" xfId="0" applyFont="1" applyFill="1" applyAlignment="1" applyProtection="1">
      <alignment horizontal="center" vertical="center"/>
      <protection locked="0"/>
    </xf>
    <xf numFmtId="0" fontId="3" fillId="3" borderId="0" xfId="0" applyFont="1" applyFill="1" applyAlignment="1">
      <alignment horizontal="centerContinuous" vertical="center"/>
    </xf>
    <xf numFmtId="0" fontId="3" fillId="3" borderId="0" xfId="0" applyFont="1" applyFill="1" applyAlignment="1">
      <alignment horizontal="center" vertical="center"/>
    </xf>
    <xf numFmtId="37" fontId="3" fillId="3" borderId="0" xfId="0" applyNumberFormat="1" applyFont="1" applyFill="1" applyAlignment="1">
      <alignment horizontal="center" vertical="center"/>
    </xf>
    <xf numFmtId="37" fontId="3" fillId="4" borderId="6" xfId="0" applyNumberFormat="1" applyFont="1" applyFill="1" applyBorder="1" applyAlignment="1">
      <alignment horizontal="center" vertical="center"/>
    </xf>
    <xf numFmtId="37" fontId="3" fillId="3" borderId="2" xfId="0" applyNumberFormat="1" applyFont="1" applyFill="1" applyBorder="1" applyAlignment="1">
      <alignment horizontal="left" vertical="center"/>
    </xf>
    <xf numFmtId="0" fontId="3" fillId="3" borderId="2" xfId="0" applyFont="1" applyFill="1" applyBorder="1" applyAlignment="1" applyProtection="1">
      <alignment vertical="center"/>
      <protection locked="0"/>
    </xf>
    <xf numFmtId="3" fontId="3" fillId="2" borderId="2" xfId="0" applyNumberFormat="1" applyFont="1" applyFill="1" applyBorder="1" applyAlignment="1" applyProtection="1">
      <alignment vertical="center"/>
      <protection locked="0"/>
    </xf>
    <xf numFmtId="164" fontId="3" fillId="6" borderId="2" xfId="0" applyNumberFormat="1" applyFont="1" applyFill="1" applyBorder="1" applyAlignment="1" applyProtection="1">
      <alignment vertical="center"/>
      <protection locked="0"/>
    </xf>
    <xf numFmtId="0" fontId="3" fillId="3" borderId="2" xfId="0" applyFont="1" applyFill="1" applyBorder="1" applyAlignment="1">
      <alignment vertical="center"/>
    </xf>
    <xf numFmtId="164" fontId="3" fillId="2" borderId="2" xfId="0" applyNumberFormat="1" applyFont="1" applyFill="1" applyBorder="1" applyAlignment="1" applyProtection="1">
      <alignment vertical="center"/>
      <protection locked="0"/>
    </xf>
    <xf numFmtId="0" fontId="3" fillId="6" borderId="2" xfId="0" applyFont="1" applyFill="1" applyBorder="1" applyAlignment="1" applyProtection="1">
      <alignment horizontal="left" vertical="center"/>
      <protection locked="0"/>
    </xf>
    <xf numFmtId="0" fontId="3" fillId="2" borderId="2" xfId="0" applyFont="1" applyFill="1" applyBorder="1" applyAlignment="1" applyProtection="1">
      <alignment vertical="center"/>
      <protection locked="0"/>
    </xf>
    <xf numFmtId="3" fontId="3" fillId="6" borderId="2" xfId="0" applyNumberFormat="1" applyFont="1" applyFill="1" applyBorder="1" applyAlignment="1" applyProtection="1">
      <alignment vertical="center"/>
      <protection locked="0"/>
    </xf>
    <xf numFmtId="37" fontId="3" fillId="3" borderId="1" xfId="0" applyNumberFormat="1" applyFont="1" applyFill="1" applyBorder="1" applyAlignment="1">
      <alignment horizontal="left" vertical="center"/>
    </xf>
    <xf numFmtId="0" fontId="3" fillId="3" borderId="1" xfId="0" applyFont="1" applyFill="1" applyBorder="1" applyAlignment="1">
      <alignment vertical="center"/>
    </xf>
    <xf numFmtId="0" fontId="3" fillId="3" borderId="4" xfId="0" applyFont="1" applyFill="1" applyBorder="1" applyAlignment="1">
      <alignment vertical="center"/>
    </xf>
    <xf numFmtId="164" fontId="3" fillId="3" borderId="1" xfId="0" applyNumberFormat="1" applyFont="1" applyFill="1" applyBorder="1" applyAlignment="1" applyProtection="1">
      <alignment vertical="center"/>
      <protection locked="0"/>
    </xf>
    <xf numFmtId="0" fontId="3" fillId="3" borderId="8" xfId="0" applyFont="1" applyFill="1" applyBorder="1" applyAlignment="1">
      <alignment vertical="center"/>
    </xf>
    <xf numFmtId="164" fontId="3" fillId="3" borderId="0" xfId="0" applyNumberFormat="1" applyFont="1" applyFill="1" applyAlignment="1" applyProtection="1">
      <alignment vertical="center"/>
      <protection locked="0"/>
    </xf>
    <xf numFmtId="3" fontId="3" fillId="3" borderId="0" xfId="0" applyNumberFormat="1" applyFont="1" applyFill="1" applyAlignment="1">
      <alignment vertical="center"/>
    </xf>
    <xf numFmtId="37" fontId="3" fillId="3" borderId="2" xfId="0" applyNumberFormat="1" applyFont="1" applyFill="1" applyBorder="1" applyAlignment="1">
      <alignment vertical="center"/>
    </xf>
    <xf numFmtId="0" fontId="3" fillId="3" borderId="9" xfId="0" applyFont="1" applyFill="1" applyBorder="1" applyAlignment="1">
      <alignment vertical="center"/>
    </xf>
    <xf numFmtId="3" fontId="3" fillId="3" borderId="0" xfId="0" applyNumberFormat="1" applyFont="1" applyFill="1" applyAlignment="1" applyProtection="1">
      <alignment vertical="center"/>
      <protection locked="0"/>
    </xf>
    <xf numFmtId="0" fontId="3" fillId="3" borderId="0" xfId="0" applyFont="1" applyFill="1" applyAlignment="1" applyProtection="1">
      <alignment vertical="center"/>
      <protection locked="0"/>
    </xf>
    <xf numFmtId="0" fontId="3" fillId="3" borderId="1" xfId="0" applyFont="1" applyFill="1" applyBorder="1" applyAlignment="1">
      <alignment horizontal="center" vertical="center"/>
    </xf>
    <xf numFmtId="0" fontId="3" fillId="3" borderId="1" xfId="0" applyFont="1" applyFill="1" applyBorder="1" applyAlignment="1" applyProtection="1">
      <alignment horizontal="center" vertical="center"/>
      <protection locked="0"/>
    </xf>
    <xf numFmtId="0" fontId="3" fillId="0" borderId="0" xfId="0" applyFont="1" applyAlignment="1" applyProtection="1">
      <alignment vertical="center"/>
      <protection locked="0"/>
    </xf>
    <xf numFmtId="37" fontId="3" fillId="3" borderId="0" xfId="0" applyNumberFormat="1" applyFont="1" applyFill="1" applyAlignment="1">
      <alignment vertical="center"/>
    </xf>
    <xf numFmtId="37" fontId="3" fillId="3" borderId="9" xfId="0" applyNumberFormat="1" applyFont="1" applyFill="1" applyBorder="1" applyAlignment="1">
      <alignment horizontal="left" vertical="center"/>
    </xf>
    <xf numFmtId="37" fontId="3" fillId="2" borderId="2" xfId="0" applyNumberFormat="1" applyFont="1" applyFill="1" applyBorder="1" applyAlignment="1" applyProtection="1">
      <alignment vertical="center"/>
      <protection locked="0"/>
    </xf>
    <xf numFmtId="37" fontId="3" fillId="3" borderId="7" xfId="0" applyNumberFormat="1" applyFont="1" applyFill="1" applyBorder="1" applyAlignment="1">
      <alignment horizontal="left" vertical="center"/>
    </xf>
    <xf numFmtId="3" fontId="3" fillId="3" borderId="8" xfId="0" applyNumberFormat="1" applyFont="1" applyFill="1" applyBorder="1" applyAlignment="1">
      <alignment vertical="center"/>
    </xf>
    <xf numFmtId="3" fontId="3" fillId="3" borderId="4" xfId="0" applyNumberFormat="1" applyFont="1" applyFill="1" applyBorder="1" applyAlignment="1">
      <alignment vertical="center"/>
    </xf>
    <xf numFmtId="3" fontId="3" fillId="3" borderId="9" xfId="0" applyNumberFormat="1" applyFont="1" applyFill="1" applyBorder="1" applyAlignment="1">
      <alignment vertical="center"/>
    </xf>
    <xf numFmtId="0" fontId="4" fillId="3" borderId="0" xfId="0" applyFont="1" applyFill="1" applyAlignment="1">
      <alignment vertical="center"/>
    </xf>
    <xf numFmtId="37" fontId="3" fillId="3" borderId="1" xfId="0" applyNumberFormat="1" applyFont="1" applyFill="1" applyBorder="1" applyAlignment="1">
      <alignment vertical="center"/>
    </xf>
    <xf numFmtId="0" fontId="0" fillId="3" borderId="0" xfId="0" applyFill="1" applyAlignment="1">
      <alignment vertical="center"/>
    </xf>
    <xf numFmtId="0" fontId="3" fillId="4" borderId="5" xfId="0" applyFont="1" applyFill="1" applyBorder="1" applyAlignment="1">
      <alignment horizontal="center" vertical="center"/>
    </xf>
    <xf numFmtId="0" fontId="3" fillId="4" borderId="3" xfId="0" applyFont="1" applyFill="1" applyBorder="1" applyAlignment="1">
      <alignment horizontal="center" vertical="center"/>
    </xf>
    <xf numFmtId="0" fontId="16" fillId="3" borderId="0" xfId="0" applyFont="1" applyFill="1" applyAlignment="1">
      <alignment vertical="center"/>
    </xf>
    <xf numFmtId="0" fontId="22" fillId="3" borderId="0" xfId="0" applyFont="1" applyFill="1" applyAlignment="1">
      <alignment vertical="center"/>
    </xf>
    <xf numFmtId="0" fontId="3" fillId="4" borderId="6" xfId="0" applyFont="1" applyFill="1" applyBorder="1" applyAlignment="1">
      <alignment horizontal="center" vertical="center"/>
    </xf>
    <xf numFmtId="37" fontId="3" fillId="3" borderId="6" xfId="0" applyNumberFormat="1" applyFont="1" applyFill="1" applyBorder="1" applyAlignment="1">
      <alignment vertical="center"/>
    </xf>
    <xf numFmtId="3" fontId="3" fillId="2" borderId="6" xfId="0" applyNumberFormat="1" applyFont="1" applyFill="1" applyBorder="1" applyAlignment="1" applyProtection="1">
      <alignment vertical="center"/>
      <protection locked="0"/>
    </xf>
    <xf numFmtId="0" fontId="11" fillId="0" borderId="0" xfId="0" applyFont="1" applyAlignment="1">
      <alignment vertical="center"/>
    </xf>
    <xf numFmtId="0" fontId="0" fillId="0" borderId="0" xfId="0" applyAlignment="1">
      <alignment vertical="center"/>
    </xf>
    <xf numFmtId="37" fontId="11" fillId="3" borderId="2" xfId="0" applyNumberFormat="1" applyFont="1" applyFill="1" applyBorder="1" applyAlignment="1">
      <alignment vertical="center"/>
    </xf>
    <xf numFmtId="171" fontId="3" fillId="3" borderId="2" xfId="0" applyNumberFormat="1" applyFont="1" applyFill="1" applyBorder="1" applyAlignment="1">
      <alignment vertical="center"/>
    </xf>
    <xf numFmtId="37" fontId="3" fillId="3" borderId="2" xfId="0" applyNumberFormat="1" applyFont="1" applyFill="1" applyBorder="1" applyAlignment="1">
      <alignment horizontal="center" vertical="center"/>
    </xf>
    <xf numFmtId="37" fontId="3" fillId="3" borderId="0" xfId="0" applyNumberFormat="1" applyFont="1" applyFill="1" applyAlignment="1">
      <alignment horizontal="centerContinuous" vertical="center"/>
    </xf>
    <xf numFmtId="37" fontId="3" fillId="3" borderId="5" xfId="0" applyNumberFormat="1" applyFont="1" applyFill="1" applyBorder="1" applyAlignment="1">
      <alignment horizontal="center" vertical="center"/>
    </xf>
    <xf numFmtId="37" fontId="4" fillId="3" borderId="1" xfId="0" applyNumberFormat="1" applyFont="1" applyFill="1" applyBorder="1" applyAlignment="1">
      <alignment horizontal="left" vertical="center"/>
    </xf>
    <xf numFmtId="37" fontId="3" fillId="3" borderId="6" xfId="0" applyNumberFormat="1" applyFont="1" applyFill="1" applyBorder="1" applyAlignment="1">
      <alignment horizontal="center" vertical="center"/>
    </xf>
    <xf numFmtId="37" fontId="5" fillId="3" borderId="2" xfId="0" applyNumberFormat="1" applyFont="1" applyFill="1" applyBorder="1" applyAlignment="1">
      <alignment horizontal="left" vertical="center"/>
    </xf>
    <xf numFmtId="37" fontId="5" fillId="3" borderId="2" xfId="0" applyNumberFormat="1" applyFont="1" applyFill="1" applyBorder="1" applyAlignment="1">
      <alignment horizontal="center" vertical="center"/>
    </xf>
    <xf numFmtId="37" fontId="3" fillId="2" borderId="2" xfId="0" applyNumberFormat="1" applyFont="1" applyFill="1" applyBorder="1" applyAlignment="1" applyProtection="1">
      <alignment horizontal="left" vertical="center"/>
      <protection locked="0"/>
    </xf>
    <xf numFmtId="37" fontId="3" fillId="3" borderId="2" xfId="0" applyNumberFormat="1" applyFont="1" applyFill="1" applyBorder="1" applyAlignment="1">
      <alignment horizontal="fill" vertical="center"/>
    </xf>
    <xf numFmtId="37" fontId="3" fillId="0" borderId="0" xfId="0" applyNumberFormat="1" applyFont="1" applyAlignment="1" applyProtection="1">
      <alignment horizontal="left" vertical="center"/>
      <protection locked="0"/>
    </xf>
    <xf numFmtId="0" fontId="3" fillId="0" borderId="0" xfId="0" applyFont="1" applyAlignment="1" applyProtection="1">
      <alignment horizontal="center" vertical="center"/>
      <protection locked="0"/>
    </xf>
    <xf numFmtId="0" fontId="4" fillId="3" borderId="0" xfId="0" applyFont="1" applyFill="1" applyAlignment="1">
      <alignment horizontal="center" vertical="center"/>
    </xf>
    <xf numFmtId="37" fontId="3" fillId="3" borderId="0" xfId="0" applyNumberFormat="1" applyFont="1" applyFill="1" applyAlignment="1">
      <alignment horizontal="right" vertical="center"/>
    </xf>
    <xf numFmtId="0" fontId="4" fillId="3" borderId="1" xfId="0" applyFont="1" applyFill="1" applyBorder="1" applyAlignment="1">
      <alignment horizontal="center" vertical="center"/>
    </xf>
    <xf numFmtId="0" fontId="3" fillId="2" borderId="6" xfId="0" applyFont="1" applyFill="1" applyBorder="1" applyAlignment="1" applyProtection="1">
      <alignment vertical="center"/>
      <protection locked="0"/>
    </xf>
    <xf numFmtId="169" fontId="3" fillId="2" borderId="6" xfId="1" applyNumberFormat="1" applyFont="1" applyFill="1" applyBorder="1" applyAlignment="1" applyProtection="1">
      <alignment vertical="center"/>
      <protection locked="0"/>
    </xf>
    <xf numFmtId="169" fontId="3" fillId="2" borderId="2" xfId="1" applyNumberFormat="1" applyFont="1" applyFill="1" applyBorder="1" applyAlignment="1" applyProtection="1">
      <alignment vertical="center"/>
      <protection locked="0"/>
    </xf>
    <xf numFmtId="0" fontId="5" fillId="2" borderId="2" xfId="0" applyFont="1" applyFill="1" applyBorder="1" applyAlignment="1" applyProtection="1">
      <alignment vertical="center"/>
      <protection locked="0"/>
    </xf>
    <xf numFmtId="0" fontId="3" fillId="3" borderId="2" xfId="0" applyFont="1" applyFill="1" applyBorder="1" applyAlignment="1">
      <alignment horizontal="center" vertical="center"/>
    </xf>
    <xf numFmtId="0" fontId="3" fillId="3" borderId="2" xfId="0" applyFont="1" applyFill="1" applyBorder="1" applyAlignment="1" applyProtection="1">
      <alignment horizontal="center" vertical="center"/>
      <protection locked="0"/>
    </xf>
    <xf numFmtId="1" fontId="3" fillId="3" borderId="0" xfId="0" applyNumberFormat="1" applyFont="1" applyFill="1" applyAlignment="1">
      <alignment horizontal="right" vertical="center"/>
    </xf>
    <xf numFmtId="0" fontId="4" fillId="3" borderId="0" xfId="520" applyFont="1" applyFill="1" applyAlignment="1">
      <alignment horizontal="centerContinuous" vertical="center"/>
    </xf>
    <xf numFmtId="0" fontId="3" fillId="3" borderId="1" xfId="0" applyFont="1" applyFill="1" applyBorder="1" applyAlignment="1">
      <alignment horizontal="fill" vertical="center"/>
    </xf>
    <xf numFmtId="0" fontId="3" fillId="3" borderId="5"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2" xfId="0" applyFont="1" applyFill="1" applyBorder="1" applyAlignment="1">
      <alignment horizontal="left" vertical="center"/>
    </xf>
    <xf numFmtId="0" fontId="3" fillId="3" borderId="6" xfId="0" applyFont="1" applyFill="1" applyBorder="1" applyAlignment="1">
      <alignment horizontal="center" vertical="center"/>
    </xf>
    <xf numFmtId="2" fontId="3" fillId="3" borderId="2" xfId="0" applyNumberFormat="1" applyFont="1" applyFill="1" applyBorder="1" applyAlignment="1">
      <alignment vertical="center"/>
    </xf>
    <xf numFmtId="3" fontId="3" fillId="3" borderId="2" xfId="0" applyNumberFormat="1" applyFont="1" applyFill="1" applyBorder="1" applyAlignment="1">
      <alignment vertical="center"/>
    </xf>
    <xf numFmtId="0" fontId="3" fillId="6" borderId="2" xfId="0" applyFont="1" applyFill="1" applyBorder="1" applyAlignment="1" applyProtection="1">
      <alignment horizontal="center" vertical="center"/>
      <protection locked="0"/>
    </xf>
    <xf numFmtId="2" fontId="3" fillId="6" borderId="2" xfId="0" applyNumberFormat="1" applyFont="1" applyFill="1" applyBorder="1" applyAlignment="1" applyProtection="1">
      <alignment horizontal="center" vertical="center"/>
      <protection locked="0"/>
    </xf>
    <xf numFmtId="3" fontId="3" fillId="6" borderId="2" xfId="0" applyNumberFormat="1" applyFont="1" applyFill="1" applyBorder="1" applyAlignment="1" applyProtection="1">
      <alignment horizontal="center" vertical="center"/>
      <protection locked="0"/>
    </xf>
    <xf numFmtId="37" fontId="3" fillId="6" borderId="2" xfId="0" applyNumberFormat="1" applyFont="1" applyFill="1" applyBorder="1" applyAlignment="1" applyProtection="1">
      <alignment horizontal="center" vertical="center"/>
      <protection locked="0"/>
    </xf>
    <xf numFmtId="168" fontId="3" fillId="6" borderId="2" xfId="0" applyNumberFormat="1" applyFont="1" applyFill="1" applyBorder="1" applyAlignment="1" applyProtection="1">
      <alignment horizontal="center" vertical="center"/>
      <protection locked="0"/>
    </xf>
    <xf numFmtId="0" fontId="4" fillId="3" borderId="2" xfId="0" applyFont="1" applyFill="1" applyBorder="1" applyAlignment="1">
      <alignment horizontal="center" vertical="center"/>
    </xf>
    <xf numFmtId="167" fontId="4" fillId="3" borderId="2" xfId="0" applyNumberFormat="1" applyFont="1" applyFill="1" applyBorder="1" applyAlignment="1">
      <alignment horizontal="center" vertical="center"/>
    </xf>
    <xf numFmtId="2" fontId="4" fillId="3" borderId="2" xfId="0" applyNumberFormat="1" applyFont="1" applyFill="1" applyBorder="1" applyAlignment="1">
      <alignment horizontal="center" vertical="center"/>
    </xf>
    <xf numFmtId="3" fontId="4" fillId="3" borderId="2" xfId="0" applyNumberFormat="1" applyFont="1" applyFill="1" applyBorder="1" applyAlignment="1">
      <alignment horizontal="center" vertical="center"/>
    </xf>
    <xf numFmtId="168" fontId="4" fillId="3" borderId="2" xfId="0" applyNumberFormat="1" applyFont="1" applyFill="1" applyBorder="1" applyAlignment="1">
      <alignment horizontal="center" vertical="center"/>
    </xf>
    <xf numFmtId="167" fontId="3" fillId="3" borderId="2" xfId="0" applyNumberFormat="1" applyFont="1" applyFill="1" applyBorder="1" applyAlignment="1">
      <alignment horizontal="center" vertical="center"/>
    </xf>
    <xf numFmtId="2" fontId="3" fillId="3" borderId="2" xfId="0" applyNumberFormat="1" applyFont="1" applyFill="1" applyBorder="1" applyAlignment="1">
      <alignment horizontal="center" vertical="center"/>
    </xf>
    <xf numFmtId="3" fontId="3" fillId="3" borderId="2" xfId="0" applyNumberFormat="1" applyFont="1" applyFill="1" applyBorder="1" applyAlignment="1">
      <alignment horizontal="center" vertical="center"/>
    </xf>
    <xf numFmtId="168" fontId="3" fillId="3" borderId="2" xfId="0" applyNumberFormat="1" applyFont="1" applyFill="1" applyBorder="1" applyAlignment="1">
      <alignment horizontal="center" vertical="center"/>
    </xf>
    <xf numFmtId="1" fontId="4" fillId="3" borderId="2" xfId="0" applyNumberFormat="1" applyFont="1" applyFill="1" applyBorder="1" applyAlignment="1">
      <alignment horizontal="center" vertical="center"/>
    </xf>
    <xf numFmtId="1" fontId="3" fillId="3" borderId="2" xfId="0" applyNumberFormat="1" applyFont="1" applyFill="1" applyBorder="1" applyAlignment="1">
      <alignment horizontal="center" vertical="center"/>
    </xf>
    <xf numFmtId="37" fontId="3" fillId="0" borderId="0" xfId="0" applyNumberFormat="1" applyFont="1" applyAlignment="1" applyProtection="1">
      <alignment vertical="center"/>
      <protection locked="0"/>
    </xf>
    <xf numFmtId="0" fontId="3" fillId="0" borderId="0" xfId="0" applyFont="1" applyAlignment="1" applyProtection="1">
      <alignment horizontal="left" vertical="center"/>
      <protection locked="0"/>
    </xf>
    <xf numFmtId="0" fontId="3" fillId="3" borderId="0" xfId="0" applyFont="1" applyFill="1" applyAlignment="1">
      <alignment horizontal="right" vertical="center"/>
    </xf>
    <xf numFmtId="0" fontId="3" fillId="3" borderId="16" xfId="0" applyFont="1" applyFill="1" applyBorder="1" applyAlignment="1">
      <alignment vertical="center"/>
    </xf>
    <xf numFmtId="0" fontId="3" fillId="3" borderId="5" xfId="0" applyFont="1" applyFill="1" applyBorder="1" applyAlignment="1">
      <alignment vertical="center"/>
    </xf>
    <xf numFmtId="0" fontId="3" fillId="3" borderId="15" xfId="0" applyFont="1" applyFill="1" applyBorder="1" applyAlignment="1">
      <alignment horizontal="left" vertical="center"/>
    </xf>
    <xf numFmtId="0" fontId="6" fillId="3" borderId="6" xfId="0" applyFont="1" applyFill="1" applyBorder="1" applyAlignment="1">
      <alignment horizontal="center" vertical="center"/>
    </xf>
    <xf numFmtId="14" fontId="3" fillId="3" borderId="6" xfId="0" quotePrefix="1" applyNumberFormat="1" applyFont="1" applyFill="1" applyBorder="1" applyAlignment="1">
      <alignment horizontal="center" vertical="center"/>
    </xf>
    <xf numFmtId="0" fontId="3" fillId="6" borderId="2" xfId="0" applyFont="1" applyFill="1" applyBorder="1" applyAlignment="1" applyProtection="1">
      <alignment vertical="center"/>
      <protection locked="0"/>
    </xf>
    <xf numFmtId="1" fontId="3" fillId="6" borderId="2" xfId="0" applyNumberFormat="1" applyFont="1" applyFill="1" applyBorder="1" applyAlignment="1" applyProtection="1">
      <alignment vertical="center"/>
      <protection locked="0"/>
    </xf>
    <xf numFmtId="2" fontId="3" fillId="6" borderId="2" xfId="0" applyNumberFormat="1" applyFont="1" applyFill="1" applyBorder="1" applyAlignment="1" applyProtection="1">
      <alignment vertical="center"/>
      <protection locked="0"/>
    </xf>
    <xf numFmtId="0" fontId="3" fillId="3" borderId="0" xfId="0" quotePrefix="1" applyFont="1" applyFill="1" applyAlignment="1">
      <alignment horizontal="right" vertical="center"/>
    </xf>
    <xf numFmtId="0" fontId="3" fillId="3" borderId="0" xfId="0" applyFont="1" applyFill="1" applyAlignment="1">
      <alignment horizontal="left" vertical="center"/>
    </xf>
    <xf numFmtId="1" fontId="3" fillId="3" borderId="6" xfId="0" applyNumberFormat="1" applyFont="1" applyFill="1" applyBorder="1" applyAlignment="1">
      <alignment horizontal="center" vertical="center"/>
    </xf>
    <xf numFmtId="0" fontId="3" fillId="3" borderId="7" xfId="0" applyFont="1" applyFill="1" applyBorder="1" applyAlignment="1">
      <alignment horizontal="left" vertical="center"/>
    </xf>
    <xf numFmtId="3" fontId="3" fillId="6" borderId="4" xfId="0" applyNumberFormat="1" applyFont="1" applyFill="1" applyBorder="1" applyAlignment="1" applyProtection="1">
      <alignment vertical="center"/>
      <protection locked="0"/>
    </xf>
    <xf numFmtId="37" fontId="3" fillId="3" borderId="7" xfId="0" applyNumberFormat="1" applyFont="1" applyFill="1" applyBorder="1" applyAlignment="1">
      <alignment vertical="center"/>
    </xf>
    <xf numFmtId="37" fontId="3" fillId="6" borderId="2" xfId="0" applyNumberFormat="1" applyFont="1" applyFill="1" applyBorder="1" applyAlignment="1" applyProtection="1">
      <alignment vertical="center"/>
      <protection locked="0"/>
    </xf>
    <xf numFmtId="37" fontId="3" fillId="6" borderId="7" xfId="0" applyNumberFormat="1" applyFont="1" applyFill="1" applyBorder="1" applyAlignment="1" applyProtection="1">
      <alignment vertical="center"/>
      <protection locked="0"/>
    </xf>
    <xf numFmtId="0" fontId="3" fillId="6" borderId="7" xfId="0" applyFont="1" applyFill="1" applyBorder="1" applyAlignment="1" applyProtection="1">
      <alignment horizontal="left" vertical="center"/>
      <protection locked="0"/>
    </xf>
    <xf numFmtId="0" fontId="3" fillId="3" borderId="7" xfId="0" applyFont="1" applyFill="1" applyBorder="1" applyAlignment="1">
      <alignment vertical="center"/>
    </xf>
    <xf numFmtId="3" fontId="16" fillId="8" borderId="11" xfId="0" applyNumberFormat="1" applyFont="1" applyFill="1" applyBorder="1" applyAlignment="1">
      <alignment horizontal="center" vertical="center"/>
    </xf>
    <xf numFmtId="37" fontId="4" fillId="3" borderId="7" xfId="0" applyNumberFormat="1" applyFont="1" applyFill="1" applyBorder="1" applyAlignment="1">
      <alignment horizontal="left" vertical="center"/>
    </xf>
    <xf numFmtId="0" fontId="4" fillId="3" borderId="0" xfId="0" applyFont="1" applyFill="1" applyAlignment="1">
      <alignment horizontal="left" vertical="center"/>
    </xf>
    <xf numFmtId="0" fontId="3" fillId="3" borderId="0" xfId="0" applyFont="1" applyFill="1" applyAlignment="1">
      <alignment horizontal="fill" vertical="center"/>
    </xf>
    <xf numFmtId="37" fontId="4" fillId="3" borderId="7" xfId="0" applyNumberFormat="1" applyFont="1" applyFill="1" applyBorder="1" applyAlignment="1">
      <alignment vertical="center"/>
    </xf>
    <xf numFmtId="37" fontId="3" fillId="9" borderId="2" xfId="0" applyNumberFormat="1" applyFont="1" applyFill="1" applyBorder="1" applyAlignment="1">
      <alignment vertical="center"/>
    </xf>
    <xf numFmtId="0" fontId="3" fillId="6" borderId="7" xfId="0" applyFont="1" applyFill="1" applyBorder="1" applyAlignment="1" applyProtection="1">
      <alignment vertical="center"/>
      <protection locked="0"/>
    </xf>
    <xf numFmtId="0" fontId="16" fillId="0" borderId="0" xfId="0" applyFont="1" applyAlignment="1">
      <alignment vertical="center"/>
    </xf>
    <xf numFmtId="0" fontId="17" fillId="3" borderId="0" xfId="0" applyFont="1" applyFill="1" applyAlignment="1">
      <alignment horizontal="center" vertical="center"/>
    </xf>
    <xf numFmtId="1" fontId="3" fillId="3" borderId="5" xfId="0" applyNumberFormat="1" applyFont="1" applyFill="1" applyBorder="1" applyAlignment="1">
      <alignment horizontal="center" vertical="center"/>
    </xf>
    <xf numFmtId="0" fontId="3" fillId="2" borderId="2" xfId="0" applyFont="1" applyFill="1" applyBorder="1" applyAlignment="1" applyProtection="1">
      <alignment horizontal="left" vertical="center"/>
      <protection locked="0"/>
    </xf>
    <xf numFmtId="37" fontId="3" fillId="3" borderId="0" xfId="0" applyNumberFormat="1" applyFont="1" applyFill="1" applyAlignment="1">
      <alignment horizontal="fill" vertical="center"/>
    </xf>
    <xf numFmtId="0" fontId="3" fillId="7" borderId="0" xfId="0" applyFont="1" applyFill="1" applyAlignment="1">
      <alignment horizontal="left" vertical="center"/>
    </xf>
    <xf numFmtId="37" fontId="4" fillId="9" borderId="12" xfId="0" applyNumberFormat="1" applyFont="1" applyFill="1" applyBorder="1" applyAlignment="1">
      <alignment vertical="center"/>
    </xf>
    <xf numFmtId="0" fontId="16" fillId="5" borderId="0" xfId="0" applyFont="1" applyFill="1" applyAlignment="1">
      <alignment vertical="center"/>
    </xf>
    <xf numFmtId="37" fontId="3" fillId="5" borderId="0" xfId="0" applyNumberFormat="1" applyFont="1" applyFill="1" applyAlignment="1">
      <alignment vertical="center"/>
    </xf>
    <xf numFmtId="37" fontId="3" fillId="0" borderId="0" xfId="0" applyNumberFormat="1" applyFont="1" applyAlignment="1">
      <alignment vertical="center"/>
    </xf>
    <xf numFmtId="166" fontId="3" fillId="3" borderId="0" xfId="0" applyNumberFormat="1" applyFont="1" applyFill="1" applyAlignment="1">
      <alignment vertical="center"/>
    </xf>
    <xf numFmtId="37" fontId="3" fillId="3" borderId="0" xfId="0" quotePrefix="1" applyNumberFormat="1" applyFont="1" applyFill="1" applyAlignment="1">
      <alignment horizontal="right" vertical="center"/>
    </xf>
    <xf numFmtId="3" fontId="3" fillId="3" borderId="2" xfId="1" applyNumberFormat="1" applyFont="1" applyFill="1" applyBorder="1" applyAlignment="1" applyProtection="1">
      <alignment horizontal="right" vertical="center"/>
    </xf>
    <xf numFmtId="37" fontId="3" fillId="3" borderId="15" xfId="0" applyNumberFormat="1" applyFont="1" applyFill="1" applyBorder="1" applyAlignment="1">
      <alignment horizontal="left" vertical="center"/>
    </xf>
    <xf numFmtId="3" fontId="3" fillId="3" borderId="2" xfId="0" applyNumberFormat="1" applyFont="1" applyFill="1" applyBorder="1" applyAlignment="1">
      <alignment horizontal="fill" vertical="center"/>
    </xf>
    <xf numFmtId="3" fontId="3" fillId="6" borderId="2" xfId="0" applyNumberFormat="1" applyFont="1" applyFill="1" applyBorder="1" applyAlignment="1" applyProtection="1">
      <alignment horizontal="right" vertical="center"/>
      <protection locked="0"/>
    </xf>
    <xf numFmtId="3" fontId="3" fillId="3" borderId="2" xfId="0" applyNumberFormat="1" applyFont="1" applyFill="1" applyBorder="1" applyAlignment="1">
      <alignment horizontal="right" vertical="center"/>
    </xf>
    <xf numFmtId="3" fontId="3" fillId="2" borderId="2" xfId="0" applyNumberFormat="1" applyFont="1" applyFill="1" applyBorder="1" applyAlignment="1" applyProtection="1">
      <alignment horizontal="right" vertical="center"/>
      <protection locked="0"/>
    </xf>
    <xf numFmtId="0" fontId="3" fillId="6" borderId="10" xfId="0" applyFont="1" applyFill="1" applyBorder="1" applyAlignment="1" applyProtection="1">
      <alignment horizontal="left" vertical="center"/>
      <protection locked="0"/>
    </xf>
    <xf numFmtId="3" fontId="16" fillId="8" borderId="2" xfId="0" applyNumberFormat="1" applyFont="1" applyFill="1" applyBorder="1" applyAlignment="1">
      <alignment horizontal="center" vertical="center"/>
    </xf>
    <xf numFmtId="3" fontId="3" fillId="9" borderId="2" xfId="0" applyNumberFormat="1" applyFont="1" applyFill="1" applyBorder="1" applyAlignment="1">
      <alignment vertical="center"/>
    </xf>
    <xf numFmtId="0" fontId="3" fillId="2" borderId="7" xfId="0" applyFont="1" applyFill="1" applyBorder="1" applyAlignment="1">
      <alignment horizontal="left" vertical="center"/>
    </xf>
    <xf numFmtId="0" fontId="3" fillId="2" borderId="7" xfId="0" applyFont="1" applyFill="1" applyBorder="1" applyAlignment="1">
      <alignment vertical="center"/>
    </xf>
    <xf numFmtId="0" fontId="3" fillId="3" borderId="0" xfId="0" applyFont="1" applyFill="1" applyAlignment="1" applyProtection="1">
      <alignment horizontal="center" vertical="center"/>
      <protection locked="0"/>
    </xf>
    <xf numFmtId="37" fontId="3" fillId="2" borderId="7" xfId="0" applyNumberFormat="1" applyFont="1" applyFill="1" applyBorder="1" applyAlignment="1">
      <alignment vertical="center"/>
    </xf>
    <xf numFmtId="0" fontId="23" fillId="3" borderId="0" xfId="0" applyFont="1" applyFill="1" applyAlignment="1">
      <alignment horizontal="center" vertical="center"/>
    </xf>
    <xf numFmtId="0" fontId="3" fillId="3" borderId="4" xfId="0" applyFont="1" applyFill="1" applyBorder="1" applyAlignment="1">
      <alignment horizontal="center" vertical="center"/>
    </xf>
    <xf numFmtId="0" fontId="14" fillId="3" borderId="5" xfId="0" applyFont="1" applyFill="1" applyBorder="1" applyAlignment="1">
      <alignment vertical="center"/>
    </xf>
    <xf numFmtId="0" fontId="14" fillId="3" borderId="4" xfId="0" applyFont="1" applyFill="1" applyBorder="1" applyAlignment="1">
      <alignment horizontal="center" vertical="center"/>
    </xf>
    <xf numFmtId="0" fontId="14" fillId="3" borderId="11" xfId="0" applyFont="1" applyFill="1" applyBorder="1" applyAlignment="1">
      <alignment vertical="center"/>
    </xf>
    <xf numFmtId="0" fontId="14" fillId="3" borderId="2" xfId="0" applyFont="1" applyFill="1" applyBorder="1" applyAlignment="1">
      <alignment horizontal="center" vertical="center"/>
    </xf>
    <xf numFmtId="0" fontId="14" fillId="3" borderId="15" xfId="0" applyFont="1" applyFill="1" applyBorder="1" applyAlignment="1">
      <alignment vertical="center"/>
    </xf>
    <xf numFmtId="3" fontId="14" fillId="2" borderId="2" xfId="0" applyNumberFormat="1" applyFont="1" applyFill="1" applyBorder="1" applyAlignment="1" applyProtection="1">
      <alignment horizontal="center" vertical="center"/>
      <protection locked="0"/>
    </xf>
    <xf numFmtId="0" fontId="14" fillId="3" borderId="1" xfId="0" applyFont="1" applyFill="1" applyBorder="1" applyAlignment="1">
      <alignment vertical="center"/>
    </xf>
    <xf numFmtId="3" fontId="14" fillId="7" borderId="2" xfId="0" applyNumberFormat="1" applyFont="1" applyFill="1" applyBorder="1" applyAlignment="1">
      <alignment horizontal="center" vertical="center"/>
    </xf>
    <xf numFmtId="0" fontId="14" fillId="3" borderId="0" xfId="0" applyFont="1" applyFill="1" applyAlignment="1">
      <alignment vertical="center"/>
    </xf>
    <xf numFmtId="3" fontId="14" fillId="3" borderId="0" xfId="0" applyNumberFormat="1" applyFont="1" applyFill="1" applyAlignment="1">
      <alignment horizontal="center" vertical="center"/>
    </xf>
    <xf numFmtId="0" fontId="14" fillId="3" borderId="0" xfId="0" applyFont="1" applyFill="1" applyAlignment="1">
      <alignment horizontal="center" vertical="center"/>
    </xf>
    <xf numFmtId="0" fontId="14" fillId="2" borderId="2" xfId="0" applyFont="1" applyFill="1" applyBorder="1" applyAlignment="1" applyProtection="1">
      <alignment vertical="center"/>
      <protection locked="0"/>
    </xf>
    <xf numFmtId="0" fontId="14" fillId="2" borderId="11" xfId="0" applyFont="1" applyFill="1" applyBorder="1" applyAlignment="1" applyProtection="1">
      <alignment vertical="center"/>
      <protection locked="0"/>
    </xf>
    <xf numFmtId="0" fontId="14" fillId="2" borderId="0" xfId="0" applyFont="1" applyFill="1" applyAlignment="1" applyProtection="1">
      <alignment vertical="center"/>
      <protection locked="0"/>
    </xf>
    <xf numFmtId="0" fontId="14" fillId="2" borderId="4" xfId="0" applyFont="1" applyFill="1" applyBorder="1" applyAlignment="1" applyProtection="1">
      <alignment vertical="center"/>
      <protection locked="0"/>
    </xf>
    <xf numFmtId="0" fontId="14" fillId="2" borderId="6" xfId="0" applyFont="1" applyFill="1" applyBorder="1" applyAlignment="1" applyProtection="1">
      <alignment vertical="center"/>
      <protection locked="0"/>
    </xf>
    <xf numFmtId="0" fontId="14" fillId="2" borderId="13" xfId="0" applyFont="1" applyFill="1" applyBorder="1" applyAlignment="1" applyProtection="1">
      <alignment vertical="center"/>
      <protection locked="0"/>
    </xf>
    <xf numFmtId="3" fontId="14" fillId="3" borderId="2" xfId="0" applyNumberFormat="1" applyFont="1" applyFill="1" applyBorder="1" applyAlignment="1">
      <alignment horizontal="center" vertical="center"/>
    </xf>
    <xf numFmtId="3" fontId="19" fillId="9" borderId="2" xfId="0" applyNumberFormat="1" applyFont="1" applyFill="1" applyBorder="1" applyAlignment="1">
      <alignment horizontal="center" vertical="center"/>
    </xf>
    <xf numFmtId="3" fontId="3" fillId="0" borderId="0" xfId="0" applyNumberFormat="1" applyFont="1" applyAlignment="1">
      <alignment vertical="center"/>
    </xf>
    <xf numFmtId="3" fontId="19" fillId="7" borderId="2" xfId="0" applyNumberFormat="1" applyFont="1" applyFill="1" applyBorder="1" applyAlignment="1">
      <alignment horizontal="center" vertical="center"/>
    </xf>
    <xf numFmtId="0" fontId="3" fillId="0" borderId="0" xfId="0" applyFont="1" applyAlignment="1">
      <alignment horizontal="centerContinuous" vertical="center"/>
    </xf>
    <xf numFmtId="164" fontId="3" fillId="3" borderId="2" xfId="0" applyNumberFormat="1" applyFont="1" applyFill="1" applyBorder="1" applyAlignment="1">
      <alignment vertical="center"/>
    </xf>
    <xf numFmtId="1" fontId="3" fillId="3" borderId="0" xfId="0" applyNumberFormat="1" applyFont="1" applyFill="1" applyAlignment="1">
      <alignment vertical="center"/>
    </xf>
    <xf numFmtId="1" fontId="5" fillId="3" borderId="0" xfId="0" applyNumberFormat="1" applyFont="1" applyFill="1" applyAlignment="1">
      <alignment horizontal="center" vertical="center"/>
    </xf>
    <xf numFmtId="37" fontId="3" fillId="3" borderId="12" xfId="0" applyNumberFormat="1" applyFont="1" applyFill="1" applyBorder="1" applyAlignment="1">
      <alignment vertical="center"/>
    </xf>
    <xf numFmtId="0" fontId="3" fillId="3" borderId="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2" xfId="0" applyFont="1" applyFill="1" applyBorder="1" applyAlignment="1">
      <alignment horizontal="center" vertical="center" wrapText="1"/>
    </xf>
    <xf numFmtId="3" fontId="3" fillId="2" borderId="2" xfId="0" applyNumberFormat="1" applyFont="1" applyFill="1" applyBorder="1" applyAlignment="1" applyProtection="1">
      <alignment horizontal="center" vertical="center"/>
      <protection locked="0"/>
    </xf>
    <xf numFmtId="172" fontId="3" fillId="3" borderId="2" xfId="0" applyNumberFormat="1" applyFont="1" applyFill="1" applyBorder="1" applyAlignment="1">
      <alignment horizontal="center" vertical="center"/>
    </xf>
    <xf numFmtId="3" fontId="3" fillId="2" borderId="5" xfId="0" applyNumberFormat="1" applyFont="1" applyFill="1" applyBorder="1" applyAlignment="1" applyProtection="1">
      <alignment horizontal="center" vertical="center"/>
      <protection locked="0"/>
    </xf>
    <xf numFmtId="3" fontId="3" fillId="3" borderId="12" xfId="0" applyNumberFormat="1" applyFont="1" applyFill="1" applyBorder="1" applyAlignment="1">
      <alignment horizontal="center" vertical="center"/>
    </xf>
    <xf numFmtId="172" fontId="3" fillId="3" borderId="12" xfId="0" applyNumberFormat="1" applyFont="1" applyFill="1" applyBorder="1" applyAlignment="1">
      <alignment horizontal="center" vertical="center"/>
    </xf>
    <xf numFmtId="3" fontId="3" fillId="3" borderId="1" xfId="0" applyNumberFormat="1" applyFont="1" applyFill="1" applyBorder="1" applyAlignment="1">
      <alignment horizontal="center" vertical="center"/>
    </xf>
    <xf numFmtId="172" fontId="3" fillId="3" borderId="1" xfId="0" applyNumberFormat="1" applyFont="1" applyFill="1" applyBorder="1" applyAlignment="1">
      <alignment horizontal="center" vertical="center"/>
    </xf>
    <xf numFmtId="172" fontId="3" fillId="3" borderId="0" xfId="0" applyNumberFormat="1" applyFont="1" applyFill="1" applyAlignment="1">
      <alignment horizontal="center" vertical="center"/>
    </xf>
    <xf numFmtId="0" fontId="0" fillId="3" borderId="0" xfId="0" applyFill="1" applyAlignment="1">
      <alignment horizontal="center" vertical="center"/>
    </xf>
    <xf numFmtId="171" fontId="3" fillId="3" borderId="0" xfId="0" applyNumberFormat="1" applyFont="1" applyFill="1" applyAlignment="1">
      <alignment vertical="center"/>
    </xf>
    <xf numFmtId="0" fontId="24" fillId="0" borderId="0" xfId="0" applyFont="1" applyAlignment="1">
      <alignment horizontal="center" vertical="center"/>
    </xf>
    <xf numFmtId="0" fontId="4" fillId="0" borderId="0" xfId="0" applyFont="1" applyAlignment="1">
      <alignment vertical="center" wrapText="1"/>
    </xf>
    <xf numFmtId="3" fontId="29" fillId="9" borderId="0" xfId="0" applyNumberFormat="1" applyFont="1" applyFill="1" applyAlignment="1">
      <alignment horizontal="center" vertical="center"/>
    </xf>
    <xf numFmtId="0" fontId="18" fillId="0" borderId="0" xfId="0" applyFont="1" applyAlignment="1">
      <alignment horizontal="center"/>
    </xf>
    <xf numFmtId="0" fontId="2" fillId="0" borderId="0" xfId="0" applyFont="1"/>
    <xf numFmtId="0" fontId="34" fillId="0" borderId="0" xfId="0" applyFont="1"/>
    <xf numFmtId="0" fontId="43" fillId="3" borderId="0" xfId="0" applyFont="1" applyFill="1" applyAlignment="1" applyProtection="1">
      <alignment horizontal="right" vertical="center"/>
      <protection locked="0"/>
    </xf>
    <xf numFmtId="0" fontId="6" fillId="3" borderId="0" xfId="0" applyFont="1" applyFill="1" applyAlignment="1" applyProtection="1">
      <alignment horizontal="left" vertical="center"/>
      <protection locked="0"/>
    </xf>
    <xf numFmtId="3" fontId="14" fillId="7" borderId="6" xfId="0" applyNumberFormat="1" applyFont="1" applyFill="1" applyBorder="1" applyAlignment="1">
      <alignment horizontal="center" vertical="center"/>
    </xf>
    <xf numFmtId="14" fontId="3" fillId="6" borderId="2" xfId="0" applyNumberFormat="1" applyFont="1" applyFill="1" applyBorder="1" applyAlignment="1" applyProtection="1">
      <alignment vertical="center"/>
      <protection locked="0"/>
    </xf>
    <xf numFmtId="14" fontId="3" fillId="6" borderId="2" xfId="0" applyNumberFormat="1" applyFont="1" applyFill="1" applyBorder="1" applyAlignment="1" applyProtection="1">
      <alignment horizontal="center" vertical="center"/>
      <protection locked="0"/>
    </xf>
    <xf numFmtId="37" fontId="3" fillId="12" borderId="2" xfId="0" applyNumberFormat="1" applyFont="1" applyFill="1" applyBorder="1" applyAlignment="1" applyProtection="1">
      <alignment vertical="center"/>
      <protection locked="0"/>
    </xf>
    <xf numFmtId="3" fontId="3" fillId="6" borderId="7" xfId="0" applyNumberFormat="1" applyFont="1" applyFill="1" applyBorder="1" applyAlignment="1" applyProtection="1">
      <alignment vertical="center"/>
      <protection locked="0"/>
    </xf>
    <xf numFmtId="3" fontId="16" fillId="8" borderId="7" xfId="0" applyNumberFormat="1" applyFont="1" applyFill="1" applyBorder="1" applyAlignment="1">
      <alignment horizontal="center" vertical="center"/>
    </xf>
    <xf numFmtId="0" fontId="3" fillId="3" borderId="15" xfId="0" applyFont="1" applyFill="1" applyBorder="1" applyAlignment="1">
      <alignment horizontal="center" vertical="center"/>
    </xf>
    <xf numFmtId="3" fontId="3" fillId="3" borderId="7" xfId="0" applyNumberFormat="1" applyFont="1" applyFill="1" applyBorder="1" applyAlignment="1">
      <alignment vertical="center"/>
    </xf>
    <xf numFmtId="3" fontId="3" fillId="3" borderId="7" xfId="0" applyNumberFormat="1" applyFont="1" applyFill="1" applyBorder="1" applyAlignment="1" applyProtection="1">
      <alignment horizontal="right" vertical="center"/>
      <protection locked="0"/>
    </xf>
    <xf numFmtId="3" fontId="3" fillId="6" borderId="7" xfId="0" applyNumberFormat="1" applyFont="1" applyFill="1" applyBorder="1" applyAlignment="1" applyProtection="1">
      <alignment horizontal="right" vertical="center"/>
      <protection locked="0"/>
    </xf>
    <xf numFmtId="3" fontId="3" fillId="3" borderId="7" xfId="0" applyNumberFormat="1" applyFont="1" applyFill="1" applyBorder="1" applyAlignment="1">
      <alignment horizontal="right" vertical="center"/>
    </xf>
    <xf numFmtId="3" fontId="3" fillId="3" borderId="7" xfId="1" applyNumberFormat="1" applyFont="1" applyFill="1" applyBorder="1" applyAlignment="1" applyProtection="1">
      <alignment horizontal="right" vertical="center"/>
    </xf>
    <xf numFmtId="49" fontId="3" fillId="2" borderId="2" xfId="0" applyNumberFormat="1" applyFont="1" applyFill="1" applyBorder="1" applyAlignment="1" applyProtection="1">
      <alignment horizontal="center" vertical="center"/>
      <protection locked="0"/>
    </xf>
    <xf numFmtId="0" fontId="39" fillId="0" borderId="0" xfId="0" applyFont="1" applyAlignment="1">
      <alignment vertical="center"/>
    </xf>
    <xf numFmtId="0" fontId="11" fillId="9" borderId="1" xfId="42" applyFont="1" applyFill="1" applyBorder="1" applyAlignment="1">
      <alignment vertical="center"/>
    </xf>
    <xf numFmtId="0" fontId="11" fillId="3" borderId="16" xfId="42" applyFont="1" applyFill="1" applyBorder="1" applyAlignment="1">
      <alignment vertical="center"/>
    </xf>
    <xf numFmtId="0" fontId="3" fillId="9" borderId="8" xfId="42" applyFont="1" applyFill="1" applyBorder="1" applyAlignment="1">
      <alignment vertical="center"/>
    </xf>
    <xf numFmtId="0" fontId="11" fillId="9" borderId="8" xfId="42" applyFont="1" applyFill="1" applyBorder="1" applyAlignment="1">
      <alignment vertical="center"/>
    </xf>
    <xf numFmtId="3" fontId="16" fillId="2" borderId="2" xfId="0" applyNumberFormat="1" applyFont="1" applyFill="1" applyBorder="1" applyAlignment="1">
      <alignment horizontal="center" vertical="center"/>
    </xf>
    <xf numFmtId="3" fontId="16" fillId="8" borderId="5" xfId="0" applyNumberFormat="1" applyFont="1" applyFill="1" applyBorder="1" applyAlignment="1">
      <alignment horizontal="center" vertical="center"/>
    </xf>
    <xf numFmtId="0" fontId="4" fillId="3" borderId="8" xfId="0" applyFont="1" applyFill="1" applyBorder="1" applyAlignment="1">
      <alignment vertical="center"/>
    </xf>
    <xf numFmtId="0" fontId="4" fillId="3" borderId="1" xfId="0" applyFont="1" applyFill="1" applyBorder="1" applyAlignment="1">
      <alignment vertical="center"/>
    </xf>
    <xf numFmtId="37" fontId="4" fillId="3" borderId="1" xfId="0" applyNumberFormat="1" applyFont="1" applyFill="1" applyBorder="1" applyAlignment="1">
      <alignment vertical="center"/>
    </xf>
    <xf numFmtId="37" fontId="4" fillId="3" borderId="0" xfId="0" applyNumberFormat="1" applyFont="1" applyFill="1" applyAlignment="1">
      <alignment vertical="center"/>
    </xf>
    <xf numFmtId="3" fontId="3" fillId="9" borderId="7" xfId="0" applyNumberFormat="1" applyFont="1" applyFill="1" applyBorder="1" applyAlignment="1">
      <alignment vertical="center"/>
    </xf>
    <xf numFmtId="0" fontId="26" fillId="0" borderId="0" xfId="0" applyFont="1"/>
    <xf numFmtId="0" fontId="25" fillId="0" borderId="0" xfId="0" applyFont="1" applyAlignment="1">
      <alignment wrapText="1"/>
    </xf>
    <xf numFmtId="0" fontId="0" fillId="0" borderId="0" xfId="0" applyAlignment="1">
      <alignment vertical="center" wrapText="1"/>
    </xf>
    <xf numFmtId="0" fontId="4" fillId="0" borderId="0" xfId="0" applyFont="1" applyAlignment="1">
      <alignment wrapText="1"/>
    </xf>
    <xf numFmtId="0" fontId="10" fillId="0" borderId="0" xfId="0" applyFont="1" applyAlignment="1">
      <alignment wrapText="1"/>
    </xf>
    <xf numFmtId="0" fontId="30" fillId="0" borderId="0" xfId="0" applyFont="1" applyAlignment="1">
      <alignment vertical="center"/>
    </xf>
    <xf numFmtId="0" fontId="31" fillId="0" borderId="0" xfId="0" applyFont="1" applyAlignment="1">
      <alignment horizontal="center"/>
    </xf>
    <xf numFmtId="0" fontId="12" fillId="9" borderId="1" xfId="42" applyFont="1" applyFill="1" applyBorder="1" applyAlignment="1">
      <alignment vertical="center"/>
    </xf>
    <xf numFmtId="173" fontId="12" fillId="9" borderId="15" xfId="42" applyNumberFormat="1" applyFont="1" applyFill="1" applyBorder="1" applyAlignment="1">
      <alignment horizontal="center" vertical="center"/>
    </xf>
    <xf numFmtId="173" fontId="11" fillId="3" borderId="16" xfId="42" applyNumberFormat="1" applyFont="1" applyFill="1" applyBorder="1" applyAlignment="1">
      <alignment vertical="center"/>
    </xf>
    <xf numFmtId="173" fontId="11" fillId="3" borderId="15" xfId="42" applyNumberFormat="1" applyFont="1" applyFill="1" applyBorder="1" applyAlignment="1">
      <alignment horizontal="center" vertical="center"/>
    </xf>
    <xf numFmtId="0" fontId="11" fillId="3" borderId="0" xfId="42" applyFont="1" applyFill="1" applyAlignment="1">
      <alignment vertical="center"/>
    </xf>
    <xf numFmtId="0" fontId="11" fillId="3" borderId="13" xfId="42" applyFont="1" applyFill="1" applyBorder="1" applyAlignment="1">
      <alignment vertical="center"/>
    </xf>
    <xf numFmtId="0" fontId="11" fillId="3" borderId="0" xfId="42" applyFont="1" applyFill="1" applyAlignment="1">
      <alignment horizontal="left" vertical="center"/>
    </xf>
    <xf numFmtId="173" fontId="11" fillId="3" borderId="16" xfId="42" applyNumberFormat="1" applyFont="1" applyFill="1" applyBorder="1" applyAlignment="1">
      <alignment horizontal="center" vertical="center"/>
    </xf>
    <xf numFmtId="0" fontId="3" fillId="3" borderId="0" xfId="66" applyFont="1" applyFill="1" applyAlignment="1">
      <alignment horizontal="right" vertical="center"/>
    </xf>
    <xf numFmtId="0" fontId="44" fillId="3" borderId="0" xfId="0" applyFont="1" applyFill="1" applyAlignment="1">
      <alignment horizontal="center" vertical="center"/>
    </xf>
    <xf numFmtId="37" fontId="3" fillId="3" borderId="6" xfId="0" applyNumberFormat="1" applyFont="1" applyFill="1" applyBorder="1" applyAlignment="1">
      <alignment horizontal="fill" vertical="center"/>
    </xf>
    <xf numFmtId="0" fontId="2" fillId="0" borderId="0" xfId="42"/>
    <xf numFmtId="0" fontId="3" fillId="3" borderId="0" xfId="42" applyFont="1" applyFill="1" applyAlignment="1">
      <alignment vertical="center"/>
    </xf>
    <xf numFmtId="0" fontId="3" fillId="3" borderId="16" xfId="42" applyFont="1" applyFill="1" applyBorder="1" applyAlignment="1">
      <alignment vertical="center"/>
    </xf>
    <xf numFmtId="0" fontId="3" fillId="3" borderId="13" xfId="42" applyFont="1" applyFill="1" applyBorder="1" applyAlignment="1">
      <alignment vertical="center"/>
    </xf>
    <xf numFmtId="0" fontId="11" fillId="13" borderId="16" xfId="62" applyFont="1" applyFill="1" applyBorder="1"/>
    <xf numFmtId="0" fontId="3" fillId="13" borderId="0" xfId="62" applyFont="1" applyFill="1"/>
    <xf numFmtId="173" fontId="3" fillId="13" borderId="13" xfId="62" applyNumberFormat="1" applyFont="1" applyFill="1" applyBorder="1" applyAlignment="1">
      <alignment horizontal="center"/>
    </xf>
    <xf numFmtId="0" fontId="3" fillId="13" borderId="15" xfId="62" applyFont="1" applyFill="1" applyBorder="1"/>
    <xf numFmtId="0" fontId="3" fillId="13" borderId="1" xfId="62" applyFont="1" applyFill="1" applyBorder="1"/>
    <xf numFmtId="173" fontId="3" fillId="14" borderId="8" xfId="62" applyNumberFormat="1" applyFont="1" applyFill="1" applyBorder="1" applyAlignment="1">
      <alignment horizontal="center"/>
    </xf>
    <xf numFmtId="0" fontId="3" fillId="0" borderId="0" xfId="62" applyFont="1"/>
    <xf numFmtId="0" fontId="3" fillId="13" borderId="16" xfId="62" applyFont="1" applyFill="1" applyBorder="1"/>
    <xf numFmtId="0" fontId="3" fillId="13" borderId="13" xfId="62" applyFont="1" applyFill="1" applyBorder="1"/>
    <xf numFmtId="171" fontId="3" fillId="13" borderId="13" xfId="62" applyNumberFormat="1" applyFont="1" applyFill="1" applyBorder="1" applyAlignment="1">
      <alignment horizontal="center"/>
    </xf>
    <xf numFmtId="0" fontId="3" fillId="14" borderId="16" xfId="62" applyFont="1" applyFill="1" applyBorder="1"/>
    <xf numFmtId="0" fontId="3" fillId="14" borderId="0" xfId="62" applyFont="1" applyFill="1"/>
    <xf numFmtId="0" fontId="3" fillId="14" borderId="15" xfId="62" applyFont="1" applyFill="1" applyBorder="1"/>
    <xf numFmtId="0" fontId="3" fillId="14" borderId="1" xfId="62" applyFont="1" applyFill="1" applyBorder="1"/>
    <xf numFmtId="173" fontId="3" fillId="13" borderId="8" xfId="62" applyNumberFormat="1" applyFont="1" applyFill="1" applyBorder="1" applyAlignment="1">
      <alignment horizontal="center"/>
    </xf>
    <xf numFmtId="172" fontId="3" fillId="12" borderId="13" xfId="62" applyNumberFormat="1" applyFont="1" applyFill="1" applyBorder="1" applyAlignment="1" applyProtection="1">
      <alignment horizontal="center"/>
      <protection locked="0"/>
    </xf>
    <xf numFmtId="0" fontId="26" fillId="0" borderId="0" xfId="0" applyFont="1" applyAlignment="1">
      <alignment vertical="center"/>
    </xf>
    <xf numFmtId="0" fontId="3" fillId="0" borderId="0" xfId="66" applyFont="1" applyAlignment="1">
      <alignment vertical="center" wrapText="1"/>
    </xf>
    <xf numFmtId="173" fontId="3" fillId="14" borderId="13" xfId="62" applyNumberFormat="1" applyFont="1" applyFill="1" applyBorder="1" applyAlignment="1">
      <alignment horizontal="center"/>
    </xf>
    <xf numFmtId="0" fontId="3" fillId="14" borderId="15" xfId="0" applyFont="1" applyFill="1" applyBorder="1" applyAlignment="1">
      <alignment vertical="center"/>
    </xf>
    <xf numFmtId="0" fontId="3" fillId="14" borderId="1" xfId="0" applyFont="1" applyFill="1" applyBorder="1" applyAlignment="1">
      <alignment vertical="center"/>
    </xf>
    <xf numFmtId="173" fontId="3" fillId="14" borderId="8" xfId="0" applyNumberFormat="1" applyFont="1" applyFill="1" applyBorder="1" applyAlignment="1">
      <alignment horizontal="center" vertical="center"/>
    </xf>
    <xf numFmtId="0" fontId="3" fillId="3" borderId="16" xfId="0" applyFont="1" applyFill="1" applyBorder="1" applyAlignment="1">
      <alignment horizontal="center" vertical="center"/>
    </xf>
    <xf numFmtId="0" fontId="3" fillId="0" borderId="0" xfId="485" applyFont="1" applyAlignment="1">
      <alignment horizontal="left" vertical="center"/>
    </xf>
    <xf numFmtId="10" fontId="3" fillId="6" borderId="2" xfId="0" applyNumberFormat="1" applyFont="1" applyFill="1" applyBorder="1" applyAlignment="1" applyProtection="1">
      <alignment vertical="center"/>
      <protection locked="0"/>
    </xf>
    <xf numFmtId="175" fontId="3" fillId="3" borderId="0" xfId="0" applyNumberFormat="1" applyFont="1" applyFill="1" applyAlignment="1">
      <alignment horizontal="center" vertical="center"/>
    </xf>
    <xf numFmtId="0" fontId="11" fillId="13" borderId="16" xfId="0" applyFont="1" applyFill="1" applyBorder="1" applyAlignment="1">
      <alignment vertical="center"/>
    </xf>
    <xf numFmtId="0" fontId="3" fillId="13" borderId="0" xfId="0" applyFont="1" applyFill="1" applyAlignment="1">
      <alignment vertical="center"/>
    </xf>
    <xf numFmtId="0" fontId="11" fillId="13" borderId="0" xfId="0" applyFont="1" applyFill="1" applyAlignment="1">
      <alignment vertical="center"/>
    </xf>
    <xf numFmtId="173" fontId="11" fillId="13" borderId="13" xfId="0" applyNumberFormat="1" applyFont="1" applyFill="1" applyBorder="1" applyAlignment="1">
      <alignment horizontal="center" vertical="center"/>
    </xf>
    <xf numFmtId="0" fontId="11" fillId="13" borderId="16" xfId="0" applyFont="1" applyFill="1" applyBorder="1" applyAlignment="1">
      <alignment horizontal="left" vertical="center"/>
    </xf>
    <xf numFmtId="173" fontId="11" fillId="12" borderId="2" xfId="0" applyNumberFormat="1" applyFont="1" applyFill="1" applyBorder="1" applyAlignment="1" applyProtection="1">
      <alignment horizontal="center" vertical="center"/>
      <protection locked="0"/>
    </xf>
    <xf numFmtId="172" fontId="12" fillId="13" borderId="4" xfId="0" applyNumberFormat="1" applyFont="1" applyFill="1" applyBorder="1" applyAlignment="1">
      <alignment horizontal="center" vertical="center"/>
    </xf>
    <xf numFmtId="0" fontId="12" fillId="14" borderId="16" xfId="0" applyFont="1" applyFill="1" applyBorder="1" applyAlignment="1">
      <alignment vertical="center"/>
    </xf>
    <xf numFmtId="0" fontId="3" fillId="14" borderId="0" xfId="0" applyFont="1" applyFill="1" applyAlignment="1">
      <alignment vertical="center"/>
    </xf>
    <xf numFmtId="0" fontId="11" fillId="14" borderId="0" xfId="0" applyFont="1" applyFill="1" applyAlignment="1">
      <alignment vertical="center"/>
    </xf>
    <xf numFmtId="173" fontId="12" fillId="14" borderId="4" xfId="0" applyNumberFormat="1" applyFont="1" applyFill="1" applyBorder="1" applyAlignment="1">
      <alignment horizontal="center" vertical="center"/>
    </xf>
    <xf numFmtId="37" fontId="11" fillId="3" borderId="15" xfId="0" applyNumberFormat="1" applyFont="1" applyFill="1" applyBorder="1" applyAlignment="1">
      <alignment horizontal="left" vertical="center"/>
    </xf>
    <xf numFmtId="0" fontId="13" fillId="13" borderId="1" xfId="0" applyFont="1" applyFill="1" applyBorder="1" applyAlignment="1">
      <alignment horizontal="left" vertical="center"/>
    </xf>
    <xf numFmtId="173" fontId="12" fillId="14" borderId="8" xfId="0" applyNumberFormat="1" applyFont="1" applyFill="1" applyBorder="1" applyAlignment="1" applyProtection="1">
      <alignment horizontal="center" vertical="center"/>
      <protection locked="0"/>
    </xf>
    <xf numFmtId="0" fontId="3" fillId="3" borderId="13" xfId="0" applyFont="1" applyFill="1" applyBorder="1" applyAlignment="1">
      <alignment vertical="center"/>
    </xf>
    <xf numFmtId="0" fontId="3" fillId="13" borderId="13" xfId="0" applyFont="1" applyFill="1" applyBorder="1" applyAlignment="1" applyProtection="1">
      <alignment vertical="center"/>
      <protection locked="0"/>
    </xf>
    <xf numFmtId="0" fontId="45" fillId="0" borderId="0" xfId="0" applyFont="1" applyProtection="1">
      <protection locked="0"/>
    </xf>
    <xf numFmtId="0" fontId="3" fillId="14" borderId="8" xfId="0" applyFont="1" applyFill="1" applyBorder="1" applyAlignment="1" applyProtection="1">
      <alignment vertical="center"/>
      <protection locked="0"/>
    </xf>
    <xf numFmtId="0" fontId="11" fillId="13" borderId="0" xfId="0" applyFont="1" applyFill="1" applyAlignment="1">
      <alignment horizontal="left" vertical="center"/>
    </xf>
    <xf numFmtId="37" fontId="3" fillId="3" borderId="13" xfId="0" applyNumberFormat="1" applyFont="1" applyFill="1" applyBorder="1" applyAlignment="1">
      <alignment horizontal="right" vertical="center"/>
    </xf>
    <xf numFmtId="173" fontId="11" fillId="13" borderId="16" xfId="0" applyNumberFormat="1" applyFont="1" applyFill="1" applyBorder="1" applyAlignment="1">
      <alignment horizontal="center" vertical="center"/>
    </xf>
    <xf numFmtId="0" fontId="11" fillId="13" borderId="13" xfId="0" applyFont="1" applyFill="1" applyBorder="1" applyAlignment="1">
      <alignment vertical="center"/>
    </xf>
    <xf numFmtId="173" fontId="11" fillId="13" borderId="15" xfId="0" applyNumberFormat="1" applyFont="1" applyFill="1" applyBorder="1" applyAlignment="1">
      <alignment horizontal="center" vertical="center"/>
    </xf>
    <xf numFmtId="173" fontId="11" fillId="13" borderId="16" xfId="0" applyNumberFormat="1" applyFont="1" applyFill="1" applyBorder="1" applyAlignment="1">
      <alignment vertical="center"/>
    </xf>
    <xf numFmtId="0" fontId="3" fillId="13" borderId="13" xfId="0" applyFont="1" applyFill="1" applyBorder="1" applyProtection="1">
      <protection locked="0"/>
    </xf>
    <xf numFmtId="173" fontId="11" fillId="14" borderId="15" xfId="0" applyNumberFormat="1" applyFont="1" applyFill="1" applyBorder="1" applyAlignment="1">
      <alignment horizontal="center" vertical="center"/>
    </xf>
    <xf numFmtId="0" fontId="11" fillId="14" borderId="1" xfId="0" applyFont="1" applyFill="1" applyBorder="1" applyAlignment="1">
      <alignment vertical="center"/>
    </xf>
    <xf numFmtId="0" fontId="11" fillId="14" borderId="8" xfId="0" applyFont="1" applyFill="1" applyBorder="1" applyAlignment="1">
      <alignment vertical="center"/>
    </xf>
    <xf numFmtId="37" fontId="3" fillId="14" borderId="8" xfId="0" applyNumberFormat="1" applyFont="1" applyFill="1" applyBorder="1" applyAlignment="1">
      <alignment horizontal="right" vertical="center"/>
    </xf>
    <xf numFmtId="0" fontId="3" fillId="13" borderId="16" xfId="0" applyFont="1" applyFill="1" applyBorder="1" applyAlignment="1">
      <alignment vertical="center"/>
    </xf>
    <xf numFmtId="173" fontId="14" fillId="13" borderId="16" xfId="0" applyNumberFormat="1" applyFont="1" applyFill="1" applyBorder="1" applyAlignment="1">
      <alignment horizontal="center" vertical="center"/>
    </xf>
    <xf numFmtId="0" fontId="3" fillId="13" borderId="13" xfId="0" applyFont="1" applyFill="1" applyBorder="1" applyAlignment="1">
      <alignment vertical="center"/>
    </xf>
    <xf numFmtId="173" fontId="14" fillId="13" borderId="16" xfId="0" applyNumberFormat="1" applyFont="1" applyFill="1" applyBorder="1" applyAlignment="1">
      <alignment vertical="center"/>
    </xf>
    <xf numFmtId="0" fontId="14" fillId="13" borderId="0" xfId="0" applyFont="1" applyFill="1" applyAlignment="1">
      <alignment vertical="center"/>
    </xf>
    <xf numFmtId="173" fontId="14" fillId="13" borderId="15" xfId="0" applyNumberFormat="1" applyFont="1" applyFill="1" applyBorder="1" applyAlignment="1">
      <alignment horizontal="center" vertical="center"/>
    </xf>
    <xf numFmtId="173" fontId="14" fillId="14" borderId="15" xfId="0" applyNumberFormat="1" applyFont="1" applyFill="1" applyBorder="1" applyAlignment="1">
      <alignment horizontal="center" vertical="center"/>
    </xf>
    <xf numFmtId="0" fontId="3" fillId="14" borderId="8" xfId="0" applyFont="1" applyFill="1" applyBorder="1" applyAlignment="1">
      <alignment vertical="center"/>
    </xf>
    <xf numFmtId="0" fontId="3" fillId="14" borderId="8" xfId="0" applyFont="1" applyFill="1" applyBorder="1" applyProtection="1">
      <protection locked="0"/>
    </xf>
    <xf numFmtId="173" fontId="11" fillId="14" borderId="15" xfId="42" applyNumberFormat="1" applyFont="1" applyFill="1" applyBorder="1" applyAlignment="1">
      <alignment horizontal="center" vertical="center"/>
    </xf>
    <xf numFmtId="175" fontId="3" fillId="6" borderId="2" xfId="0" applyNumberFormat="1" applyFont="1" applyFill="1" applyBorder="1" applyAlignment="1" applyProtection="1">
      <alignment vertical="center"/>
      <protection locked="0"/>
    </xf>
    <xf numFmtId="0" fontId="4" fillId="3" borderId="0" xfId="42" applyFont="1" applyFill="1" applyAlignment="1">
      <alignment vertical="center"/>
    </xf>
    <xf numFmtId="1" fontId="3" fillId="3" borderId="10" xfId="0" applyNumberFormat="1" applyFont="1" applyFill="1" applyBorder="1" applyAlignment="1">
      <alignment horizontal="center" vertical="center"/>
    </xf>
    <xf numFmtId="37" fontId="3" fillId="3" borderId="10" xfId="0" applyNumberFormat="1" applyFont="1" applyFill="1" applyBorder="1" applyAlignment="1">
      <alignment horizontal="center" vertical="center"/>
    </xf>
    <xf numFmtId="0" fontId="21" fillId="3" borderId="0" xfId="0" applyFont="1" applyFill="1" applyAlignment="1">
      <alignment horizontal="center" vertical="center"/>
    </xf>
    <xf numFmtId="171" fontId="3" fillId="3" borderId="2" xfId="0" applyNumberFormat="1" applyFont="1" applyFill="1" applyBorder="1" applyAlignment="1">
      <alignment horizontal="right" vertical="center"/>
    </xf>
    <xf numFmtId="0" fontId="3" fillId="0" borderId="0" xfId="0" applyFont="1" applyAlignment="1">
      <alignment wrapText="1"/>
    </xf>
    <xf numFmtId="3" fontId="3" fillId="3" borderId="5" xfId="0" applyNumberFormat="1" applyFont="1" applyFill="1" applyBorder="1" applyAlignment="1">
      <alignment vertical="center"/>
    </xf>
    <xf numFmtId="3" fontId="17" fillId="3" borderId="17" xfId="0" applyNumberFormat="1" applyFont="1" applyFill="1" applyBorder="1" applyAlignment="1">
      <alignment horizontal="center" vertical="center"/>
    </xf>
    <xf numFmtId="0" fontId="17" fillId="3" borderId="17" xfId="0" applyFont="1" applyFill="1" applyBorder="1" applyAlignment="1">
      <alignment horizontal="center" vertical="center"/>
    </xf>
    <xf numFmtId="0" fontId="3" fillId="3" borderId="17" xfId="0" applyFont="1" applyFill="1" applyBorder="1" applyAlignment="1">
      <alignment vertical="center"/>
    </xf>
    <xf numFmtId="0" fontId="3" fillId="4" borderId="11" xfId="0" applyFont="1" applyFill="1" applyBorder="1" applyAlignment="1">
      <alignment vertical="center"/>
    </xf>
    <xf numFmtId="37" fontId="4" fillId="10" borderId="10" xfId="0" applyNumberFormat="1" applyFont="1" applyFill="1" applyBorder="1" applyAlignment="1">
      <alignment horizontal="left" vertical="center"/>
    </xf>
    <xf numFmtId="37" fontId="4" fillId="10" borderId="15" xfId="0" applyNumberFormat="1" applyFont="1" applyFill="1" applyBorder="1" applyAlignment="1">
      <alignment horizontal="left" vertical="center"/>
    </xf>
    <xf numFmtId="0" fontId="3" fillId="10" borderId="8" xfId="0" applyFont="1" applyFill="1" applyBorder="1" applyAlignment="1">
      <alignment vertical="center"/>
    </xf>
    <xf numFmtId="37" fontId="3" fillId="4" borderId="7" xfId="0" applyNumberFormat="1" applyFont="1" applyFill="1" applyBorder="1" applyAlignment="1">
      <alignment horizontal="left" vertical="center"/>
    </xf>
    <xf numFmtId="0" fontId="3" fillId="4" borderId="4" xfId="0" applyFont="1" applyFill="1" applyBorder="1" applyAlignment="1">
      <alignment vertical="center"/>
    </xf>
    <xf numFmtId="37" fontId="15" fillId="10" borderId="10" xfId="0" applyNumberFormat="1" applyFont="1" applyFill="1" applyBorder="1" applyAlignment="1">
      <alignment horizontal="left" vertical="center"/>
    </xf>
    <xf numFmtId="0" fontId="5" fillId="4" borderId="11" xfId="0" applyFont="1" applyFill="1" applyBorder="1" applyAlignment="1">
      <alignment vertical="center"/>
    </xf>
    <xf numFmtId="0" fontId="3" fillId="10" borderId="16" xfId="0" applyFont="1" applyFill="1" applyBorder="1" applyAlignment="1" applyProtection="1">
      <alignment vertical="center"/>
      <protection locked="0"/>
    </xf>
    <xf numFmtId="0" fontId="3" fillId="10" borderId="13" xfId="0" applyFont="1" applyFill="1" applyBorder="1" applyAlignment="1" applyProtection="1">
      <alignment vertical="center"/>
      <protection locked="0"/>
    </xf>
    <xf numFmtId="0" fontId="3" fillId="10" borderId="15" xfId="0" applyFont="1" applyFill="1" applyBorder="1" applyAlignment="1" applyProtection="1">
      <alignment vertical="center"/>
      <protection locked="0"/>
    </xf>
    <xf numFmtId="0" fontId="3" fillId="10" borderId="8" xfId="0" applyFont="1" applyFill="1" applyBorder="1" applyAlignment="1" applyProtection="1">
      <alignment vertical="center"/>
      <protection locked="0"/>
    </xf>
    <xf numFmtId="0" fontId="3" fillId="10" borderId="7" xfId="0" applyFont="1" applyFill="1" applyBorder="1" applyAlignment="1" applyProtection="1">
      <alignment vertical="center"/>
      <protection locked="0"/>
    </xf>
    <xf numFmtId="0" fontId="3" fillId="10" borderId="4" xfId="0" applyFont="1" applyFill="1" applyBorder="1" applyAlignment="1" applyProtection="1">
      <alignment vertical="center"/>
      <protection locked="0"/>
    </xf>
    <xf numFmtId="37" fontId="4" fillId="10" borderId="7" xfId="0" applyNumberFormat="1" applyFont="1" applyFill="1" applyBorder="1" applyAlignment="1">
      <alignment horizontal="left" vertical="center"/>
    </xf>
    <xf numFmtId="0" fontId="3" fillId="10" borderId="9" xfId="0" applyFont="1" applyFill="1" applyBorder="1" applyAlignment="1">
      <alignment vertical="center"/>
    </xf>
    <xf numFmtId="0" fontId="3" fillId="10" borderId="4" xfId="0" applyFont="1" applyFill="1" applyBorder="1" applyAlignment="1">
      <alignment vertical="center"/>
    </xf>
    <xf numFmtId="0" fontId="3" fillId="5" borderId="7" xfId="0" applyFont="1" applyFill="1" applyBorder="1" applyAlignment="1">
      <alignment vertical="center"/>
    </xf>
    <xf numFmtId="0" fontId="3" fillId="5" borderId="9" xfId="0" applyFont="1" applyFill="1" applyBorder="1" applyAlignment="1">
      <alignment vertical="center"/>
    </xf>
    <xf numFmtId="0" fontId="3" fillId="5" borderId="4" xfId="0" applyFont="1" applyFill="1" applyBorder="1" applyAlignment="1">
      <alignment vertical="center"/>
    </xf>
    <xf numFmtId="0" fontId="3" fillId="2" borderId="0" xfId="0" applyFont="1" applyFill="1" applyAlignment="1" applyProtection="1">
      <alignment horizontal="center" vertical="center"/>
      <protection locked="0"/>
    </xf>
    <xf numFmtId="0" fontId="3" fillId="2" borderId="0" xfId="0" applyFont="1" applyFill="1" applyAlignment="1" applyProtection="1">
      <alignment horizontal="center"/>
      <protection locked="0"/>
    </xf>
    <xf numFmtId="37" fontId="3" fillId="4" borderId="3" xfId="0" applyNumberFormat="1" applyFont="1" applyFill="1" applyBorder="1" applyAlignment="1">
      <alignment horizontal="center" vertical="center"/>
    </xf>
    <xf numFmtId="37" fontId="3" fillId="3" borderId="0" xfId="42" applyNumberFormat="1" applyFont="1" applyFill="1" applyAlignment="1">
      <alignment horizontal="left" vertical="center"/>
    </xf>
    <xf numFmtId="37" fontId="4" fillId="3" borderId="0" xfId="33" applyNumberFormat="1" applyFont="1" applyFill="1" applyAlignment="1">
      <alignment horizontal="left" vertical="center"/>
    </xf>
    <xf numFmtId="37" fontId="3" fillId="3" borderId="1" xfId="33" applyNumberFormat="1" applyFont="1" applyFill="1" applyBorder="1" applyAlignment="1">
      <alignment horizontal="left" vertical="center"/>
    </xf>
    <xf numFmtId="0" fontId="4" fillId="10" borderId="10" xfId="33" applyFont="1" applyFill="1" applyBorder="1" applyAlignment="1">
      <alignment vertical="center"/>
    </xf>
    <xf numFmtId="0" fontId="3" fillId="10" borderId="11" xfId="33" applyFont="1" applyFill="1" applyBorder="1" applyAlignment="1">
      <alignment vertical="center"/>
    </xf>
    <xf numFmtId="37" fontId="4" fillId="11" borderId="16" xfId="33" applyNumberFormat="1" applyFont="1" applyFill="1" applyBorder="1" applyAlignment="1">
      <alignment horizontal="left" vertical="center"/>
    </xf>
    <xf numFmtId="0" fontId="3" fillId="11" borderId="13" xfId="33" applyFont="1" applyFill="1" applyBorder="1" applyAlignment="1">
      <alignment vertical="center"/>
    </xf>
    <xf numFmtId="37" fontId="4" fillId="11" borderId="15" xfId="33" applyNumberFormat="1" applyFont="1" applyFill="1" applyBorder="1" applyAlignment="1">
      <alignment horizontal="left" vertical="center"/>
    </xf>
    <xf numFmtId="0" fontId="3" fillId="11" borderId="8" xfId="33" applyFont="1" applyFill="1" applyBorder="1" applyAlignment="1">
      <alignment vertical="center"/>
    </xf>
    <xf numFmtId="0" fontId="3" fillId="2" borderId="2" xfId="33" applyFont="1" applyFill="1" applyBorder="1" applyAlignment="1" applyProtection="1">
      <alignment vertical="center"/>
      <protection locked="0"/>
    </xf>
    <xf numFmtId="3" fontId="3" fillId="6" borderId="2" xfId="33" applyNumberFormat="1" applyFont="1" applyFill="1" applyBorder="1" applyAlignment="1" applyProtection="1">
      <alignment vertical="center"/>
      <protection locked="0"/>
    </xf>
    <xf numFmtId="37" fontId="3" fillId="3" borderId="9" xfId="33" applyNumberFormat="1" applyFont="1" applyFill="1" applyBorder="1" applyAlignment="1">
      <alignment horizontal="left" vertical="center"/>
    </xf>
    <xf numFmtId="0" fontId="3" fillId="13" borderId="0" xfId="0" applyFont="1" applyFill="1"/>
    <xf numFmtId="0" fontId="3" fillId="13" borderId="0" xfId="0" applyFont="1" applyFill="1" applyAlignment="1">
      <alignment horizontal="center"/>
    </xf>
    <xf numFmtId="37" fontId="3" fillId="13" borderId="0" xfId="0" applyNumberFormat="1" applyFont="1" applyFill="1" applyAlignment="1">
      <alignment horizontal="left"/>
    </xf>
    <xf numFmtId="165" fontId="3" fillId="13" borderId="1" xfId="0" applyNumberFormat="1" applyFont="1" applyFill="1" applyBorder="1" applyAlignment="1">
      <alignment horizontal="center"/>
    </xf>
    <xf numFmtId="165" fontId="3" fillId="13" borderId="0" xfId="0" applyNumberFormat="1" applyFont="1" applyFill="1" applyAlignment="1">
      <alignment horizontal="center"/>
    </xf>
    <xf numFmtId="37" fontId="3" fillId="3" borderId="6" xfId="33" applyNumberFormat="1" applyFont="1" applyFill="1" applyBorder="1" applyAlignment="1">
      <alignment horizontal="center" vertical="center"/>
    </xf>
    <xf numFmtId="0" fontId="3" fillId="13" borderId="0" xfId="33" applyFont="1" applyFill="1" applyAlignment="1">
      <alignment vertical="center"/>
    </xf>
    <xf numFmtId="37" fontId="3" fillId="3" borderId="0" xfId="33" applyNumberFormat="1" applyFont="1" applyFill="1" applyAlignment="1">
      <alignment horizontal="left" vertical="center"/>
    </xf>
    <xf numFmtId="0" fontId="3" fillId="13" borderId="0" xfId="0" applyFont="1" applyFill="1" applyAlignment="1">
      <alignment horizontal="center" vertical="center"/>
    </xf>
    <xf numFmtId="165" fontId="3" fillId="13" borderId="0" xfId="0" applyNumberFormat="1" applyFont="1" applyFill="1" applyAlignment="1">
      <alignment horizontal="center" vertical="center"/>
    </xf>
    <xf numFmtId="0" fontId="3" fillId="13" borderId="0" xfId="33" applyFont="1" applyFill="1" applyAlignment="1" applyProtection="1">
      <alignment vertical="center"/>
      <protection locked="0"/>
    </xf>
    <xf numFmtId="0" fontId="3" fillId="13" borderId="17" xfId="0" applyFont="1" applyFill="1" applyBorder="1" applyAlignment="1">
      <alignment vertical="center"/>
    </xf>
    <xf numFmtId="0" fontId="1" fillId="0" borderId="0" xfId="0" applyFont="1"/>
    <xf numFmtId="37" fontId="3" fillId="3" borderId="0" xfId="0" applyNumberFormat="1" applyFont="1" applyFill="1" applyAlignment="1" applyProtection="1">
      <alignment vertical="center"/>
      <protection locked="0"/>
    </xf>
    <xf numFmtId="0" fontId="3" fillId="3" borderId="11" xfId="0" applyFont="1" applyFill="1" applyBorder="1" applyAlignment="1">
      <alignment vertical="center"/>
    </xf>
    <xf numFmtId="37" fontId="3" fillId="3" borderId="16" xfId="0" applyNumberFormat="1" applyFont="1" applyFill="1" applyBorder="1" applyAlignment="1" applyProtection="1">
      <alignment horizontal="left" vertical="center"/>
      <protection locked="0"/>
    </xf>
    <xf numFmtId="37" fontId="3" fillId="3" borderId="15" xfId="0" applyNumberFormat="1" applyFont="1" applyFill="1" applyBorder="1" applyAlignment="1" applyProtection="1">
      <alignment horizontal="left" vertical="center"/>
      <protection locked="0"/>
    </xf>
    <xf numFmtId="0" fontId="3" fillId="3" borderId="1" xfId="0" applyFont="1" applyFill="1" applyBorder="1" applyAlignment="1" applyProtection="1">
      <alignment vertical="center"/>
      <protection locked="0"/>
    </xf>
    <xf numFmtId="0" fontId="3" fillId="3" borderId="8" xfId="0" applyFont="1" applyFill="1" applyBorder="1" applyAlignment="1" applyProtection="1">
      <alignment vertical="center"/>
      <protection locked="0"/>
    </xf>
    <xf numFmtId="0" fontId="3" fillId="3" borderId="17" xfId="0" applyFont="1" applyFill="1" applyBorder="1" applyAlignment="1">
      <alignment horizontal="right" vertical="center"/>
    </xf>
    <xf numFmtId="0" fontId="3" fillId="3" borderId="15" xfId="0" applyFont="1" applyFill="1" applyBorder="1" applyAlignment="1">
      <alignment vertical="center"/>
    </xf>
    <xf numFmtId="37" fontId="3" fillId="3" borderId="16" xfId="0" applyNumberFormat="1" applyFont="1" applyFill="1" applyBorder="1" applyAlignment="1">
      <alignment horizontal="right" vertical="center"/>
    </xf>
    <xf numFmtId="37" fontId="3" fillId="3" borderId="15" xfId="0" applyNumberFormat="1" applyFont="1" applyFill="1" applyBorder="1" applyAlignment="1">
      <alignment horizontal="right" vertical="center"/>
    </xf>
    <xf numFmtId="0" fontId="3" fillId="3" borderId="17" xfId="0"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protection locked="0"/>
    </xf>
    <xf numFmtId="0" fontId="3" fillId="3" borderId="1" xfId="0" applyFont="1" applyFill="1" applyBorder="1" applyAlignment="1">
      <alignment horizontal="right" vertical="center"/>
    </xf>
    <xf numFmtId="0" fontId="3" fillId="3" borderId="11" xfId="0" applyFont="1" applyFill="1" applyBorder="1" applyAlignment="1">
      <alignment horizontal="right" vertical="center"/>
    </xf>
    <xf numFmtId="0" fontId="3" fillId="3" borderId="13" xfId="0" applyFont="1" applyFill="1" applyBorder="1" applyAlignment="1">
      <alignment horizontal="right" vertical="center"/>
    </xf>
    <xf numFmtId="0" fontId="3" fillId="3" borderId="8" xfId="0" applyFont="1" applyFill="1" applyBorder="1" applyAlignment="1">
      <alignment horizontal="right" vertical="center"/>
    </xf>
    <xf numFmtId="0" fontId="3" fillId="3" borderId="17" xfId="0" applyFont="1" applyFill="1" applyBorder="1" applyAlignment="1">
      <alignment horizontal="left" vertical="center"/>
    </xf>
    <xf numFmtId="0" fontId="3" fillId="3" borderId="16" xfId="0" applyFont="1" applyFill="1" applyBorder="1" applyAlignment="1">
      <alignment horizontal="left" vertical="center"/>
    </xf>
    <xf numFmtId="0" fontId="3" fillId="3" borderId="1" xfId="0" applyFont="1" applyFill="1" applyBorder="1" applyAlignment="1">
      <alignment horizontal="left" vertical="center"/>
    </xf>
    <xf numFmtId="0" fontId="17" fillId="3" borderId="11" xfId="0" applyFont="1" applyFill="1" applyBorder="1" applyAlignment="1">
      <alignment horizontal="center" vertical="center"/>
    </xf>
    <xf numFmtId="0" fontId="3" fillId="3" borderId="16" xfId="0" applyFont="1" applyFill="1" applyBorder="1" applyAlignment="1">
      <alignment horizontal="right" vertical="center"/>
    </xf>
    <xf numFmtId="0" fontId="17" fillId="3" borderId="13" xfId="0" applyFont="1" applyFill="1" applyBorder="1" applyAlignment="1">
      <alignment horizontal="center" vertical="center"/>
    </xf>
    <xf numFmtId="0" fontId="3" fillId="3" borderId="15" xfId="0" applyFont="1" applyFill="1" applyBorder="1" applyAlignment="1">
      <alignment horizontal="right" vertical="center"/>
    </xf>
    <xf numFmtId="0" fontId="17" fillId="3" borderId="1" xfId="0" applyFont="1" applyFill="1" applyBorder="1" applyAlignment="1">
      <alignment horizontal="center" vertical="center"/>
    </xf>
    <xf numFmtId="3" fontId="3" fillId="3" borderId="17" xfId="0" applyNumberFormat="1" applyFont="1" applyFill="1" applyBorder="1" applyAlignment="1">
      <alignment vertical="center"/>
    </xf>
    <xf numFmtId="3" fontId="3" fillId="3" borderId="1" xfId="0" applyNumberFormat="1" applyFont="1" applyFill="1" applyBorder="1" applyAlignment="1">
      <alignment vertical="center"/>
    </xf>
    <xf numFmtId="37" fontId="4" fillId="3" borderId="10" xfId="0" applyNumberFormat="1" applyFont="1" applyFill="1" applyBorder="1" applyAlignment="1">
      <alignment horizontal="left" vertical="center"/>
    </xf>
    <xf numFmtId="0" fontId="4" fillId="3" borderId="10" xfId="0" applyFont="1" applyFill="1" applyBorder="1" applyAlignment="1">
      <alignment vertical="center"/>
    </xf>
    <xf numFmtId="0" fontId="4" fillId="0" borderId="0" xfId="0" applyFont="1" applyAlignment="1">
      <alignment vertical="center"/>
    </xf>
    <xf numFmtId="0" fontId="4" fillId="3" borderId="10" xfId="0" applyFont="1" applyFill="1" applyBorder="1" applyAlignment="1">
      <alignment horizontal="left" vertical="center"/>
    </xf>
    <xf numFmtId="0" fontId="41" fillId="0" borderId="0" xfId="16" applyFont="1" applyAlignment="1" applyProtection="1"/>
    <xf numFmtId="37" fontId="3" fillId="3" borderId="6" xfId="0" applyNumberFormat="1" applyFont="1" applyFill="1" applyBorder="1" applyAlignment="1" applyProtection="1">
      <alignment vertical="center"/>
      <protection locked="0"/>
    </xf>
    <xf numFmtId="172" fontId="3" fillId="6" borderId="2" xfId="0" applyNumberFormat="1" applyFont="1" applyFill="1" applyBorder="1" applyAlignment="1" applyProtection="1">
      <alignment vertical="center"/>
      <protection locked="0"/>
    </xf>
    <xf numFmtId="37" fontId="4" fillId="3" borderId="0" xfId="0" applyNumberFormat="1" applyFont="1" applyFill="1" applyAlignment="1">
      <alignment horizontal="left" vertical="center"/>
    </xf>
    <xf numFmtId="164" fontId="3" fillId="3" borderId="0" xfId="0" applyNumberFormat="1" applyFont="1" applyFill="1"/>
    <xf numFmtId="37" fontId="23" fillId="3" borderId="0" xfId="0" applyNumberFormat="1" applyFont="1" applyFill="1" applyAlignment="1">
      <alignment horizontal="left" vertical="center"/>
    </xf>
    <xf numFmtId="170" fontId="23" fillId="2" borderId="2" xfId="0" applyNumberFormat="1" applyFont="1" applyFill="1" applyBorder="1" applyProtection="1">
      <protection locked="0"/>
    </xf>
    <xf numFmtId="37" fontId="3" fillId="3" borderId="7" xfId="0" applyNumberFormat="1" applyFont="1" applyFill="1" applyBorder="1" applyAlignment="1">
      <alignment horizontal="center" vertical="center"/>
    </xf>
    <xf numFmtId="37" fontId="3" fillId="3" borderId="4" xfId="0" applyNumberFormat="1" applyFont="1" applyFill="1" applyBorder="1" applyAlignment="1">
      <alignment horizontal="center" vertical="center"/>
    </xf>
    <xf numFmtId="0" fontId="15" fillId="0" borderId="0" xfId="0" applyFont="1" applyAlignment="1">
      <alignment horizontal="center"/>
    </xf>
    <xf numFmtId="0" fontId="4" fillId="0" borderId="0" xfId="0" applyFont="1"/>
    <xf numFmtId="0" fontId="3" fillId="0" borderId="0" xfId="0" quotePrefix="1" applyFont="1"/>
    <xf numFmtId="0" fontId="3" fillId="0" borderId="0" xfId="215" applyFont="1"/>
    <xf numFmtId="0" fontId="5" fillId="0" borderId="0" xfId="0" applyFont="1" applyAlignment="1">
      <alignment vertical="center" wrapText="1"/>
    </xf>
    <xf numFmtId="0" fontId="3" fillId="0" borderId="1" xfId="0" applyFont="1" applyBorder="1"/>
    <xf numFmtId="0" fontId="3" fillId="0" borderId="0" xfId="0" applyFont="1" applyAlignment="1">
      <alignment horizontal="left" wrapText="1"/>
    </xf>
    <xf numFmtId="171" fontId="3" fillId="3" borderId="2" xfId="0" applyNumberFormat="1" applyFont="1" applyFill="1" applyBorder="1" applyAlignment="1">
      <alignment horizontal="centerContinuous" vertical="center"/>
    </xf>
    <xf numFmtId="171" fontId="3" fillId="3" borderId="2" xfId="0" applyNumberFormat="1" applyFont="1" applyFill="1" applyBorder="1" applyAlignment="1">
      <alignment horizontal="center" vertical="center"/>
    </xf>
    <xf numFmtId="49" fontId="3" fillId="3" borderId="0" xfId="0" applyNumberFormat="1" applyFont="1" applyFill="1" applyAlignment="1" applyProtection="1">
      <alignment horizontal="left" vertical="center"/>
      <protection locked="0"/>
    </xf>
    <xf numFmtId="0" fontId="9" fillId="0" borderId="0" xfId="485"/>
    <xf numFmtId="0" fontId="3" fillId="0" borderId="0" xfId="485" applyFont="1"/>
    <xf numFmtId="0" fontId="3" fillId="0" borderId="0" xfId="485" applyFont="1" applyAlignment="1">
      <alignment horizontal="right"/>
    </xf>
    <xf numFmtId="49" fontId="3" fillId="0" borderId="0" xfId="485" applyNumberFormat="1" applyFont="1" applyAlignment="1" applyProtection="1">
      <alignment horizontal="left" vertical="center"/>
      <protection locked="0"/>
    </xf>
    <xf numFmtId="0" fontId="9" fillId="0" borderId="0" xfId="485" applyAlignment="1">
      <alignment horizontal="left"/>
    </xf>
    <xf numFmtId="0" fontId="9" fillId="0" borderId="0" xfId="485" applyAlignment="1">
      <alignment horizontal="right"/>
    </xf>
    <xf numFmtId="0" fontId="3" fillId="0" borderId="0" xfId="485" applyFont="1" applyAlignment="1">
      <alignment horizontal="right" vertical="center"/>
    </xf>
    <xf numFmtId="0" fontId="23" fillId="0" borderId="0" xfId="485" applyFont="1" applyAlignment="1">
      <alignment horizontal="left" vertical="center"/>
    </xf>
    <xf numFmtId="0" fontId="31" fillId="0" borderId="0" xfId="0" applyFont="1" applyAlignment="1">
      <alignment horizontal="center" vertical="center" wrapText="1"/>
    </xf>
    <xf numFmtId="0" fontId="40" fillId="0" borderId="0" xfId="0" applyFont="1" applyAlignment="1">
      <alignment horizontal="center" vertical="center" wrapText="1"/>
    </xf>
    <xf numFmtId="0" fontId="44" fillId="0" borderId="0" xfId="0" applyFont="1" applyAlignment="1">
      <alignment vertical="center" wrapText="1"/>
    </xf>
    <xf numFmtId="0" fontId="49" fillId="0" borderId="0" xfId="0" applyFont="1" applyAlignment="1">
      <alignment vertical="center" wrapText="1"/>
    </xf>
    <xf numFmtId="0" fontId="4" fillId="0" borderId="0" xfId="0" applyFont="1" applyAlignment="1">
      <alignment horizontal="center" vertical="center" wrapText="1"/>
    </xf>
    <xf numFmtId="0" fontId="3" fillId="0" borderId="0" xfId="0" applyFont="1" applyAlignment="1">
      <alignment horizontal="left" vertical="center" wrapText="1" indent="2"/>
    </xf>
    <xf numFmtId="0" fontId="3" fillId="0" borderId="0" xfId="0" applyFont="1" applyAlignment="1">
      <alignment horizontal="left" vertical="center" wrapText="1"/>
    </xf>
    <xf numFmtId="0" fontId="3" fillId="0" borderId="0" xfId="0" applyFont="1" applyAlignment="1">
      <alignment horizontal="left" vertical="center" indent="2"/>
    </xf>
    <xf numFmtId="0" fontId="50" fillId="0" borderId="0" xfId="0" applyFont="1" applyAlignment="1">
      <alignment horizontal="left" vertical="center" wrapText="1" indent="4"/>
    </xf>
    <xf numFmtId="0" fontId="15" fillId="0" borderId="0" xfId="0" applyFont="1" applyAlignment="1">
      <alignment vertical="center" wrapText="1"/>
    </xf>
    <xf numFmtId="3" fontId="4" fillId="3" borderId="2" xfId="0" applyNumberFormat="1" applyFont="1" applyFill="1" applyBorder="1" applyAlignment="1">
      <alignment vertical="center"/>
    </xf>
    <xf numFmtId="37" fontId="4" fillId="3" borderId="18" xfId="0" applyNumberFormat="1" applyFont="1" applyFill="1" applyBorder="1" applyAlignment="1">
      <alignment horizontal="center" vertical="center"/>
    </xf>
    <xf numFmtId="37" fontId="4" fillId="3" borderId="19" xfId="0" applyNumberFormat="1" applyFont="1" applyFill="1" applyBorder="1" applyAlignment="1">
      <alignment horizontal="center" vertical="center"/>
    </xf>
    <xf numFmtId="37" fontId="4" fillId="3" borderId="12" xfId="0" applyNumberFormat="1" applyFont="1" applyFill="1" applyBorder="1" applyAlignment="1">
      <alignment horizontal="center" vertical="center"/>
    </xf>
    <xf numFmtId="37" fontId="3" fillId="3" borderId="12" xfId="0" applyNumberFormat="1" applyFont="1" applyFill="1" applyBorder="1" applyAlignment="1">
      <alignment horizontal="center" vertical="center"/>
    </xf>
    <xf numFmtId="170" fontId="3" fillId="3" borderId="4" xfId="0" applyNumberFormat="1" applyFont="1" applyFill="1" applyBorder="1" applyAlignment="1">
      <alignment horizontal="center" vertical="center"/>
    </xf>
    <xf numFmtId="170" fontId="3" fillId="7" borderId="19" xfId="0" applyNumberFormat="1" applyFont="1" applyFill="1" applyBorder="1" applyAlignment="1">
      <alignment horizontal="center" vertical="center"/>
    </xf>
    <xf numFmtId="0" fontId="3" fillId="0" borderId="13" xfId="0" applyFont="1" applyBorder="1"/>
    <xf numFmtId="37" fontId="3" fillId="3" borderId="18" xfId="0" applyNumberFormat="1" applyFont="1" applyFill="1" applyBorder="1" applyAlignment="1">
      <alignment horizontal="left" vertical="center"/>
    </xf>
    <xf numFmtId="0" fontId="3" fillId="3" borderId="19" xfId="0" applyFont="1" applyFill="1" applyBorder="1" applyAlignment="1">
      <alignment vertical="center"/>
    </xf>
    <xf numFmtId="37" fontId="3" fillId="3" borderId="12" xfId="0" applyNumberFormat="1" applyFont="1" applyFill="1" applyBorder="1" applyAlignment="1">
      <alignment horizontal="fill" vertical="center"/>
    </xf>
    <xf numFmtId="1" fontId="3" fillId="3" borderId="12" xfId="0" applyNumberFormat="1" applyFont="1" applyFill="1" applyBorder="1" applyAlignment="1">
      <alignment vertical="center"/>
    </xf>
    <xf numFmtId="171" fontId="3" fillId="3" borderId="12" xfId="0" applyNumberFormat="1" applyFont="1" applyFill="1" applyBorder="1" applyAlignment="1">
      <alignment vertical="center"/>
    </xf>
    <xf numFmtId="37" fontId="4" fillId="3" borderId="18" xfId="0" applyNumberFormat="1" applyFont="1" applyFill="1" applyBorder="1" applyAlignment="1">
      <alignment horizontal="left" vertical="center"/>
    </xf>
    <xf numFmtId="37" fontId="3" fillId="3" borderId="19" xfId="0" applyNumberFormat="1" applyFont="1" applyFill="1" applyBorder="1" applyAlignment="1">
      <alignment horizontal="fill" vertical="center"/>
    </xf>
    <xf numFmtId="37" fontId="3" fillId="3" borderId="3" xfId="0" applyNumberFormat="1" applyFont="1" applyFill="1" applyBorder="1" applyAlignment="1">
      <alignment horizontal="center" vertical="center"/>
    </xf>
    <xf numFmtId="37" fontId="3" fillId="3" borderId="4" xfId="0" applyNumberFormat="1" applyFont="1" applyFill="1" applyBorder="1" applyAlignment="1">
      <alignment horizontal="left" vertical="center"/>
    </xf>
    <xf numFmtId="3" fontId="4" fillId="3" borderId="0" xfId="0" applyNumberFormat="1" applyFont="1" applyFill="1" applyAlignment="1">
      <alignment horizontal="center" vertical="center"/>
    </xf>
    <xf numFmtId="0" fontId="16" fillId="13" borderId="0" xfId="0" applyFont="1" applyFill="1" applyAlignment="1">
      <alignment horizontal="center" vertical="center"/>
    </xf>
    <xf numFmtId="0" fontId="4" fillId="15" borderId="0" xfId="0" applyFont="1" applyFill="1" applyAlignment="1">
      <alignment vertical="center"/>
    </xf>
    <xf numFmtId="37" fontId="4" fillId="3" borderId="0" xfId="0" applyNumberFormat="1" applyFont="1" applyFill="1" applyAlignment="1">
      <alignment horizontal="center" vertical="center"/>
    </xf>
    <xf numFmtId="171" fontId="3" fillId="13" borderId="2" xfId="0" applyNumberFormat="1" applyFont="1" applyFill="1" applyBorder="1" applyAlignment="1">
      <alignment horizontal="center" vertical="center"/>
    </xf>
    <xf numFmtId="37" fontId="3" fillId="13" borderId="0" xfId="0" applyNumberFormat="1" applyFont="1" applyFill="1" applyAlignment="1">
      <alignment vertical="center"/>
    </xf>
    <xf numFmtId="0" fontId="3" fillId="2" borderId="1" xfId="0" applyFont="1" applyFill="1" applyBorder="1" applyAlignment="1" applyProtection="1">
      <alignment vertical="center"/>
      <protection locked="0"/>
    </xf>
    <xf numFmtId="0" fontId="3" fillId="2" borderId="9" xfId="0" applyFont="1" applyFill="1" applyBorder="1" applyAlignment="1" applyProtection="1">
      <alignment vertical="center"/>
      <protection locked="0"/>
    </xf>
    <xf numFmtId="37" fontId="3" fillId="3" borderId="0" xfId="0" applyNumberFormat="1" applyFont="1" applyFill="1" applyAlignment="1" applyProtection="1">
      <alignment horizontal="fill" vertical="center"/>
      <protection locked="0"/>
    </xf>
    <xf numFmtId="37" fontId="3" fillId="3" borderId="17" xfId="0" applyNumberFormat="1" applyFont="1" applyFill="1" applyBorder="1" applyAlignment="1">
      <alignment horizontal="center" vertical="center"/>
    </xf>
    <xf numFmtId="0" fontId="3" fillId="3" borderId="10" xfId="0" applyFont="1" applyFill="1" applyBorder="1" applyAlignment="1">
      <alignment vertical="center"/>
    </xf>
    <xf numFmtId="37" fontId="3" fillId="3" borderId="8" xfId="0" applyNumberFormat="1" applyFont="1" applyFill="1" applyBorder="1" applyAlignment="1">
      <alignment horizontal="center" vertical="center"/>
    </xf>
    <xf numFmtId="0" fontId="3" fillId="3" borderId="3" xfId="0" applyFont="1" applyFill="1" applyBorder="1" applyAlignment="1">
      <alignment vertical="center"/>
    </xf>
    <xf numFmtId="37" fontId="15" fillId="3" borderId="6" xfId="0" applyNumberFormat="1" applyFont="1" applyFill="1" applyBorder="1" applyAlignment="1">
      <alignment horizontal="left" vertical="center"/>
    </xf>
    <xf numFmtId="37" fontId="15" fillId="3" borderId="6" xfId="0" applyNumberFormat="1" applyFont="1" applyFill="1" applyBorder="1" applyAlignment="1">
      <alignment horizontal="center" vertical="center"/>
    </xf>
    <xf numFmtId="0" fontId="3" fillId="3" borderId="6" xfId="0" applyFont="1" applyFill="1" applyBorder="1" applyAlignment="1">
      <alignment vertical="center"/>
    </xf>
    <xf numFmtId="37" fontId="3" fillId="3" borderId="2" xfId="0" applyNumberFormat="1" applyFont="1" applyFill="1" applyBorder="1" applyAlignment="1">
      <alignment horizontal="right" vertical="center"/>
    </xf>
    <xf numFmtId="174" fontId="3" fillId="3" borderId="2" xfId="0" applyNumberFormat="1" applyFont="1" applyFill="1" applyBorder="1" applyAlignment="1">
      <alignment horizontal="right" vertical="center"/>
    </xf>
    <xf numFmtId="0" fontId="3" fillId="3" borderId="2" xfId="0" applyFont="1" applyFill="1" applyBorder="1" applyAlignment="1">
      <alignment horizontal="right" vertical="center"/>
    </xf>
    <xf numFmtId="0" fontId="3" fillId="3" borderId="5" xfId="0" applyFont="1" applyFill="1" applyBorder="1" applyAlignment="1">
      <alignment horizontal="right" vertical="center"/>
    </xf>
    <xf numFmtId="0" fontId="0" fillId="13" borderId="0" xfId="0" applyFill="1" applyAlignment="1">
      <alignment vertical="center"/>
    </xf>
    <xf numFmtId="37" fontId="11" fillId="3" borderId="5" xfId="0" applyNumberFormat="1" applyFont="1" applyFill="1" applyBorder="1" applyAlignment="1">
      <alignment vertical="center"/>
    </xf>
    <xf numFmtId="37" fontId="3" fillId="3" borderId="5" xfId="0" applyNumberFormat="1" applyFont="1" applyFill="1" applyBorder="1" applyAlignment="1">
      <alignment vertical="center"/>
    </xf>
    <xf numFmtId="0" fontId="3" fillId="3" borderId="5" xfId="0" applyFont="1" applyFill="1" applyBorder="1" applyAlignment="1" applyProtection="1">
      <alignment vertical="center"/>
      <protection locked="0"/>
    </xf>
    <xf numFmtId="164" fontId="23" fillId="3" borderId="6" xfId="0" applyNumberFormat="1" applyFont="1" applyFill="1" applyBorder="1" applyAlignment="1">
      <alignment vertical="center"/>
    </xf>
    <xf numFmtId="37" fontId="3" fillId="3" borderId="12" xfId="0" applyNumberFormat="1" applyFont="1" applyFill="1" applyBorder="1" applyAlignment="1">
      <alignment horizontal="left" vertical="center"/>
    </xf>
    <xf numFmtId="164" fontId="3" fillId="3" borderId="12" xfId="0" applyNumberFormat="1" applyFont="1" applyFill="1" applyBorder="1" applyAlignment="1">
      <alignment vertical="center"/>
    </xf>
    <xf numFmtId="3" fontId="3" fillId="3" borderId="12" xfId="33" applyNumberFormat="1" applyFont="1" applyFill="1" applyBorder="1" applyAlignment="1">
      <alignment vertical="center"/>
    </xf>
    <xf numFmtId="3" fontId="4" fillId="3" borderId="7" xfId="0" applyNumberFormat="1" applyFont="1" applyFill="1" applyBorder="1" applyAlignment="1">
      <alignment vertical="center"/>
    </xf>
    <xf numFmtId="172" fontId="11" fillId="14" borderId="15" xfId="0" applyNumberFormat="1" applyFont="1" applyFill="1" applyBorder="1" applyAlignment="1">
      <alignment horizontal="center" vertical="center"/>
    </xf>
    <xf numFmtId="0" fontId="20" fillId="13" borderId="0" xfId="0" applyFont="1" applyFill="1" applyAlignment="1">
      <alignment horizontal="center" vertical="center"/>
    </xf>
    <xf numFmtId="0" fontId="0" fillId="13" borderId="13" xfId="0" applyFill="1" applyBorder="1" applyAlignment="1">
      <alignment vertical="center"/>
    </xf>
    <xf numFmtId="172" fontId="11" fillId="13" borderId="15" xfId="0" applyNumberFormat="1" applyFont="1" applyFill="1" applyBorder="1" applyAlignment="1">
      <alignment horizontal="center" vertical="center"/>
    </xf>
    <xf numFmtId="172" fontId="12" fillId="13" borderId="15" xfId="0" applyNumberFormat="1" applyFont="1" applyFill="1" applyBorder="1" applyAlignment="1">
      <alignment horizontal="center" vertical="center"/>
    </xf>
    <xf numFmtId="0" fontId="12" fillId="13" borderId="0" xfId="0" applyFont="1" applyFill="1" applyAlignment="1">
      <alignment horizontal="left" vertical="center"/>
    </xf>
    <xf numFmtId="172" fontId="11" fillId="13" borderId="7" xfId="0" applyNumberFormat="1" applyFont="1" applyFill="1" applyBorder="1" applyAlignment="1">
      <alignment horizontal="center" vertical="center"/>
    </xf>
    <xf numFmtId="3" fontId="4" fillId="3" borderId="2" xfId="1" applyNumberFormat="1" applyFont="1" applyFill="1" applyBorder="1" applyAlignment="1" applyProtection="1">
      <alignment horizontal="right" vertical="center"/>
    </xf>
    <xf numFmtId="37" fontId="4" fillId="3" borderId="2" xfId="0" applyNumberFormat="1" applyFont="1" applyFill="1" applyBorder="1" applyAlignment="1">
      <alignment vertical="center"/>
    </xf>
    <xf numFmtId="37" fontId="3" fillId="0" borderId="0" xfId="0" applyNumberFormat="1" applyFont="1" applyAlignment="1" applyProtection="1">
      <alignment horizontal="fill"/>
      <protection locked="0"/>
    </xf>
    <xf numFmtId="0" fontId="3" fillId="0" borderId="0" xfId="0" applyFont="1" applyAlignment="1" applyProtection="1">
      <alignment horizontal="centerContinuous"/>
      <protection locked="0"/>
    </xf>
    <xf numFmtId="0" fontId="54" fillId="0" borderId="0" xfId="521" applyFont="1"/>
    <xf numFmtId="0" fontId="54" fillId="0" borderId="0" xfId="521" applyFont="1" applyAlignment="1">
      <alignment horizontal="left" wrapText="1"/>
    </xf>
    <xf numFmtId="0" fontId="54" fillId="0" borderId="0" xfId="521" applyFont="1" applyAlignment="1">
      <alignment horizontal="center" wrapText="1"/>
    </xf>
    <xf numFmtId="0" fontId="54" fillId="0" borderId="0" xfId="521" applyFont="1" applyAlignment="1">
      <alignment horizontal="center"/>
    </xf>
    <xf numFmtId="0" fontId="56" fillId="17" borderId="2" xfId="521" applyFont="1" applyFill="1" applyBorder="1" applyAlignment="1">
      <alignment horizontal="center" vertical="center"/>
    </xf>
    <xf numFmtId="0" fontId="54" fillId="0" borderId="2" xfId="521" applyFont="1" applyBorder="1" applyAlignment="1">
      <alignment horizontal="center"/>
    </xf>
    <xf numFmtId="0" fontId="54" fillId="0" borderId="12" xfId="521" applyFont="1" applyBorder="1" applyAlignment="1">
      <alignment horizontal="center"/>
    </xf>
    <xf numFmtId="0" fontId="57" fillId="0" borderId="6" xfId="521" applyFont="1" applyBorder="1" applyAlignment="1">
      <alignment horizontal="center" vertical="center"/>
    </xf>
    <xf numFmtId="0" fontId="54" fillId="0" borderId="0" xfId="521" applyFont="1" applyAlignment="1">
      <alignment horizontal="right" wrapText="1"/>
    </xf>
    <xf numFmtId="0" fontId="54" fillId="0" borderId="0" xfId="521" applyFont="1" applyAlignment="1">
      <alignment wrapText="1"/>
    </xf>
    <xf numFmtId="0" fontId="60" fillId="0" borderId="0" xfId="0" applyFont="1"/>
    <xf numFmtId="0" fontId="61" fillId="0" borderId="0" xfId="0" applyFont="1"/>
    <xf numFmtId="0" fontId="62" fillId="0" borderId="0" xfId="0" applyFont="1" applyAlignment="1">
      <alignment horizontal="left" vertical="center" readingOrder="1"/>
    </xf>
    <xf numFmtId="0" fontId="63" fillId="0" borderId="0" xfId="0" applyFont="1" applyAlignment="1">
      <alignment horizontal="left" vertical="center" indent="2" readingOrder="1"/>
    </xf>
    <xf numFmtId="0" fontId="63" fillId="0" borderId="1" xfId="0" applyFont="1" applyBorder="1" applyAlignment="1">
      <alignment horizontal="center" vertical="center" readingOrder="1"/>
    </xf>
    <xf numFmtId="0" fontId="64" fillId="0" borderId="0" xfId="0" applyFont="1" applyAlignment="1">
      <alignment horizontal="left" vertical="center" readingOrder="1"/>
    </xf>
    <xf numFmtId="0" fontId="0" fillId="18" borderId="0" xfId="0" applyFill="1"/>
    <xf numFmtId="0" fontId="62" fillId="18" borderId="0" xfId="0" applyFont="1" applyFill="1" applyAlignment="1">
      <alignment horizontal="left" vertical="center" readingOrder="1"/>
    </xf>
    <xf numFmtId="0" fontId="66" fillId="0" borderId="0" xfId="0" applyFont="1" applyAlignment="1">
      <alignment wrapText="1"/>
    </xf>
    <xf numFmtId="0" fontId="67" fillId="0" borderId="0" xfId="0" applyFont="1" applyAlignment="1">
      <alignment horizontal="left"/>
    </xf>
    <xf numFmtId="0" fontId="54" fillId="0" borderId="0" xfId="0" applyFont="1"/>
    <xf numFmtId="0" fontId="5" fillId="0" borderId="0" xfId="33" applyFont="1" applyAlignment="1">
      <alignment wrapText="1"/>
    </xf>
    <xf numFmtId="0" fontId="3" fillId="0" borderId="0" xfId="33" applyFont="1" applyAlignment="1">
      <alignment vertical="center" wrapText="1"/>
    </xf>
    <xf numFmtId="0" fontId="5" fillId="0" borderId="0" xfId="0" applyFont="1" applyAlignment="1">
      <alignment wrapText="1"/>
    </xf>
    <xf numFmtId="0" fontId="5" fillId="0" borderId="0" xfId="104" applyFont="1" applyAlignment="1">
      <alignment vertical="center" wrapText="1"/>
    </xf>
    <xf numFmtId="0" fontId="3" fillId="0" borderId="0" xfId="104" applyFont="1" applyAlignment="1">
      <alignment vertical="center" wrapText="1"/>
    </xf>
    <xf numFmtId="0" fontId="3" fillId="0" borderId="0" xfId="134" applyFont="1" applyAlignment="1">
      <alignment vertical="center" wrapText="1"/>
    </xf>
    <xf numFmtId="0" fontId="3" fillId="0" borderId="0" xfId="109" applyFont="1" applyAlignment="1">
      <alignment vertical="center" wrapText="1"/>
    </xf>
    <xf numFmtId="0" fontId="3" fillId="0" borderId="0" xfId="479" applyFont="1" applyAlignment="1">
      <alignment vertical="center" wrapText="1"/>
    </xf>
    <xf numFmtId="0" fontId="3" fillId="0" borderId="0" xfId="0" applyFont="1" applyAlignment="1">
      <alignment vertical="top" wrapText="1"/>
    </xf>
    <xf numFmtId="0" fontId="3" fillId="4" borderId="2" xfId="0" applyFont="1" applyFill="1" applyBorder="1" applyAlignment="1">
      <alignment horizontal="center" vertical="center" shrinkToFit="1"/>
    </xf>
    <xf numFmtId="0" fontId="11" fillId="0" borderId="0" xfId="0" applyFont="1" applyAlignment="1">
      <alignment horizontal="left" vertical="center"/>
    </xf>
    <xf numFmtId="170" fontId="3" fillId="3" borderId="0" xfId="0" applyNumberFormat="1" applyFont="1" applyFill="1" applyAlignment="1">
      <alignment vertical="center"/>
    </xf>
    <xf numFmtId="37" fontId="3" fillId="4" borderId="5" xfId="0" applyNumberFormat="1" applyFont="1" applyFill="1" applyBorder="1" applyAlignment="1">
      <alignment horizontal="center" vertical="center" wrapText="1"/>
    </xf>
    <xf numFmtId="0" fontId="0" fillId="4" borderId="6" xfId="0" applyFill="1" applyBorder="1" applyAlignment="1">
      <alignment horizontal="center" vertical="center" wrapText="1"/>
    </xf>
    <xf numFmtId="37" fontId="17" fillId="3" borderId="0" xfId="0" applyNumberFormat="1" applyFont="1" applyFill="1" applyAlignment="1">
      <alignment horizontal="center" vertical="center"/>
    </xf>
    <xf numFmtId="0" fontId="18" fillId="0" borderId="0" xfId="0" applyFont="1" applyAlignment="1">
      <alignment horizontal="center" vertical="center"/>
    </xf>
    <xf numFmtId="37" fontId="4" fillId="15" borderId="0" xfId="0" applyNumberFormat="1" applyFont="1" applyFill="1" applyAlignment="1">
      <alignment horizontal="center" vertical="center"/>
    </xf>
    <xf numFmtId="0" fontId="1" fillId="0" borderId="0" xfId="0" applyFont="1" applyAlignment="1">
      <alignment horizontal="center" vertical="center"/>
    </xf>
    <xf numFmtId="37" fontId="4" fillId="3" borderId="0" xfId="33" applyNumberFormat="1" applyFont="1" applyFill="1" applyAlignment="1">
      <alignment vertical="center" wrapText="1"/>
    </xf>
    <xf numFmtId="0" fontId="3" fillId="3" borderId="10" xfId="33" applyFont="1" applyFill="1" applyBorder="1" applyAlignment="1">
      <alignment vertical="center" wrapText="1"/>
    </xf>
    <xf numFmtId="0" fontId="2" fillId="0" borderId="11" xfId="33" applyBorder="1" applyAlignment="1">
      <alignment vertical="center" wrapText="1"/>
    </xf>
    <xf numFmtId="0" fontId="2" fillId="0" borderId="16" xfId="33" applyBorder="1" applyAlignment="1">
      <alignment vertical="center" wrapText="1"/>
    </xf>
    <xf numFmtId="0" fontId="2" fillId="0" borderId="13" xfId="33" applyBorder="1" applyAlignment="1">
      <alignment vertical="center" wrapText="1"/>
    </xf>
    <xf numFmtId="0" fontId="2" fillId="0" borderId="15" xfId="33" applyBorder="1" applyAlignment="1">
      <alignment vertical="center" wrapText="1"/>
    </xf>
    <xf numFmtId="0" fontId="2" fillId="0" borderId="8" xfId="33" applyBorder="1" applyAlignment="1">
      <alignment vertical="center" wrapText="1"/>
    </xf>
    <xf numFmtId="0" fontId="3" fillId="2" borderId="7"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4" fillId="4" borderId="7" xfId="0" applyFont="1" applyFill="1" applyBorder="1" applyAlignment="1">
      <alignment horizontal="center" vertical="center"/>
    </xf>
    <xf numFmtId="0" fontId="1" fillId="4" borderId="4" xfId="0" applyFont="1" applyFill="1" applyBorder="1" applyAlignment="1">
      <alignment horizontal="center" vertical="center"/>
    </xf>
    <xf numFmtId="0" fontId="3" fillId="4" borderId="5" xfId="0" applyFont="1" applyFill="1"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16" fillId="3" borderId="0" xfId="0" applyFont="1" applyFill="1" applyAlignment="1">
      <alignment vertical="center"/>
    </xf>
    <xf numFmtId="0" fontId="22" fillId="0" borderId="0" xfId="0" applyFont="1" applyAlignment="1">
      <alignment vertical="center"/>
    </xf>
    <xf numFmtId="0" fontId="46" fillId="16" borderId="0" xfId="485" applyFont="1" applyFill="1" applyAlignment="1">
      <alignment horizontal="center" vertical="center"/>
    </xf>
    <xf numFmtId="0" fontId="47" fillId="16" borderId="0" xfId="485" applyFont="1" applyFill="1" applyAlignment="1">
      <alignment horizontal="center" vertical="center" wrapText="1"/>
    </xf>
    <xf numFmtId="0" fontId="3" fillId="0" borderId="0" xfId="485" applyFont="1" applyAlignment="1">
      <alignment horizontal="center" vertical="center" wrapText="1"/>
    </xf>
    <xf numFmtId="49" fontId="3" fillId="2" borderId="7" xfId="485" applyNumberFormat="1" applyFont="1" applyFill="1" applyBorder="1" applyAlignment="1" applyProtection="1">
      <alignment horizontal="left" vertical="center"/>
      <protection locked="0"/>
    </xf>
    <xf numFmtId="49" fontId="3" fillId="2" borderId="9" xfId="485" applyNumberFormat="1" applyFont="1" applyFill="1" applyBorder="1" applyAlignment="1" applyProtection="1">
      <alignment horizontal="left" vertical="center"/>
      <protection locked="0"/>
    </xf>
    <xf numFmtId="49" fontId="3" fillId="2" borderId="4" xfId="485" applyNumberFormat="1" applyFont="1" applyFill="1" applyBorder="1" applyAlignment="1" applyProtection="1">
      <alignment horizontal="left" vertical="center"/>
      <protection locked="0"/>
    </xf>
    <xf numFmtId="0" fontId="23" fillId="0" borderId="0" xfId="485" applyFont="1" applyAlignment="1">
      <alignment horizontal="center" vertical="top" wrapText="1"/>
    </xf>
    <xf numFmtId="0" fontId="3" fillId="2" borderId="7" xfId="485" applyFont="1" applyFill="1" applyBorder="1" applyAlignment="1" applyProtection="1">
      <alignment horizontal="left" vertical="center"/>
      <protection locked="0"/>
    </xf>
    <xf numFmtId="0" fontId="3" fillId="2" borderId="9" xfId="485" applyFont="1" applyFill="1" applyBorder="1" applyAlignment="1" applyProtection="1">
      <alignment horizontal="left" vertical="center"/>
      <protection locked="0"/>
    </xf>
    <xf numFmtId="0" fontId="3" fillId="2" borderId="4" xfId="485" applyFont="1" applyFill="1" applyBorder="1" applyAlignment="1" applyProtection="1">
      <alignment horizontal="left" vertical="center"/>
      <protection locked="0"/>
    </xf>
    <xf numFmtId="0" fontId="4" fillId="3" borderId="0" xfId="0" applyFont="1" applyFill="1" applyAlignment="1">
      <alignment horizontal="left" vertical="top" wrapText="1"/>
    </xf>
    <xf numFmtId="37" fontId="3" fillId="3" borderId="7" xfId="0" applyNumberFormat="1" applyFont="1" applyFill="1" applyBorder="1" applyAlignment="1">
      <alignment horizontal="left" vertical="center"/>
    </xf>
    <xf numFmtId="37" fontId="3" fillId="3" borderId="4" xfId="0" applyNumberFormat="1" applyFont="1" applyFill="1" applyBorder="1" applyAlignment="1">
      <alignment horizontal="left" vertical="center"/>
    </xf>
    <xf numFmtId="0" fontId="3" fillId="3" borderId="0" xfId="0" applyFont="1" applyFill="1" applyAlignment="1">
      <alignment horizontal="center" vertical="center"/>
    </xf>
    <xf numFmtId="37" fontId="3" fillId="3" borderId="2" xfId="0" applyNumberFormat="1" applyFont="1" applyFill="1" applyBorder="1" applyAlignment="1">
      <alignment horizontal="left" vertical="center"/>
    </xf>
    <xf numFmtId="37" fontId="3" fillId="3" borderId="10" xfId="0" applyNumberFormat="1" applyFont="1" applyFill="1" applyBorder="1" applyAlignment="1">
      <alignment horizontal="left" vertical="center"/>
    </xf>
    <xf numFmtId="37" fontId="3" fillId="3" borderId="11" xfId="0" applyNumberFormat="1" applyFont="1" applyFill="1" applyBorder="1" applyAlignment="1">
      <alignment horizontal="left" vertical="center"/>
    </xf>
    <xf numFmtId="0" fontId="3" fillId="2" borderId="2" xfId="0" applyFont="1" applyFill="1" applyBorder="1" applyAlignment="1" applyProtection="1">
      <alignment horizontal="center" vertical="center"/>
      <protection locked="0"/>
    </xf>
    <xf numFmtId="37" fontId="4" fillId="3" borderId="0" xfId="0" applyNumberFormat="1" applyFont="1" applyFill="1" applyAlignment="1">
      <alignment horizontal="right" vertical="center"/>
    </xf>
    <xf numFmtId="37" fontId="3" fillId="3" borderId="0" xfId="0" applyNumberFormat="1" applyFont="1" applyFill="1" applyAlignment="1">
      <alignment horizontal="right" vertical="center"/>
    </xf>
    <xf numFmtId="37" fontId="3" fillId="3" borderId="7" xfId="0" applyNumberFormat="1" applyFont="1" applyFill="1" applyBorder="1" applyAlignment="1">
      <alignment horizontal="center" vertical="center"/>
    </xf>
    <xf numFmtId="37" fontId="3" fillId="3" borderId="9" xfId="0" applyNumberFormat="1" applyFont="1" applyFill="1" applyBorder="1" applyAlignment="1">
      <alignment horizontal="center" vertical="center"/>
    </xf>
    <xf numFmtId="37" fontId="3" fillId="3" borderId="4" xfId="0" applyNumberFormat="1" applyFont="1" applyFill="1" applyBorder="1" applyAlignment="1">
      <alignment horizontal="center" vertical="center"/>
    </xf>
    <xf numFmtId="37" fontId="3" fillId="3" borderId="5" xfId="62" applyNumberFormat="1" applyFont="1" applyFill="1" applyBorder="1" applyAlignment="1">
      <alignment horizontal="center" vertical="center" wrapText="1"/>
    </xf>
    <xf numFmtId="37" fontId="3" fillId="3" borderId="6" xfId="62" applyNumberFormat="1" applyFont="1" applyFill="1" applyBorder="1" applyAlignment="1">
      <alignment horizontal="center" vertical="center" wrapText="1"/>
    </xf>
    <xf numFmtId="37" fontId="3" fillId="3" borderId="5" xfId="0" applyNumberFormat="1" applyFont="1" applyFill="1" applyBorder="1" applyAlignment="1">
      <alignment horizontal="center" vertical="center" wrapText="1"/>
    </xf>
    <xf numFmtId="37" fontId="3" fillId="3" borderId="6" xfId="0" applyNumberFormat="1" applyFont="1" applyFill="1" applyBorder="1" applyAlignment="1">
      <alignment horizontal="center" vertical="center" wrapText="1"/>
    </xf>
    <xf numFmtId="37" fontId="4" fillId="3" borderId="0" xfId="0" applyNumberFormat="1" applyFont="1" applyFill="1" applyAlignment="1">
      <alignment horizontal="center" vertical="center"/>
    </xf>
    <xf numFmtId="37" fontId="15" fillId="3" borderId="0" xfId="0" applyNumberFormat="1" applyFont="1" applyFill="1" applyAlignment="1">
      <alignment horizontal="center" vertical="center"/>
    </xf>
    <xf numFmtId="0" fontId="34" fillId="0" borderId="0" xfId="0" applyFont="1" applyAlignment="1">
      <alignment horizontal="center" vertical="center"/>
    </xf>
    <xf numFmtId="37" fontId="3" fillId="3" borderId="0" xfId="0" applyNumberFormat="1" applyFont="1" applyFill="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6" xfId="0" applyBorder="1" applyAlignment="1">
      <alignment vertical="center" wrapText="1"/>
    </xf>
    <xf numFmtId="0" fontId="4" fillId="3" borderId="0" xfId="0" applyFont="1" applyFill="1" applyAlignment="1">
      <alignment horizontal="center" vertical="center"/>
    </xf>
    <xf numFmtId="37" fontId="4" fillId="3" borderId="0" xfId="33" applyNumberFormat="1" applyFont="1" applyFill="1" applyAlignment="1">
      <alignment horizontal="center" vertical="center"/>
    </xf>
    <xf numFmtId="37" fontId="3" fillId="3" borderId="17" xfId="0" applyNumberFormat="1" applyFont="1" applyFill="1"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vertical="center"/>
    </xf>
    <xf numFmtId="0" fontId="0" fillId="0" borderId="4" xfId="0" applyBorder="1" applyAlignment="1">
      <alignment horizontal="center" vertical="center"/>
    </xf>
    <xf numFmtId="37" fontId="3" fillId="3" borderId="5" xfId="0" applyNumberFormat="1" applyFont="1" applyFill="1" applyBorder="1" applyAlignment="1">
      <alignment horizontal="center" vertical="center"/>
    </xf>
    <xf numFmtId="37" fontId="3" fillId="3" borderId="6" xfId="0" applyNumberFormat="1" applyFont="1" applyFill="1" applyBorder="1" applyAlignment="1">
      <alignment horizontal="center" vertical="center"/>
    </xf>
    <xf numFmtId="0" fontId="4" fillId="3" borderId="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0" xfId="520" applyFont="1" applyFill="1" applyAlignment="1">
      <alignment horizontal="center" vertical="center"/>
    </xf>
    <xf numFmtId="0" fontId="3" fillId="3" borderId="5"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5"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6" xfId="0" applyFont="1" applyFill="1" applyBorder="1" applyAlignment="1">
      <alignment horizontal="center" vertical="center" wrapText="1"/>
    </xf>
    <xf numFmtId="1" fontId="3" fillId="3" borderId="5" xfId="0" applyNumberFormat="1" applyFont="1" applyFill="1" applyBorder="1" applyAlignment="1">
      <alignment horizontal="center" vertical="center" wrapText="1"/>
    </xf>
    <xf numFmtId="1" fontId="3" fillId="3" borderId="3" xfId="0" applyNumberFormat="1" applyFont="1" applyFill="1" applyBorder="1" applyAlignment="1">
      <alignment horizontal="center" vertical="center" wrapText="1"/>
    </xf>
    <xf numFmtId="1" fontId="3" fillId="3" borderId="6" xfId="0" applyNumberFormat="1"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5" borderId="0" xfId="519" applyFont="1" applyFill="1" applyAlignment="1">
      <alignment horizontal="center" vertical="center"/>
    </xf>
    <xf numFmtId="3" fontId="3" fillId="3" borderId="17" xfId="66" applyNumberFormat="1" applyFont="1" applyFill="1" applyBorder="1" applyAlignment="1">
      <alignment horizontal="right" vertical="center"/>
    </xf>
    <xf numFmtId="0" fontId="2" fillId="0" borderId="11" xfId="66" applyBorder="1" applyAlignment="1">
      <alignment horizontal="right" vertical="center"/>
    </xf>
    <xf numFmtId="0" fontId="3" fillId="3" borderId="0" xfId="66" applyFont="1" applyFill="1" applyAlignment="1">
      <alignment horizontal="right" vertical="center"/>
    </xf>
    <xf numFmtId="0" fontId="3" fillId="0" borderId="13" xfId="66" applyFont="1" applyBorder="1" applyAlignment="1">
      <alignment horizontal="right" vertical="center"/>
    </xf>
    <xf numFmtId="0" fontId="20" fillId="3" borderId="10" xfId="42" applyFont="1" applyFill="1" applyBorder="1" applyAlignment="1">
      <alignment horizontal="center" vertical="center"/>
    </xf>
    <xf numFmtId="0" fontId="38" fillId="0" borderId="17" xfId="42" applyFont="1" applyBorder="1" applyAlignment="1">
      <alignment horizontal="center" vertical="center"/>
    </xf>
    <xf numFmtId="0" fontId="2" fillId="0" borderId="11" xfId="42" applyBorder="1" applyAlignment="1">
      <alignment vertical="center"/>
    </xf>
    <xf numFmtId="0" fontId="3" fillId="13" borderId="0" xfId="0" applyFont="1" applyFill="1" applyAlignment="1">
      <alignment horizontal="center" vertical="center"/>
    </xf>
    <xf numFmtId="0" fontId="3" fillId="3" borderId="0" xfId="0" applyFont="1" applyFill="1" applyAlignment="1">
      <alignment horizontal="right" vertical="center"/>
    </xf>
    <xf numFmtId="0" fontId="0" fillId="0" borderId="13" xfId="0" applyBorder="1" applyAlignment="1">
      <alignment horizontal="right" vertical="center"/>
    </xf>
    <xf numFmtId="0" fontId="20" fillId="13" borderId="10" xfId="0" applyFont="1" applyFill="1" applyBorder="1" applyAlignment="1">
      <alignment horizontal="center" vertical="center"/>
    </xf>
    <xf numFmtId="0" fontId="0" fillId="0" borderId="17" xfId="0" applyBorder="1" applyAlignment="1">
      <alignment vertical="center"/>
    </xf>
    <xf numFmtId="0" fontId="0" fillId="0" borderId="11" xfId="0" applyBorder="1" applyAlignment="1">
      <alignment vertical="center"/>
    </xf>
    <xf numFmtId="172" fontId="20" fillId="13" borderId="10" xfId="0" applyNumberFormat="1" applyFont="1" applyFill="1" applyBorder="1" applyAlignment="1">
      <alignment horizontal="center" wrapText="1"/>
    </xf>
    <xf numFmtId="172" fontId="20" fillId="13" borderId="17" xfId="0" applyNumberFormat="1" applyFont="1" applyFill="1" applyBorder="1" applyAlignment="1">
      <alignment horizontal="center" wrapText="1"/>
    </xf>
    <xf numFmtId="172" fontId="20" fillId="13" borderId="11" xfId="0" applyNumberFormat="1" applyFont="1" applyFill="1" applyBorder="1" applyAlignment="1">
      <alignment horizontal="center" wrapText="1"/>
    </xf>
    <xf numFmtId="172" fontId="20" fillId="13" borderId="16" xfId="0" applyNumberFormat="1" applyFont="1" applyFill="1" applyBorder="1" applyAlignment="1">
      <alignment horizontal="center" wrapText="1"/>
    </xf>
    <xf numFmtId="172" fontId="20" fillId="13" borderId="0" xfId="0" applyNumberFormat="1" applyFont="1" applyFill="1" applyAlignment="1">
      <alignment horizontal="center" wrapText="1"/>
    </xf>
    <xf numFmtId="172" fontId="20" fillId="13" borderId="13" xfId="0" applyNumberFormat="1" applyFont="1" applyFill="1" applyBorder="1" applyAlignment="1">
      <alignment horizontal="center" wrapText="1"/>
    </xf>
    <xf numFmtId="0" fontId="3" fillId="13" borderId="16" xfId="0" applyFont="1" applyFill="1" applyBorder="1" applyAlignment="1">
      <alignment horizontal="center" vertical="center" wrapText="1"/>
    </xf>
    <xf numFmtId="0" fontId="3" fillId="13" borderId="0" xfId="0" applyFont="1" applyFill="1" applyAlignment="1">
      <alignment horizontal="center" vertical="center" wrapText="1"/>
    </xf>
    <xf numFmtId="0" fontId="3" fillId="13" borderId="15" xfId="0" applyFont="1" applyFill="1" applyBorder="1" applyAlignment="1">
      <alignment horizontal="center" vertical="center" wrapText="1"/>
    </xf>
    <xf numFmtId="0" fontId="3" fillId="13" borderId="1" xfId="0" applyFont="1" applyFill="1" applyBorder="1" applyAlignment="1">
      <alignment horizontal="center" vertical="center" wrapText="1"/>
    </xf>
    <xf numFmtId="49" fontId="52" fillId="13" borderId="13" xfId="0" applyNumberFormat="1" applyFont="1" applyFill="1" applyBorder="1" applyAlignment="1">
      <alignment horizontal="center" vertical="center"/>
    </xf>
    <xf numFmtId="49" fontId="52" fillId="13" borderId="8" xfId="0" applyNumberFormat="1" applyFont="1" applyFill="1" applyBorder="1" applyAlignment="1">
      <alignment horizontal="center" vertical="center"/>
    </xf>
    <xf numFmtId="0" fontId="51" fillId="0" borderId="17" xfId="0" applyFont="1" applyBorder="1" applyAlignment="1" applyProtection="1">
      <alignment horizontal="center" vertical="center" wrapText="1"/>
      <protection locked="0"/>
    </xf>
    <xf numFmtId="0" fontId="51" fillId="0" borderId="0" xfId="0" applyFont="1" applyAlignment="1" applyProtection="1">
      <alignment horizontal="center" vertical="center" wrapText="1"/>
      <protection locked="0"/>
    </xf>
    <xf numFmtId="0" fontId="0" fillId="0" borderId="0" xfId="0" applyAlignment="1">
      <alignment horizontal="right" vertical="center"/>
    </xf>
    <xf numFmtId="0" fontId="3" fillId="5" borderId="0" xfId="0" applyFont="1" applyFill="1" applyAlignment="1">
      <alignment horizontal="center" vertical="center"/>
    </xf>
    <xf numFmtId="0" fontId="16" fillId="5" borderId="0" xfId="0" applyFont="1" applyFill="1" applyAlignment="1">
      <alignment horizontal="center" vertical="center"/>
    </xf>
    <xf numFmtId="0" fontId="0" fillId="0" borderId="17" xfId="0" applyBorder="1" applyAlignment="1">
      <alignment horizontal="center" vertical="center"/>
    </xf>
    <xf numFmtId="0" fontId="0" fillId="0" borderId="11" xfId="0" applyBorder="1"/>
    <xf numFmtId="0" fontId="13" fillId="0" borderId="17" xfId="0" applyFont="1" applyBorder="1" applyAlignment="1">
      <alignment horizontal="center" vertical="center"/>
    </xf>
    <xf numFmtId="0" fontId="3" fillId="5" borderId="0" xfId="0" applyFont="1" applyFill="1" applyAlignment="1">
      <alignment horizontal="right" vertical="center"/>
    </xf>
    <xf numFmtId="0" fontId="3" fillId="3" borderId="7" xfId="0" applyFont="1" applyFill="1" applyBorder="1" applyAlignment="1">
      <alignment horizontal="center" vertical="center"/>
    </xf>
    <xf numFmtId="0" fontId="3" fillId="3" borderId="4" xfId="0" applyFont="1" applyFill="1" applyBorder="1" applyAlignment="1">
      <alignment horizontal="center" vertical="center"/>
    </xf>
    <xf numFmtId="0" fontId="15" fillId="13" borderId="10" xfId="62" applyFont="1" applyFill="1" applyBorder="1" applyAlignment="1">
      <alignment horizontal="center"/>
    </xf>
    <xf numFmtId="0" fontId="15" fillId="13" borderId="17" xfId="62" applyFont="1" applyFill="1" applyBorder="1" applyAlignment="1">
      <alignment horizontal="center"/>
    </xf>
    <xf numFmtId="0" fontId="15" fillId="13" borderId="11" xfId="62" applyFont="1" applyFill="1" applyBorder="1" applyAlignment="1">
      <alignment horizontal="center"/>
    </xf>
    <xf numFmtId="0" fontId="2" fillId="0" borderId="17" xfId="62" applyBorder="1" applyAlignment="1">
      <alignment horizontal="center"/>
    </xf>
    <xf numFmtId="0" fontId="2" fillId="0" borderId="11" xfId="62" applyBorder="1" applyAlignment="1">
      <alignment horizontal="center"/>
    </xf>
    <xf numFmtId="37" fontId="3" fillId="3" borderId="1" xfId="0" applyNumberFormat="1" applyFont="1" applyFill="1" applyBorder="1" applyAlignment="1" applyProtection="1">
      <alignment horizontal="center" vertical="center"/>
      <protection locked="0"/>
    </xf>
    <xf numFmtId="0" fontId="0" fillId="0" borderId="17" xfId="0" applyBorder="1" applyAlignment="1">
      <alignment horizontal="center"/>
    </xf>
    <xf numFmtId="0" fontId="0" fillId="0" borderId="11" xfId="0" applyBorder="1" applyAlignment="1">
      <alignment horizontal="center"/>
    </xf>
    <xf numFmtId="0" fontId="4" fillId="13" borderId="10" xfId="0" applyFont="1" applyFill="1" applyBorder="1" applyAlignment="1">
      <alignment horizontal="center" wrapText="1"/>
    </xf>
    <xf numFmtId="0" fontId="15" fillId="13" borderId="17" xfId="0" applyFont="1" applyFill="1" applyBorder="1" applyAlignment="1">
      <alignment horizontal="center" wrapText="1"/>
    </xf>
    <xf numFmtId="0" fontId="15" fillId="13" borderId="15" xfId="0" applyFont="1" applyFill="1" applyBorder="1" applyAlignment="1">
      <alignment horizontal="center" wrapText="1"/>
    </xf>
    <xf numFmtId="0" fontId="15" fillId="13" borderId="1" xfId="0" applyFont="1" applyFill="1" applyBorder="1" applyAlignment="1">
      <alignment horizontal="center" wrapText="1"/>
    </xf>
    <xf numFmtId="0" fontId="46" fillId="13" borderId="11" xfId="0" applyFont="1" applyFill="1" applyBorder="1" applyAlignment="1">
      <alignment horizontal="center" vertical="center" wrapText="1"/>
    </xf>
    <xf numFmtId="0" fontId="47" fillId="13" borderId="8" xfId="0" applyFont="1" applyFill="1" applyBorder="1" applyAlignment="1">
      <alignment horizontal="center" vertical="center" wrapText="1"/>
    </xf>
    <xf numFmtId="37" fontId="23" fillId="3" borderId="20" xfId="0" applyNumberFormat="1" applyFont="1" applyFill="1" applyBorder="1" applyAlignment="1">
      <alignment horizontal="right" vertical="center"/>
    </xf>
    <xf numFmtId="37" fontId="23" fillId="3" borderId="21" xfId="0" applyNumberFormat="1" applyFont="1" applyFill="1" applyBorder="1" applyAlignment="1">
      <alignment horizontal="right" vertical="center"/>
    </xf>
    <xf numFmtId="37" fontId="23" fillId="3" borderId="22" xfId="0" applyNumberFormat="1" applyFont="1" applyFill="1" applyBorder="1" applyAlignment="1">
      <alignment horizontal="right" vertical="center"/>
    </xf>
    <xf numFmtId="37" fontId="3" fillId="3" borderId="5" xfId="42" applyNumberFormat="1" applyFont="1" applyFill="1" applyBorder="1" applyAlignment="1">
      <alignment horizontal="center" vertical="center" wrapText="1"/>
    </xf>
    <xf numFmtId="37" fontId="3" fillId="3" borderId="6" xfId="42" applyNumberFormat="1" applyFont="1" applyFill="1" applyBorder="1" applyAlignment="1">
      <alignment horizontal="center" vertical="center" wrapText="1"/>
    </xf>
    <xf numFmtId="37" fontId="3" fillId="13" borderId="0" xfId="0" applyNumberFormat="1" applyFont="1" applyFill="1" applyAlignment="1">
      <alignment horizontal="center" vertical="center"/>
    </xf>
    <xf numFmtId="1" fontId="3" fillId="3" borderId="7" xfId="0" applyNumberFormat="1" applyFont="1" applyFill="1" applyBorder="1" applyAlignment="1">
      <alignment horizontal="center" vertical="center"/>
    </xf>
    <xf numFmtId="1" fontId="3" fillId="3" borderId="4" xfId="0" applyNumberFormat="1" applyFont="1" applyFill="1" applyBorder="1" applyAlignment="1">
      <alignment horizontal="center" vertical="center"/>
    </xf>
    <xf numFmtId="37" fontId="3" fillId="3" borderId="17" xfId="0" applyNumberFormat="1" applyFont="1" applyFill="1" applyBorder="1" applyAlignment="1">
      <alignment horizontal="center" vertical="center"/>
    </xf>
    <xf numFmtId="37" fontId="4" fillId="3" borderId="0" xfId="0" applyNumberFormat="1" applyFont="1" applyFill="1" applyAlignment="1">
      <alignment horizontal="center"/>
    </xf>
    <xf numFmtId="0" fontId="0" fillId="0" borderId="1" xfId="0" applyBorder="1" applyAlignment="1" applyProtection="1">
      <alignment vertical="center"/>
      <protection locked="0"/>
    </xf>
    <xf numFmtId="37" fontId="3" fillId="3" borderId="17" xfId="0" applyNumberFormat="1" applyFont="1" applyFill="1" applyBorder="1" applyAlignment="1" applyProtection="1">
      <alignment horizontal="center" vertical="center"/>
      <protection locked="0"/>
    </xf>
    <xf numFmtId="0" fontId="0" fillId="0" borderId="17" xfId="0" applyBorder="1" applyAlignment="1" applyProtection="1">
      <alignment vertical="center"/>
      <protection locked="0"/>
    </xf>
    <xf numFmtId="37" fontId="4" fillId="3" borderId="5" xfId="0" applyNumberFormat="1" applyFont="1" applyFill="1" applyBorder="1" applyAlignment="1">
      <alignment horizontal="center" vertical="center" wrapText="1"/>
    </xf>
    <xf numFmtId="37" fontId="4" fillId="3" borderId="3" xfId="0" applyNumberFormat="1" applyFont="1" applyFill="1" applyBorder="1" applyAlignment="1">
      <alignment horizontal="center" vertical="center" wrapText="1"/>
    </xf>
    <xf numFmtId="37" fontId="4" fillId="3" borderId="6" xfId="0" applyNumberFormat="1" applyFont="1" applyFill="1" applyBorder="1" applyAlignment="1">
      <alignment horizontal="center" vertical="center" wrapText="1"/>
    </xf>
    <xf numFmtId="0" fontId="3" fillId="3" borderId="7" xfId="0" applyFont="1" applyFill="1" applyBorder="1" applyAlignment="1">
      <alignment horizontal="center"/>
    </xf>
    <xf numFmtId="0" fontId="3" fillId="3" borderId="4" xfId="0" applyFont="1" applyFill="1" applyBorder="1" applyAlignment="1">
      <alignment horizontal="center"/>
    </xf>
    <xf numFmtId="1" fontId="3" fillId="3" borderId="7" xfId="0" applyNumberFormat="1" applyFont="1" applyFill="1" applyBorder="1" applyAlignment="1">
      <alignment horizontal="center"/>
    </xf>
    <xf numFmtId="1" fontId="3" fillId="3" borderId="4" xfId="0" applyNumberFormat="1" applyFont="1" applyFill="1" applyBorder="1" applyAlignment="1">
      <alignment horizontal="center"/>
    </xf>
    <xf numFmtId="37" fontId="3" fillId="3" borderId="3" xfId="0" applyNumberFormat="1" applyFont="1" applyFill="1" applyBorder="1" applyAlignment="1">
      <alignment horizontal="center" vertical="center" wrapText="1"/>
    </xf>
    <xf numFmtId="37" fontId="3" fillId="3" borderId="7" xfId="0" applyNumberFormat="1" applyFont="1" applyFill="1" applyBorder="1" applyAlignment="1">
      <alignment horizontal="center"/>
    </xf>
    <xf numFmtId="37" fontId="3" fillId="3" borderId="9" xfId="0" applyNumberFormat="1" applyFont="1" applyFill="1" applyBorder="1" applyAlignment="1">
      <alignment horizontal="center"/>
    </xf>
    <xf numFmtId="37" fontId="3" fillId="3" borderId="4" xfId="0" applyNumberFormat="1" applyFont="1" applyFill="1" applyBorder="1" applyAlignment="1">
      <alignment horizontal="center"/>
    </xf>
    <xf numFmtId="37" fontId="23" fillId="3" borderId="2" xfId="0" applyNumberFormat="1" applyFont="1" applyFill="1" applyBorder="1" applyAlignment="1">
      <alignment horizontal="center" vertical="center" wrapText="1"/>
    </xf>
    <xf numFmtId="49" fontId="3" fillId="3" borderId="0" xfId="0" applyNumberFormat="1" applyFont="1" applyFill="1" applyAlignment="1" applyProtection="1">
      <alignment horizontal="left" vertical="center"/>
      <protection locked="0"/>
    </xf>
    <xf numFmtId="0" fontId="15" fillId="3" borderId="0" xfId="0" applyFont="1" applyFill="1" applyAlignment="1">
      <alignment horizontal="center" vertical="center"/>
    </xf>
    <xf numFmtId="0" fontId="3" fillId="3" borderId="2" xfId="0" applyFont="1" applyFill="1" applyBorder="1" applyAlignment="1">
      <alignment horizontal="center" vertical="center"/>
    </xf>
    <xf numFmtId="0" fontId="3" fillId="15" borderId="0" xfId="0" applyFont="1" applyFill="1" applyAlignment="1">
      <alignment horizontal="right" vertical="center"/>
    </xf>
    <xf numFmtId="0" fontId="15" fillId="0" borderId="0" xfId="0" applyFont="1" applyAlignment="1">
      <alignment horizontal="center"/>
    </xf>
    <xf numFmtId="0" fontId="4" fillId="0" borderId="0" xfId="0" applyFont="1" applyAlignment="1">
      <alignment horizontal="left" wrapText="1"/>
    </xf>
    <xf numFmtId="0" fontId="3" fillId="0" borderId="0" xfId="0" applyFont="1" applyAlignment="1">
      <alignment horizontal="left" wrapText="1"/>
    </xf>
    <xf numFmtId="0" fontId="3" fillId="0" borderId="0" xfId="0" applyFont="1" applyAlignment="1">
      <alignment horizontal="center"/>
    </xf>
    <xf numFmtId="0" fontId="54" fillId="0" borderId="7" xfId="521" applyFont="1" applyBorder="1" applyAlignment="1">
      <alignment horizontal="center"/>
    </xf>
    <xf numFmtId="0" fontId="54" fillId="0" borderId="9" xfId="521" applyFont="1" applyBorder="1" applyAlignment="1">
      <alignment horizontal="center"/>
    </xf>
    <xf numFmtId="0" fontId="54" fillId="0" borderId="4" xfId="521" applyFont="1" applyBorder="1" applyAlignment="1">
      <alignment horizontal="center"/>
    </xf>
    <xf numFmtId="0" fontId="53" fillId="0" borderId="0" xfId="521" applyFont="1" applyAlignment="1">
      <alignment horizontal="center"/>
    </xf>
    <xf numFmtId="0" fontId="54" fillId="0" borderId="0" xfId="521" applyFont="1" applyAlignment="1">
      <alignment horizontal="center" wrapText="1"/>
    </xf>
    <xf numFmtId="0" fontId="54" fillId="0" borderId="0" xfId="521" applyFont="1" applyAlignment="1">
      <alignment horizontal="center"/>
    </xf>
    <xf numFmtId="0" fontId="56" fillId="17" borderId="7" xfId="521" applyFont="1" applyFill="1" applyBorder="1" applyAlignment="1">
      <alignment horizontal="center" vertical="center"/>
    </xf>
    <xf numFmtId="0" fontId="56" fillId="17" borderId="9" xfId="521" applyFont="1" applyFill="1" applyBorder="1" applyAlignment="1">
      <alignment horizontal="center" vertical="center"/>
    </xf>
    <xf numFmtId="0" fontId="56" fillId="17" borderId="4" xfId="521" applyFont="1" applyFill="1" applyBorder="1" applyAlignment="1">
      <alignment horizontal="center" vertical="center"/>
    </xf>
    <xf numFmtId="0" fontId="54" fillId="0" borderId="2" xfId="521" applyFont="1" applyBorder="1" applyAlignment="1">
      <alignment horizontal="center"/>
    </xf>
    <xf numFmtId="0" fontId="54" fillId="0" borderId="12" xfId="521" applyFont="1" applyBorder="1" applyAlignment="1">
      <alignment horizontal="center"/>
    </xf>
    <xf numFmtId="0" fontId="57" fillId="0" borderId="6" xfId="521" applyFont="1" applyBorder="1" applyAlignment="1">
      <alignment horizontal="center" vertical="center"/>
    </xf>
    <xf numFmtId="0" fontId="54" fillId="0" borderId="1" xfId="521" applyFont="1" applyBorder="1" applyAlignment="1">
      <alignment horizontal="center" wrapText="1"/>
    </xf>
    <xf numFmtId="0" fontId="3" fillId="0" borderId="0" xfId="0" applyFont="1" applyAlignment="1">
      <alignment horizontal="center" wrapText="1"/>
    </xf>
    <xf numFmtId="0" fontId="4" fillId="0" borderId="0" xfId="0" applyFont="1" applyAlignment="1">
      <alignment wrapText="1"/>
    </xf>
    <xf numFmtId="0" fontId="3" fillId="0" borderId="0" xfId="0" applyFont="1" applyAlignment="1">
      <alignment wrapText="1"/>
    </xf>
    <xf numFmtId="0" fontId="58" fillId="0" borderId="0" xfId="0" quotePrefix="1" applyFont="1" applyAlignment="1">
      <alignment horizontal="center" vertical="center"/>
    </xf>
    <xf numFmtId="0" fontId="58" fillId="0" borderId="0" xfId="0" applyFont="1" applyAlignment="1">
      <alignment horizontal="center" vertical="center"/>
    </xf>
    <xf numFmtId="0" fontId="46" fillId="0" borderId="0" xfId="0" applyFont="1" applyAlignment="1">
      <alignment horizontal="center" vertical="center"/>
    </xf>
    <xf numFmtId="0" fontId="66" fillId="0" borderId="0" xfId="0" applyFont="1" applyAlignment="1">
      <alignment horizontal="center" wrapText="1"/>
    </xf>
  </cellXfs>
  <cellStyles count="522">
    <cellStyle name="Comma" xfId="1" builtinId="3"/>
    <cellStyle name="Comma 11 2" xfId="2" xr:uid="{00000000-0005-0000-0000-000001000000}"/>
    <cellStyle name="Comma 16" xfId="3" xr:uid="{00000000-0005-0000-0000-000002000000}"/>
    <cellStyle name="Comma 16 2" xfId="4" xr:uid="{00000000-0005-0000-0000-000003000000}"/>
    <cellStyle name="Comma 16 3" xfId="5" xr:uid="{00000000-0005-0000-0000-000004000000}"/>
    <cellStyle name="Comma 17" xfId="6" xr:uid="{00000000-0005-0000-0000-000005000000}"/>
    <cellStyle name="Comma 2 2" xfId="7" xr:uid="{00000000-0005-0000-0000-000006000000}"/>
    <cellStyle name="Comma 3 2" xfId="8" xr:uid="{00000000-0005-0000-0000-000007000000}"/>
    <cellStyle name="Comma 3 3" xfId="9" xr:uid="{00000000-0005-0000-0000-000008000000}"/>
    <cellStyle name="Comma 4 2" xfId="10" xr:uid="{00000000-0005-0000-0000-000009000000}"/>
    <cellStyle name="Comma 6 2" xfId="11" xr:uid="{00000000-0005-0000-0000-00000A000000}"/>
    <cellStyle name="Comma 7" xfId="12" xr:uid="{00000000-0005-0000-0000-00000B000000}"/>
    <cellStyle name="Comma 7 2" xfId="13" xr:uid="{00000000-0005-0000-0000-00000C000000}"/>
    <cellStyle name="Comma 7 3" xfId="14" xr:uid="{00000000-0005-0000-0000-00000D000000}"/>
    <cellStyle name="Hyperlink 16" xfId="15" xr:uid="{00000000-0005-0000-0000-00000E000000}"/>
    <cellStyle name="Hyperlink 2" xfId="16" xr:uid="{00000000-0005-0000-0000-00000F000000}"/>
    <cellStyle name="Hyperlink 2 2" xfId="17" xr:uid="{00000000-0005-0000-0000-000010000000}"/>
    <cellStyle name="Hyperlink 2 3" xfId="18" xr:uid="{00000000-0005-0000-0000-000011000000}"/>
    <cellStyle name="Hyperlink 3" xfId="19" xr:uid="{00000000-0005-0000-0000-000012000000}"/>
    <cellStyle name="Hyperlink 3 2" xfId="20" xr:uid="{00000000-0005-0000-0000-000013000000}"/>
    <cellStyle name="Hyperlink 3 3" xfId="21" xr:uid="{00000000-0005-0000-0000-000014000000}"/>
    <cellStyle name="Hyperlink 3 4" xfId="22" xr:uid="{00000000-0005-0000-0000-000015000000}"/>
    <cellStyle name="Hyperlink 4" xfId="23" xr:uid="{00000000-0005-0000-0000-000016000000}"/>
    <cellStyle name="Hyperlink 4 2" xfId="24" xr:uid="{00000000-0005-0000-0000-000017000000}"/>
    <cellStyle name="Hyperlink 7" xfId="25" xr:uid="{00000000-0005-0000-0000-000018000000}"/>
    <cellStyle name="Hyperlink 7 2" xfId="26" xr:uid="{00000000-0005-0000-0000-000019000000}"/>
    <cellStyle name="Hyperlink 7 3" xfId="27" xr:uid="{00000000-0005-0000-0000-00001A000000}"/>
    <cellStyle name="Hyperlink 8" xfId="28" xr:uid="{00000000-0005-0000-0000-00001B000000}"/>
    <cellStyle name="Hyperlink 8 2" xfId="29" xr:uid="{00000000-0005-0000-0000-00001C000000}"/>
    <cellStyle name="Normal" xfId="0" builtinId="0"/>
    <cellStyle name="Normal 10" xfId="30" xr:uid="{00000000-0005-0000-0000-00001E000000}"/>
    <cellStyle name="Normal 10 2" xfId="31" xr:uid="{00000000-0005-0000-0000-00001F000000}"/>
    <cellStyle name="Normal 10 2 2" xfId="32" xr:uid="{00000000-0005-0000-0000-000020000000}"/>
    <cellStyle name="Normal 10 2 2 2" xfId="33" xr:uid="{00000000-0005-0000-0000-000021000000}"/>
    <cellStyle name="Normal 10 2 2 3" xfId="34" xr:uid="{00000000-0005-0000-0000-000022000000}"/>
    <cellStyle name="Normal 10 2 3" xfId="35" xr:uid="{00000000-0005-0000-0000-000023000000}"/>
    <cellStyle name="Normal 10 3" xfId="36" xr:uid="{00000000-0005-0000-0000-000024000000}"/>
    <cellStyle name="Normal 10 3 2" xfId="37" xr:uid="{00000000-0005-0000-0000-000025000000}"/>
    <cellStyle name="Normal 10 3 3" xfId="38" xr:uid="{00000000-0005-0000-0000-000026000000}"/>
    <cellStyle name="Normal 10 4" xfId="39" xr:uid="{00000000-0005-0000-0000-000027000000}"/>
    <cellStyle name="Normal 10 4 2" xfId="40" xr:uid="{00000000-0005-0000-0000-000028000000}"/>
    <cellStyle name="Normal 10 4 3" xfId="41" xr:uid="{00000000-0005-0000-0000-000029000000}"/>
    <cellStyle name="Normal 10 5" xfId="42" xr:uid="{00000000-0005-0000-0000-00002A000000}"/>
    <cellStyle name="Normal 10 5 2" xfId="43" xr:uid="{00000000-0005-0000-0000-00002B000000}"/>
    <cellStyle name="Normal 10 5 3" xfId="44" xr:uid="{00000000-0005-0000-0000-00002C000000}"/>
    <cellStyle name="Normal 10 6" xfId="45" xr:uid="{00000000-0005-0000-0000-00002D000000}"/>
    <cellStyle name="Normal 10 6 2" xfId="46" xr:uid="{00000000-0005-0000-0000-00002E000000}"/>
    <cellStyle name="Normal 10 6 3" xfId="47" xr:uid="{00000000-0005-0000-0000-00002F000000}"/>
    <cellStyle name="Normal 10 7" xfId="48" xr:uid="{00000000-0005-0000-0000-000030000000}"/>
    <cellStyle name="Normal 10 7 2" xfId="49" xr:uid="{00000000-0005-0000-0000-000031000000}"/>
    <cellStyle name="Normal 10 7 3" xfId="50" xr:uid="{00000000-0005-0000-0000-000032000000}"/>
    <cellStyle name="Normal 11" xfId="51" xr:uid="{00000000-0005-0000-0000-000033000000}"/>
    <cellStyle name="Normal 11 2" xfId="52" xr:uid="{00000000-0005-0000-0000-000034000000}"/>
    <cellStyle name="Normal 11 2 2" xfId="53" xr:uid="{00000000-0005-0000-0000-000035000000}"/>
    <cellStyle name="Normal 11 2 3" xfId="54" xr:uid="{00000000-0005-0000-0000-000036000000}"/>
    <cellStyle name="Normal 11 3" xfId="55" xr:uid="{00000000-0005-0000-0000-000037000000}"/>
    <cellStyle name="Normal 11 4" xfId="56" xr:uid="{00000000-0005-0000-0000-000038000000}"/>
    <cellStyle name="Normal 11 5" xfId="57" xr:uid="{00000000-0005-0000-0000-000039000000}"/>
    <cellStyle name="Normal 11 5 2" xfId="58" xr:uid="{00000000-0005-0000-0000-00003A000000}"/>
    <cellStyle name="Normal 11 5 3" xfId="59" xr:uid="{00000000-0005-0000-0000-00003B000000}"/>
    <cellStyle name="Normal 11 6" xfId="60" xr:uid="{00000000-0005-0000-0000-00003C000000}"/>
    <cellStyle name="Normal 12" xfId="61" xr:uid="{00000000-0005-0000-0000-00003D000000}"/>
    <cellStyle name="Normal 12 10" xfId="62" xr:uid="{00000000-0005-0000-0000-00003E000000}"/>
    <cellStyle name="Normal 12 11" xfId="63" xr:uid="{00000000-0005-0000-0000-00003F000000}"/>
    <cellStyle name="Normal 12 12" xfId="64" xr:uid="{00000000-0005-0000-0000-000040000000}"/>
    <cellStyle name="Normal 12 13" xfId="65" xr:uid="{00000000-0005-0000-0000-000041000000}"/>
    <cellStyle name="Normal 12 2" xfId="66" xr:uid="{00000000-0005-0000-0000-000042000000}"/>
    <cellStyle name="Normal 12 2 2" xfId="67" xr:uid="{00000000-0005-0000-0000-000043000000}"/>
    <cellStyle name="Normal 12 3" xfId="68" xr:uid="{00000000-0005-0000-0000-000044000000}"/>
    <cellStyle name="Normal 12 4" xfId="69" xr:uid="{00000000-0005-0000-0000-000045000000}"/>
    <cellStyle name="Normal 12 5" xfId="70" xr:uid="{00000000-0005-0000-0000-000046000000}"/>
    <cellStyle name="Normal 12 6" xfId="71" xr:uid="{00000000-0005-0000-0000-000047000000}"/>
    <cellStyle name="Normal 12 7" xfId="72" xr:uid="{00000000-0005-0000-0000-000048000000}"/>
    <cellStyle name="Normal 12 8" xfId="73" xr:uid="{00000000-0005-0000-0000-000049000000}"/>
    <cellStyle name="Normal 12 9" xfId="74" xr:uid="{00000000-0005-0000-0000-00004A000000}"/>
    <cellStyle name="Normal 13" xfId="75" xr:uid="{00000000-0005-0000-0000-00004B000000}"/>
    <cellStyle name="Normal 13 10" xfId="76" xr:uid="{00000000-0005-0000-0000-00004C000000}"/>
    <cellStyle name="Normal 13 11" xfId="77" xr:uid="{00000000-0005-0000-0000-00004D000000}"/>
    <cellStyle name="Normal 13 12" xfId="78" xr:uid="{00000000-0005-0000-0000-00004E000000}"/>
    <cellStyle name="Normal 13 13" xfId="79" xr:uid="{00000000-0005-0000-0000-00004F000000}"/>
    <cellStyle name="Normal 13 2" xfId="80" xr:uid="{00000000-0005-0000-0000-000050000000}"/>
    <cellStyle name="Normal 13 2 2" xfId="81" xr:uid="{00000000-0005-0000-0000-000051000000}"/>
    <cellStyle name="Normal 13 3" xfId="82" xr:uid="{00000000-0005-0000-0000-000052000000}"/>
    <cellStyle name="Normal 13 4" xfId="83" xr:uid="{00000000-0005-0000-0000-000053000000}"/>
    <cellStyle name="Normal 13 5" xfId="84" xr:uid="{00000000-0005-0000-0000-000054000000}"/>
    <cellStyle name="Normal 13 6" xfId="85" xr:uid="{00000000-0005-0000-0000-000055000000}"/>
    <cellStyle name="Normal 13 7" xfId="86" xr:uid="{00000000-0005-0000-0000-000056000000}"/>
    <cellStyle name="Normal 13 8" xfId="87" xr:uid="{00000000-0005-0000-0000-000057000000}"/>
    <cellStyle name="Normal 13 9" xfId="88" xr:uid="{00000000-0005-0000-0000-000058000000}"/>
    <cellStyle name="Normal 14" xfId="89" xr:uid="{00000000-0005-0000-0000-000059000000}"/>
    <cellStyle name="Normal 14 2" xfId="90" xr:uid="{00000000-0005-0000-0000-00005A000000}"/>
    <cellStyle name="Normal 14 3" xfId="91" xr:uid="{00000000-0005-0000-0000-00005B000000}"/>
    <cellStyle name="Normal 14 4" xfId="92" xr:uid="{00000000-0005-0000-0000-00005C000000}"/>
    <cellStyle name="Normal 14 5" xfId="93" xr:uid="{00000000-0005-0000-0000-00005D000000}"/>
    <cellStyle name="Normal 14 6" xfId="94" xr:uid="{00000000-0005-0000-0000-00005E000000}"/>
    <cellStyle name="Normal 14 7" xfId="95" xr:uid="{00000000-0005-0000-0000-00005F000000}"/>
    <cellStyle name="Normal 14 7 2" xfId="96" xr:uid="{00000000-0005-0000-0000-000060000000}"/>
    <cellStyle name="Normal 14 7 3" xfId="97" xr:uid="{00000000-0005-0000-0000-000061000000}"/>
    <cellStyle name="Normal 15" xfId="98" xr:uid="{00000000-0005-0000-0000-000062000000}"/>
    <cellStyle name="Normal 15 2" xfId="99" xr:uid="{00000000-0005-0000-0000-000063000000}"/>
    <cellStyle name="Normal 15 3" xfId="100" xr:uid="{00000000-0005-0000-0000-000064000000}"/>
    <cellStyle name="Normal 15 4" xfId="101" xr:uid="{00000000-0005-0000-0000-000065000000}"/>
    <cellStyle name="Normal 15 5" xfId="102" xr:uid="{00000000-0005-0000-0000-000066000000}"/>
    <cellStyle name="Normal 16" xfId="103" xr:uid="{00000000-0005-0000-0000-000067000000}"/>
    <cellStyle name="Normal 16 2" xfId="104" xr:uid="{00000000-0005-0000-0000-000068000000}"/>
    <cellStyle name="Normal 16 3" xfId="105" xr:uid="{00000000-0005-0000-0000-000069000000}"/>
    <cellStyle name="Normal 16 4" xfId="106" xr:uid="{00000000-0005-0000-0000-00006A000000}"/>
    <cellStyle name="Normal 16 5" xfId="107" xr:uid="{00000000-0005-0000-0000-00006B000000}"/>
    <cellStyle name="Normal 17" xfId="108" xr:uid="{00000000-0005-0000-0000-00006C000000}"/>
    <cellStyle name="Normal 17 2" xfId="109" xr:uid="{00000000-0005-0000-0000-00006D000000}"/>
    <cellStyle name="Normal 17 3" xfId="110" xr:uid="{00000000-0005-0000-0000-00006E000000}"/>
    <cellStyle name="Normal 17 4" xfId="111" xr:uid="{00000000-0005-0000-0000-00006F000000}"/>
    <cellStyle name="Normal 17 5" xfId="112" xr:uid="{00000000-0005-0000-0000-000070000000}"/>
    <cellStyle name="Normal 18" xfId="113" xr:uid="{00000000-0005-0000-0000-000071000000}"/>
    <cellStyle name="Normal 18 2" xfId="114" xr:uid="{00000000-0005-0000-0000-000072000000}"/>
    <cellStyle name="Normal 18 2 2" xfId="115" xr:uid="{00000000-0005-0000-0000-000073000000}"/>
    <cellStyle name="Normal 18 2 3" xfId="116" xr:uid="{00000000-0005-0000-0000-000074000000}"/>
    <cellStyle name="Normal 18 3" xfId="117" xr:uid="{00000000-0005-0000-0000-000075000000}"/>
    <cellStyle name="Normal 18 4" xfId="118" xr:uid="{00000000-0005-0000-0000-000076000000}"/>
    <cellStyle name="Normal 18 5" xfId="119" xr:uid="{00000000-0005-0000-0000-000077000000}"/>
    <cellStyle name="Normal 18 6" xfId="120" xr:uid="{00000000-0005-0000-0000-000078000000}"/>
    <cellStyle name="Normal 18 7" xfId="121" xr:uid="{00000000-0005-0000-0000-000079000000}"/>
    <cellStyle name="Normal 18 8" xfId="122" xr:uid="{00000000-0005-0000-0000-00007A000000}"/>
    <cellStyle name="Normal 18 9" xfId="123" xr:uid="{00000000-0005-0000-0000-00007B000000}"/>
    <cellStyle name="Normal 19" xfId="124" xr:uid="{00000000-0005-0000-0000-00007C000000}"/>
    <cellStyle name="Normal 19 2" xfId="125" xr:uid="{00000000-0005-0000-0000-00007D000000}"/>
    <cellStyle name="Normal 19 2 2" xfId="126" xr:uid="{00000000-0005-0000-0000-00007E000000}"/>
    <cellStyle name="Normal 19 2 3" xfId="127" xr:uid="{00000000-0005-0000-0000-00007F000000}"/>
    <cellStyle name="Normal 19 3" xfId="128" xr:uid="{00000000-0005-0000-0000-000080000000}"/>
    <cellStyle name="Normal 19 4" xfId="129" xr:uid="{00000000-0005-0000-0000-000081000000}"/>
    <cellStyle name="Normal 19 5" xfId="130" xr:uid="{00000000-0005-0000-0000-000082000000}"/>
    <cellStyle name="Normal 19 6" xfId="131" xr:uid="{00000000-0005-0000-0000-000083000000}"/>
    <cellStyle name="Normal 19 7" xfId="132" xr:uid="{00000000-0005-0000-0000-000084000000}"/>
    <cellStyle name="Normal 19 8" xfId="133" xr:uid="{00000000-0005-0000-0000-000085000000}"/>
    <cellStyle name="Normal 2 10" xfId="134" xr:uid="{00000000-0005-0000-0000-000086000000}"/>
    <cellStyle name="Normal 2 10 10" xfId="135" xr:uid="{00000000-0005-0000-0000-000087000000}"/>
    <cellStyle name="Normal 2 10 11" xfId="136" xr:uid="{00000000-0005-0000-0000-000088000000}"/>
    <cellStyle name="Normal 2 10 11 2" xfId="137" xr:uid="{00000000-0005-0000-0000-000089000000}"/>
    <cellStyle name="Normal 2 10 11 2 2" xfId="138" xr:uid="{00000000-0005-0000-0000-00008A000000}"/>
    <cellStyle name="Normal 2 10 11 2 2 2" xfId="139" xr:uid="{00000000-0005-0000-0000-00008B000000}"/>
    <cellStyle name="Normal 2 10 11 2 2 3" xfId="140" xr:uid="{00000000-0005-0000-0000-00008C000000}"/>
    <cellStyle name="Normal 2 10 11 3" xfId="141" xr:uid="{00000000-0005-0000-0000-00008D000000}"/>
    <cellStyle name="Normal 2 10 11 4" xfId="142" xr:uid="{00000000-0005-0000-0000-00008E000000}"/>
    <cellStyle name="Normal 2 10 11 5" xfId="143" xr:uid="{00000000-0005-0000-0000-00008F000000}"/>
    <cellStyle name="Normal 2 10 12" xfId="144" xr:uid="{00000000-0005-0000-0000-000090000000}"/>
    <cellStyle name="Normal 2 10 2" xfId="145" xr:uid="{00000000-0005-0000-0000-000091000000}"/>
    <cellStyle name="Normal 2 10 2 2" xfId="146" xr:uid="{00000000-0005-0000-0000-000092000000}"/>
    <cellStyle name="Normal 2 10 3" xfId="147" xr:uid="{00000000-0005-0000-0000-000093000000}"/>
    <cellStyle name="Normal 2 10 3 2" xfId="148" xr:uid="{00000000-0005-0000-0000-000094000000}"/>
    <cellStyle name="Normal 2 10 4" xfId="149" xr:uid="{00000000-0005-0000-0000-000095000000}"/>
    <cellStyle name="Normal 2 10 4 2" xfId="150" xr:uid="{00000000-0005-0000-0000-000096000000}"/>
    <cellStyle name="Normal 2 10 5" xfId="151" xr:uid="{00000000-0005-0000-0000-000097000000}"/>
    <cellStyle name="Normal 2 10 5 2" xfId="152" xr:uid="{00000000-0005-0000-0000-000098000000}"/>
    <cellStyle name="Normal 2 10 6" xfId="153" xr:uid="{00000000-0005-0000-0000-000099000000}"/>
    <cellStyle name="Normal 2 10 6 2" xfId="154" xr:uid="{00000000-0005-0000-0000-00009A000000}"/>
    <cellStyle name="Normal 2 10 7" xfId="155" xr:uid="{00000000-0005-0000-0000-00009B000000}"/>
    <cellStyle name="Normal 2 10 7 2" xfId="156" xr:uid="{00000000-0005-0000-0000-00009C000000}"/>
    <cellStyle name="Normal 2 10 8" xfId="157" xr:uid="{00000000-0005-0000-0000-00009D000000}"/>
    <cellStyle name="Normal 2 10 8 2" xfId="158" xr:uid="{00000000-0005-0000-0000-00009E000000}"/>
    <cellStyle name="Normal 2 10 9" xfId="159" xr:uid="{00000000-0005-0000-0000-00009F000000}"/>
    <cellStyle name="Normal 2 11" xfId="160" xr:uid="{00000000-0005-0000-0000-0000A0000000}"/>
    <cellStyle name="Normal 2 11 10" xfId="161" xr:uid="{00000000-0005-0000-0000-0000A1000000}"/>
    <cellStyle name="Normal 2 11 11" xfId="162" xr:uid="{00000000-0005-0000-0000-0000A2000000}"/>
    <cellStyle name="Normal 2 11 2" xfId="163" xr:uid="{00000000-0005-0000-0000-0000A3000000}"/>
    <cellStyle name="Normal 2 11 2 2" xfId="164" xr:uid="{00000000-0005-0000-0000-0000A4000000}"/>
    <cellStyle name="Normal 2 11 3" xfId="165" xr:uid="{00000000-0005-0000-0000-0000A5000000}"/>
    <cellStyle name="Normal 2 11 3 2" xfId="166" xr:uid="{00000000-0005-0000-0000-0000A6000000}"/>
    <cellStyle name="Normal 2 11 4" xfId="167" xr:uid="{00000000-0005-0000-0000-0000A7000000}"/>
    <cellStyle name="Normal 2 11 4 2" xfId="168" xr:uid="{00000000-0005-0000-0000-0000A8000000}"/>
    <cellStyle name="Normal 2 11 5" xfId="169" xr:uid="{00000000-0005-0000-0000-0000A9000000}"/>
    <cellStyle name="Normal 2 11 5 2" xfId="170" xr:uid="{00000000-0005-0000-0000-0000AA000000}"/>
    <cellStyle name="Normal 2 11 6" xfId="171" xr:uid="{00000000-0005-0000-0000-0000AB000000}"/>
    <cellStyle name="Normal 2 11 6 2" xfId="172" xr:uid="{00000000-0005-0000-0000-0000AC000000}"/>
    <cellStyle name="Normal 2 11 7" xfId="173" xr:uid="{00000000-0005-0000-0000-0000AD000000}"/>
    <cellStyle name="Normal 2 11 7 2" xfId="174" xr:uid="{00000000-0005-0000-0000-0000AE000000}"/>
    <cellStyle name="Normal 2 11 8" xfId="175" xr:uid="{00000000-0005-0000-0000-0000AF000000}"/>
    <cellStyle name="Normal 2 11 8 2" xfId="176" xr:uid="{00000000-0005-0000-0000-0000B0000000}"/>
    <cellStyle name="Normal 2 11 9" xfId="177" xr:uid="{00000000-0005-0000-0000-0000B1000000}"/>
    <cellStyle name="Normal 2 12" xfId="178" xr:uid="{00000000-0005-0000-0000-0000B2000000}"/>
    <cellStyle name="Normal 2 13" xfId="179" xr:uid="{00000000-0005-0000-0000-0000B3000000}"/>
    <cellStyle name="Normal 2 14" xfId="180" xr:uid="{00000000-0005-0000-0000-0000B4000000}"/>
    <cellStyle name="Normal 2 15" xfId="181" xr:uid="{00000000-0005-0000-0000-0000B5000000}"/>
    <cellStyle name="Normal 2 16" xfId="182" xr:uid="{00000000-0005-0000-0000-0000B6000000}"/>
    <cellStyle name="Normal 2 17" xfId="183" xr:uid="{00000000-0005-0000-0000-0000B7000000}"/>
    <cellStyle name="Normal 2 17 2" xfId="184" xr:uid="{00000000-0005-0000-0000-0000B8000000}"/>
    <cellStyle name="Normal 2 17 3" xfId="185" xr:uid="{00000000-0005-0000-0000-0000B9000000}"/>
    <cellStyle name="Normal 2 2" xfId="186" xr:uid="{00000000-0005-0000-0000-0000BA000000}"/>
    <cellStyle name="Normal 2 2 10" xfId="187" xr:uid="{00000000-0005-0000-0000-0000BB000000}"/>
    <cellStyle name="Normal 2 2 10 2" xfId="188" xr:uid="{00000000-0005-0000-0000-0000BC000000}"/>
    <cellStyle name="Normal 2 2 11" xfId="189" xr:uid="{00000000-0005-0000-0000-0000BD000000}"/>
    <cellStyle name="Normal 2 2 11 2" xfId="190" xr:uid="{00000000-0005-0000-0000-0000BE000000}"/>
    <cellStyle name="Normal 2 2 12" xfId="191" xr:uid="{00000000-0005-0000-0000-0000BF000000}"/>
    <cellStyle name="Normal 2 2 12 2" xfId="192" xr:uid="{00000000-0005-0000-0000-0000C0000000}"/>
    <cellStyle name="Normal 2 2 12 2 2" xfId="193" xr:uid="{00000000-0005-0000-0000-0000C1000000}"/>
    <cellStyle name="Normal 2 2 12 2 3" xfId="194" xr:uid="{00000000-0005-0000-0000-0000C2000000}"/>
    <cellStyle name="Normal 2 2 12 2 4" xfId="195" xr:uid="{00000000-0005-0000-0000-0000C3000000}"/>
    <cellStyle name="Normal 2 2 12 3" xfId="196" xr:uid="{00000000-0005-0000-0000-0000C4000000}"/>
    <cellStyle name="Normal 2 2 12 4" xfId="197" xr:uid="{00000000-0005-0000-0000-0000C5000000}"/>
    <cellStyle name="Normal 2 2 13" xfId="198" xr:uid="{00000000-0005-0000-0000-0000C6000000}"/>
    <cellStyle name="Normal 2 2 13 2" xfId="199" xr:uid="{00000000-0005-0000-0000-0000C7000000}"/>
    <cellStyle name="Normal 2 2 13 2 2" xfId="200" xr:uid="{00000000-0005-0000-0000-0000C8000000}"/>
    <cellStyle name="Normal 2 2 13 2 3" xfId="201" xr:uid="{00000000-0005-0000-0000-0000C9000000}"/>
    <cellStyle name="Normal 2 2 13 2 4" xfId="202" xr:uid="{00000000-0005-0000-0000-0000CA000000}"/>
    <cellStyle name="Normal 2 2 13 3" xfId="203" xr:uid="{00000000-0005-0000-0000-0000CB000000}"/>
    <cellStyle name="Normal 2 2 13 4" xfId="204" xr:uid="{00000000-0005-0000-0000-0000CC000000}"/>
    <cellStyle name="Normal 2 2 14" xfId="205" xr:uid="{00000000-0005-0000-0000-0000CD000000}"/>
    <cellStyle name="Normal 2 2 14 2" xfId="206" xr:uid="{00000000-0005-0000-0000-0000CE000000}"/>
    <cellStyle name="Normal 2 2 15" xfId="207" xr:uid="{00000000-0005-0000-0000-0000CF000000}"/>
    <cellStyle name="Normal 2 2 15 2" xfId="208" xr:uid="{00000000-0005-0000-0000-0000D0000000}"/>
    <cellStyle name="Normal 2 2 16" xfId="209" xr:uid="{00000000-0005-0000-0000-0000D1000000}"/>
    <cellStyle name="Normal 2 2 16 2" xfId="210" xr:uid="{00000000-0005-0000-0000-0000D2000000}"/>
    <cellStyle name="Normal 2 2 16 3" xfId="211" xr:uid="{00000000-0005-0000-0000-0000D3000000}"/>
    <cellStyle name="Normal 2 2 17" xfId="212" xr:uid="{00000000-0005-0000-0000-0000D4000000}"/>
    <cellStyle name="Normal 2 2 18" xfId="213" xr:uid="{00000000-0005-0000-0000-0000D5000000}"/>
    <cellStyle name="Normal 2 2 19" xfId="214" xr:uid="{00000000-0005-0000-0000-0000D6000000}"/>
    <cellStyle name="Normal 2 2 2" xfId="215" xr:uid="{00000000-0005-0000-0000-0000D7000000}"/>
    <cellStyle name="Normal 2 2 2 2" xfId="216" xr:uid="{00000000-0005-0000-0000-0000D8000000}"/>
    <cellStyle name="Normal 2 2 2 2 2" xfId="217" xr:uid="{00000000-0005-0000-0000-0000D9000000}"/>
    <cellStyle name="Normal 2 2 2 2 3" xfId="218" xr:uid="{00000000-0005-0000-0000-0000DA000000}"/>
    <cellStyle name="Normal 2 2 2 2 3 2" xfId="219" xr:uid="{00000000-0005-0000-0000-0000DB000000}"/>
    <cellStyle name="Normal 2 2 2 2 3 3" xfId="220" xr:uid="{00000000-0005-0000-0000-0000DC000000}"/>
    <cellStyle name="Normal 2 2 2 3" xfId="221" xr:uid="{00000000-0005-0000-0000-0000DD000000}"/>
    <cellStyle name="Normal 2 2 2 3 2" xfId="222" xr:uid="{00000000-0005-0000-0000-0000DE000000}"/>
    <cellStyle name="Normal 2 2 2 3 3" xfId="223" xr:uid="{00000000-0005-0000-0000-0000DF000000}"/>
    <cellStyle name="Normal 2 2 2 3 4" xfId="224" xr:uid="{00000000-0005-0000-0000-0000E0000000}"/>
    <cellStyle name="Normal 2 2 2 4" xfId="225" xr:uid="{00000000-0005-0000-0000-0000E1000000}"/>
    <cellStyle name="Normal 2 2 2 4 2" xfId="226" xr:uid="{00000000-0005-0000-0000-0000E2000000}"/>
    <cellStyle name="Normal 2 2 2 5" xfId="227" xr:uid="{00000000-0005-0000-0000-0000E3000000}"/>
    <cellStyle name="Normal 2 2 2 5 2" xfId="228" xr:uid="{00000000-0005-0000-0000-0000E4000000}"/>
    <cellStyle name="Normal 2 2 2 5 3" xfId="229" xr:uid="{00000000-0005-0000-0000-0000E5000000}"/>
    <cellStyle name="Normal 2 2 2 5 4" xfId="230" xr:uid="{00000000-0005-0000-0000-0000E6000000}"/>
    <cellStyle name="Normal 2 2 2 6" xfId="231" xr:uid="{00000000-0005-0000-0000-0000E7000000}"/>
    <cellStyle name="Normal 2 2 2 6 2" xfId="232" xr:uid="{00000000-0005-0000-0000-0000E8000000}"/>
    <cellStyle name="Normal 2 2 2 7" xfId="233" xr:uid="{00000000-0005-0000-0000-0000E9000000}"/>
    <cellStyle name="Normal 2 2 2 7 2" xfId="234" xr:uid="{00000000-0005-0000-0000-0000EA000000}"/>
    <cellStyle name="Normal 2 2 2 7 3" xfId="235" xr:uid="{00000000-0005-0000-0000-0000EB000000}"/>
    <cellStyle name="Normal 2 2 2 8" xfId="236" xr:uid="{00000000-0005-0000-0000-0000EC000000}"/>
    <cellStyle name="Normal 2 2 20" xfId="237" xr:uid="{00000000-0005-0000-0000-0000ED000000}"/>
    <cellStyle name="Normal 2 2 21" xfId="238" xr:uid="{00000000-0005-0000-0000-0000EE000000}"/>
    <cellStyle name="Normal 2 2 22" xfId="239" xr:uid="{00000000-0005-0000-0000-0000EF000000}"/>
    <cellStyle name="Normal 2 2 3" xfId="240" xr:uid="{00000000-0005-0000-0000-0000F0000000}"/>
    <cellStyle name="Normal 2 2 3 2" xfId="241" xr:uid="{00000000-0005-0000-0000-0000F1000000}"/>
    <cellStyle name="Normal 2 2 4" xfId="242" xr:uid="{00000000-0005-0000-0000-0000F2000000}"/>
    <cellStyle name="Normal 2 2 4 2" xfId="243" xr:uid="{00000000-0005-0000-0000-0000F3000000}"/>
    <cellStyle name="Normal 2 2 5" xfId="244" xr:uid="{00000000-0005-0000-0000-0000F4000000}"/>
    <cellStyle name="Normal 2 2 5 2" xfId="245" xr:uid="{00000000-0005-0000-0000-0000F5000000}"/>
    <cellStyle name="Normal 2 2 6" xfId="246" xr:uid="{00000000-0005-0000-0000-0000F6000000}"/>
    <cellStyle name="Normal 2 2 6 2" xfId="247" xr:uid="{00000000-0005-0000-0000-0000F7000000}"/>
    <cellStyle name="Normal 2 2 7" xfId="248" xr:uid="{00000000-0005-0000-0000-0000F8000000}"/>
    <cellStyle name="Normal 2 2 7 2" xfId="249" xr:uid="{00000000-0005-0000-0000-0000F9000000}"/>
    <cellStyle name="Normal 2 2 8" xfId="250" xr:uid="{00000000-0005-0000-0000-0000FA000000}"/>
    <cellStyle name="Normal 2 2 8 2" xfId="251" xr:uid="{00000000-0005-0000-0000-0000FB000000}"/>
    <cellStyle name="Normal 2 2 9" xfId="252" xr:uid="{00000000-0005-0000-0000-0000FC000000}"/>
    <cellStyle name="Normal 2 2 9 2" xfId="253" xr:uid="{00000000-0005-0000-0000-0000FD000000}"/>
    <cellStyle name="Normal 2 3" xfId="254" xr:uid="{00000000-0005-0000-0000-0000FE000000}"/>
    <cellStyle name="Normal 2 3 10" xfId="255" xr:uid="{00000000-0005-0000-0000-0000FF000000}"/>
    <cellStyle name="Normal 2 3 11" xfId="256" xr:uid="{00000000-0005-0000-0000-000000010000}"/>
    <cellStyle name="Normal 2 3 12" xfId="257" xr:uid="{00000000-0005-0000-0000-000001010000}"/>
    <cellStyle name="Normal 2 3 13" xfId="258" xr:uid="{00000000-0005-0000-0000-000002010000}"/>
    <cellStyle name="Normal 2 3 14" xfId="259" xr:uid="{00000000-0005-0000-0000-000003010000}"/>
    <cellStyle name="Normal 2 3 15" xfId="260" xr:uid="{00000000-0005-0000-0000-000004010000}"/>
    <cellStyle name="Normal 2 3 2" xfId="261" xr:uid="{00000000-0005-0000-0000-000005010000}"/>
    <cellStyle name="Normal 2 3 2 2" xfId="262" xr:uid="{00000000-0005-0000-0000-000006010000}"/>
    <cellStyle name="Normal 2 3 2 2 2" xfId="263" xr:uid="{00000000-0005-0000-0000-000007010000}"/>
    <cellStyle name="Normal 2 3 2 2 3" xfId="264" xr:uid="{00000000-0005-0000-0000-000008010000}"/>
    <cellStyle name="Normal 2 3 2 3" xfId="265" xr:uid="{00000000-0005-0000-0000-000009010000}"/>
    <cellStyle name="Normal 2 3 2 4" xfId="266" xr:uid="{00000000-0005-0000-0000-00000A010000}"/>
    <cellStyle name="Normal 2 3 2 5" xfId="267" xr:uid="{00000000-0005-0000-0000-00000B010000}"/>
    <cellStyle name="Normal 2 3 3" xfId="268" xr:uid="{00000000-0005-0000-0000-00000C010000}"/>
    <cellStyle name="Normal 2 3 3 2" xfId="269" xr:uid="{00000000-0005-0000-0000-00000D010000}"/>
    <cellStyle name="Normal 2 3 3 3" xfId="270" xr:uid="{00000000-0005-0000-0000-00000E010000}"/>
    <cellStyle name="Normal 2 3 4" xfId="271" xr:uid="{00000000-0005-0000-0000-00000F010000}"/>
    <cellStyle name="Normal 2 3 5" xfId="272" xr:uid="{00000000-0005-0000-0000-000010010000}"/>
    <cellStyle name="Normal 2 3 6" xfId="273" xr:uid="{00000000-0005-0000-0000-000011010000}"/>
    <cellStyle name="Normal 2 3 7" xfId="274" xr:uid="{00000000-0005-0000-0000-000012010000}"/>
    <cellStyle name="Normal 2 3 8" xfId="275" xr:uid="{00000000-0005-0000-0000-000013010000}"/>
    <cellStyle name="Normal 2 3 9" xfId="276" xr:uid="{00000000-0005-0000-0000-000014010000}"/>
    <cellStyle name="Normal 2 4" xfId="277" xr:uid="{00000000-0005-0000-0000-000015010000}"/>
    <cellStyle name="Normal 2 4 10" xfId="278" xr:uid="{00000000-0005-0000-0000-000016010000}"/>
    <cellStyle name="Normal 2 4 11" xfId="279" xr:uid="{00000000-0005-0000-0000-000017010000}"/>
    <cellStyle name="Normal 2 4 12" xfId="280" xr:uid="{00000000-0005-0000-0000-000018010000}"/>
    <cellStyle name="Normal 2 4 12 2" xfId="281" xr:uid="{00000000-0005-0000-0000-000019010000}"/>
    <cellStyle name="Normal 2 4 12 3" xfId="282" xr:uid="{00000000-0005-0000-0000-00001A010000}"/>
    <cellStyle name="Normal 2 4 13" xfId="283" xr:uid="{00000000-0005-0000-0000-00001B010000}"/>
    <cellStyle name="Normal 2 4 13 2" xfId="284" xr:uid="{00000000-0005-0000-0000-00001C010000}"/>
    <cellStyle name="Normal 2 4 13 3" xfId="285" xr:uid="{00000000-0005-0000-0000-00001D010000}"/>
    <cellStyle name="Normal 2 4 2" xfId="286" xr:uid="{00000000-0005-0000-0000-00001E010000}"/>
    <cellStyle name="Normal 2 4 2 2" xfId="287" xr:uid="{00000000-0005-0000-0000-00001F010000}"/>
    <cellStyle name="Normal 2 4 2 2 2" xfId="288" xr:uid="{00000000-0005-0000-0000-000020010000}"/>
    <cellStyle name="Normal 2 4 2 2 3" xfId="289" xr:uid="{00000000-0005-0000-0000-000021010000}"/>
    <cellStyle name="Normal 2 4 2 3" xfId="290" xr:uid="{00000000-0005-0000-0000-000022010000}"/>
    <cellStyle name="Normal 2 4 2 4" xfId="291" xr:uid="{00000000-0005-0000-0000-000023010000}"/>
    <cellStyle name="Normal 2 4 2 5" xfId="292" xr:uid="{00000000-0005-0000-0000-000024010000}"/>
    <cellStyle name="Normal 2 4 3" xfId="293" xr:uid="{00000000-0005-0000-0000-000025010000}"/>
    <cellStyle name="Normal 2 4 3 2" xfId="294" xr:uid="{00000000-0005-0000-0000-000026010000}"/>
    <cellStyle name="Normal 2 4 3 3" xfId="295" xr:uid="{00000000-0005-0000-0000-000027010000}"/>
    <cellStyle name="Normal 2 4 4" xfId="296" xr:uid="{00000000-0005-0000-0000-000028010000}"/>
    <cellStyle name="Normal 2 4 5" xfId="297" xr:uid="{00000000-0005-0000-0000-000029010000}"/>
    <cellStyle name="Normal 2 4 6" xfId="298" xr:uid="{00000000-0005-0000-0000-00002A010000}"/>
    <cellStyle name="Normal 2 4 7" xfId="299" xr:uid="{00000000-0005-0000-0000-00002B010000}"/>
    <cellStyle name="Normal 2 4 8" xfId="300" xr:uid="{00000000-0005-0000-0000-00002C010000}"/>
    <cellStyle name="Normal 2 4 9" xfId="301" xr:uid="{00000000-0005-0000-0000-00002D010000}"/>
    <cellStyle name="Normal 2 5" xfId="302" xr:uid="{00000000-0005-0000-0000-00002E010000}"/>
    <cellStyle name="Normal 2 5 10" xfId="303" xr:uid="{00000000-0005-0000-0000-00002F010000}"/>
    <cellStyle name="Normal 2 5 11" xfId="304" xr:uid="{00000000-0005-0000-0000-000030010000}"/>
    <cellStyle name="Normal 2 5 12" xfId="305" xr:uid="{00000000-0005-0000-0000-000031010000}"/>
    <cellStyle name="Normal 2 5 12 2" xfId="306" xr:uid="{00000000-0005-0000-0000-000032010000}"/>
    <cellStyle name="Normal 2 5 12 3" xfId="307" xr:uid="{00000000-0005-0000-0000-000033010000}"/>
    <cellStyle name="Normal 2 5 2" xfId="308" xr:uid="{00000000-0005-0000-0000-000034010000}"/>
    <cellStyle name="Normal 2 5 2 2" xfId="309" xr:uid="{00000000-0005-0000-0000-000035010000}"/>
    <cellStyle name="Normal 2 5 3" xfId="310" xr:uid="{00000000-0005-0000-0000-000036010000}"/>
    <cellStyle name="Normal 2 5 3 2" xfId="311" xr:uid="{00000000-0005-0000-0000-000037010000}"/>
    <cellStyle name="Normal 2 5 4" xfId="312" xr:uid="{00000000-0005-0000-0000-000038010000}"/>
    <cellStyle name="Normal 2 5 5" xfId="313" xr:uid="{00000000-0005-0000-0000-000039010000}"/>
    <cellStyle name="Normal 2 5 6" xfId="314" xr:uid="{00000000-0005-0000-0000-00003A010000}"/>
    <cellStyle name="Normal 2 5 7" xfId="315" xr:uid="{00000000-0005-0000-0000-00003B010000}"/>
    <cellStyle name="Normal 2 5 8" xfId="316" xr:uid="{00000000-0005-0000-0000-00003C010000}"/>
    <cellStyle name="Normal 2 5 9" xfId="317" xr:uid="{00000000-0005-0000-0000-00003D010000}"/>
    <cellStyle name="Normal 2 6" xfId="318" xr:uid="{00000000-0005-0000-0000-00003E010000}"/>
    <cellStyle name="Normal 2 6 10" xfId="319" xr:uid="{00000000-0005-0000-0000-00003F010000}"/>
    <cellStyle name="Normal 2 6 11" xfId="320" xr:uid="{00000000-0005-0000-0000-000040010000}"/>
    <cellStyle name="Normal 2 6 12" xfId="321" xr:uid="{00000000-0005-0000-0000-000041010000}"/>
    <cellStyle name="Normal 2 6 2" xfId="322" xr:uid="{00000000-0005-0000-0000-000042010000}"/>
    <cellStyle name="Normal 2 6 2 2" xfId="323" xr:uid="{00000000-0005-0000-0000-000043010000}"/>
    <cellStyle name="Normal 2 6 3" xfId="324" xr:uid="{00000000-0005-0000-0000-000044010000}"/>
    <cellStyle name="Normal 2 6 3 2" xfId="325" xr:uid="{00000000-0005-0000-0000-000045010000}"/>
    <cellStyle name="Normal 2 6 4" xfId="326" xr:uid="{00000000-0005-0000-0000-000046010000}"/>
    <cellStyle name="Normal 2 6 5" xfId="327" xr:uid="{00000000-0005-0000-0000-000047010000}"/>
    <cellStyle name="Normal 2 6 6" xfId="328" xr:uid="{00000000-0005-0000-0000-000048010000}"/>
    <cellStyle name="Normal 2 6 7" xfId="329" xr:uid="{00000000-0005-0000-0000-000049010000}"/>
    <cellStyle name="Normal 2 6 8" xfId="330" xr:uid="{00000000-0005-0000-0000-00004A010000}"/>
    <cellStyle name="Normal 2 6 9" xfId="331" xr:uid="{00000000-0005-0000-0000-00004B010000}"/>
    <cellStyle name="Normal 2 7" xfId="332" xr:uid="{00000000-0005-0000-0000-00004C010000}"/>
    <cellStyle name="Normal 2 7 10" xfId="333" xr:uid="{00000000-0005-0000-0000-00004D010000}"/>
    <cellStyle name="Normal 2 7 11" xfId="334" xr:uid="{00000000-0005-0000-0000-00004E010000}"/>
    <cellStyle name="Normal 2 7 2" xfId="335" xr:uid="{00000000-0005-0000-0000-00004F010000}"/>
    <cellStyle name="Normal 2 7 2 2" xfId="336" xr:uid="{00000000-0005-0000-0000-000050010000}"/>
    <cellStyle name="Normal 2 7 2 3" xfId="337" xr:uid="{00000000-0005-0000-0000-000051010000}"/>
    <cellStyle name="Normal 2 7 3" xfId="338" xr:uid="{00000000-0005-0000-0000-000052010000}"/>
    <cellStyle name="Normal 2 7 3 2" xfId="339" xr:uid="{00000000-0005-0000-0000-000053010000}"/>
    <cellStyle name="Normal 2 7 4" xfId="340" xr:uid="{00000000-0005-0000-0000-000054010000}"/>
    <cellStyle name="Normal 2 7 4 2" xfId="341" xr:uid="{00000000-0005-0000-0000-000055010000}"/>
    <cellStyle name="Normal 2 7 5" xfId="342" xr:uid="{00000000-0005-0000-0000-000056010000}"/>
    <cellStyle name="Normal 2 7 5 2" xfId="343" xr:uid="{00000000-0005-0000-0000-000057010000}"/>
    <cellStyle name="Normal 2 7 6" xfId="344" xr:uid="{00000000-0005-0000-0000-000058010000}"/>
    <cellStyle name="Normal 2 7 6 2" xfId="345" xr:uid="{00000000-0005-0000-0000-000059010000}"/>
    <cellStyle name="Normal 2 7 7" xfId="346" xr:uid="{00000000-0005-0000-0000-00005A010000}"/>
    <cellStyle name="Normal 2 7 7 2" xfId="347" xr:uid="{00000000-0005-0000-0000-00005B010000}"/>
    <cellStyle name="Normal 2 7 8" xfId="348" xr:uid="{00000000-0005-0000-0000-00005C010000}"/>
    <cellStyle name="Normal 2 7 8 2" xfId="349" xr:uid="{00000000-0005-0000-0000-00005D010000}"/>
    <cellStyle name="Normal 2 7 9" xfId="350" xr:uid="{00000000-0005-0000-0000-00005E010000}"/>
    <cellStyle name="Normal 2 8" xfId="351" xr:uid="{00000000-0005-0000-0000-00005F010000}"/>
    <cellStyle name="Normal 2 8 10" xfId="352" xr:uid="{00000000-0005-0000-0000-000060010000}"/>
    <cellStyle name="Normal 2 8 11" xfId="353" xr:uid="{00000000-0005-0000-0000-000061010000}"/>
    <cellStyle name="Normal 2 8 2" xfId="354" xr:uid="{00000000-0005-0000-0000-000062010000}"/>
    <cellStyle name="Normal 2 8 2 2" xfId="355" xr:uid="{00000000-0005-0000-0000-000063010000}"/>
    <cellStyle name="Normal 2 8 3" xfId="356" xr:uid="{00000000-0005-0000-0000-000064010000}"/>
    <cellStyle name="Normal 2 8 3 2" xfId="357" xr:uid="{00000000-0005-0000-0000-000065010000}"/>
    <cellStyle name="Normal 2 8 4" xfId="358" xr:uid="{00000000-0005-0000-0000-000066010000}"/>
    <cellStyle name="Normal 2 8 4 2" xfId="359" xr:uid="{00000000-0005-0000-0000-000067010000}"/>
    <cellStyle name="Normal 2 8 5" xfId="360" xr:uid="{00000000-0005-0000-0000-000068010000}"/>
    <cellStyle name="Normal 2 8 5 2" xfId="361" xr:uid="{00000000-0005-0000-0000-000069010000}"/>
    <cellStyle name="Normal 2 8 6" xfId="362" xr:uid="{00000000-0005-0000-0000-00006A010000}"/>
    <cellStyle name="Normal 2 8 6 2" xfId="363" xr:uid="{00000000-0005-0000-0000-00006B010000}"/>
    <cellStyle name="Normal 2 8 7" xfId="364" xr:uid="{00000000-0005-0000-0000-00006C010000}"/>
    <cellStyle name="Normal 2 8 7 2" xfId="365" xr:uid="{00000000-0005-0000-0000-00006D010000}"/>
    <cellStyle name="Normal 2 8 8" xfId="366" xr:uid="{00000000-0005-0000-0000-00006E010000}"/>
    <cellStyle name="Normal 2 8 8 2" xfId="367" xr:uid="{00000000-0005-0000-0000-00006F010000}"/>
    <cellStyle name="Normal 2 8 9" xfId="368" xr:uid="{00000000-0005-0000-0000-000070010000}"/>
    <cellStyle name="Normal 2 9" xfId="369" xr:uid="{00000000-0005-0000-0000-000071010000}"/>
    <cellStyle name="Normal 2 9 10" xfId="370" xr:uid="{00000000-0005-0000-0000-000072010000}"/>
    <cellStyle name="Normal 2 9 11" xfId="371" xr:uid="{00000000-0005-0000-0000-000073010000}"/>
    <cellStyle name="Normal 2 9 2" xfId="372" xr:uid="{00000000-0005-0000-0000-000074010000}"/>
    <cellStyle name="Normal 2 9 2 2" xfId="373" xr:uid="{00000000-0005-0000-0000-000075010000}"/>
    <cellStyle name="Normal 2 9 3" xfId="374" xr:uid="{00000000-0005-0000-0000-000076010000}"/>
    <cellStyle name="Normal 2 9 3 2" xfId="375" xr:uid="{00000000-0005-0000-0000-000077010000}"/>
    <cellStyle name="Normal 2 9 4" xfId="376" xr:uid="{00000000-0005-0000-0000-000078010000}"/>
    <cellStyle name="Normal 2 9 4 2" xfId="377" xr:uid="{00000000-0005-0000-0000-000079010000}"/>
    <cellStyle name="Normal 2 9 5" xfId="378" xr:uid="{00000000-0005-0000-0000-00007A010000}"/>
    <cellStyle name="Normal 2 9 5 2" xfId="379" xr:uid="{00000000-0005-0000-0000-00007B010000}"/>
    <cellStyle name="Normal 2 9 6" xfId="380" xr:uid="{00000000-0005-0000-0000-00007C010000}"/>
    <cellStyle name="Normal 2 9 6 2" xfId="381" xr:uid="{00000000-0005-0000-0000-00007D010000}"/>
    <cellStyle name="Normal 2 9 7" xfId="382" xr:uid="{00000000-0005-0000-0000-00007E010000}"/>
    <cellStyle name="Normal 2 9 7 2" xfId="383" xr:uid="{00000000-0005-0000-0000-00007F010000}"/>
    <cellStyle name="Normal 2 9 8" xfId="384" xr:uid="{00000000-0005-0000-0000-000080010000}"/>
    <cellStyle name="Normal 2 9 8 2" xfId="385" xr:uid="{00000000-0005-0000-0000-000081010000}"/>
    <cellStyle name="Normal 2 9 9" xfId="386" xr:uid="{00000000-0005-0000-0000-000082010000}"/>
    <cellStyle name="Normal 20" xfId="387" xr:uid="{00000000-0005-0000-0000-000083010000}"/>
    <cellStyle name="Normal 20 2" xfId="388" xr:uid="{00000000-0005-0000-0000-000084010000}"/>
    <cellStyle name="Normal 20 3" xfId="389" xr:uid="{00000000-0005-0000-0000-000085010000}"/>
    <cellStyle name="Normal 21" xfId="390" xr:uid="{00000000-0005-0000-0000-000086010000}"/>
    <cellStyle name="Normal 21 2" xfId="391" xr:uid="{00000000-0005-0000-0000-000087010000}"/>
    <cellStyle name="Normal 21 2 2" xfId="392" xr:uid="{00000000-0005-0000-0000-000088010000}"/>
    <cellStyle name="Normal 21 2 3" xfId="393" xr:uid="{00000000-0005-0000-0000-000089010000}"/>
    <cellStyle name="Normal 21 3" xfId="394" xr:uid="{00000000-0005-0000-0000-00008A010000}"/>
    <cellStyle name="Normal 21 4" xfId="395" xr:uid="{00000000-0005-0000-0000-00008B010000}"/>
    <cellStyle name="Normal 21 5" xfId="396" xr:uid="{00000000-0005-0000-0000-00008C010000}"/>
    <cellStyle name="Normal 22" xfId="397" xr:uid="{00000000-0005-0000-0000-00008D010000}"/>
    <cellStyle name="Normal 22 2" xfId="398" xr:uid="{00000000-0005-0000-0000-00008E010000}"/>
    <cellStyle name="Normal 22 3" xfId="399" xr:uid="{00000000-0005-0000-0000-00008F010000}"/>
    <cellStyle name="Normal 23" xfId="400" xr:uid="{00000000-0005-0000-0000-000090010000}"/>
    <cellStyle name="Normal 23 2" xfId="401" xr:uid="{00000000-0005-0000-0000-000091010000}"/>
    <cellStyle name="Normal 23 3" xfId="402" xr:uid="{00000000-0005-0000-0000-000092010000}"/>
    <cellStyle name="Normal 24" xfId="403" xr:uid="{00000000-0005-0000-0000-000093010000}"/>
    <cellStyle name="Normal 24 2" xfId="404" xr:uid="{00000000-0005-0000-0000-000094010000}"/>
    <cellStyle name="Normal 24 3" xfId="405" xr:uid="{00000000-0005-0000-0000-000095010000}"/>
    <cellStyle name="Normal 25" xfId="406" xr:uid="{00000000-0005-0000-0000-000096010000}"/>
    <cellStyle name="Normal 25 2" xfId="407" xr:uid="{00000000-0005-0000-0000-000097010000}"/>
    <cellStyle name="Normal 25 3" xfId="408" xr:uid="{00000000-0005-0000-0000-000098010000}"/>
    <cellStyle name="Normal 26" xfId="409" xr:uid="{00000000-0005-0000-0000-000099010000}"/>
    <cellStyle name="Normal 27" xfId="410" xr:uid="{00000000-0005-0000-0000-00009A010000}"/>
    <cellStyle name="Normal 27 2" xfId="411" xr:uid="{00000000-0005-0000-0000-00009B010000}"/>
    <cellStyle name="Normal 3 10" xfId="412" xr:uid="{00000000-0005-0000-0000-00009C010000}"/>
    <cellStyle name="Normal 3 10 2" xfId="413" xr:uid="{00000000-0005-0000-0000-00009D010000}"/>
    <cellStyle name="Normal 3 11" xfId="414" xr:uid="{00000000-0005-0000-0000-00009E010000}"/>
    <cellStyle name="Normal 3 12" xfId="415" xr:uid="{00000000-0005-0000-0000-00009F010000}"/>
    <cellStyle name="Normal 3 13" xfId="416" xr:uid="{00000000-0005-0000-0000-0000A0010000}"/>
    <cellStyle name="Normal 3 14" xfId="417" xr:uid="{00000000-0005-0000-0000-0000A1010000}"/>
    <cellStyle name="Normal 3 15" xfId="418" xr:uid="{00000000-0005-0000-0000-0000A2010000}"/>
    <cellStyle name="Normal 3 2" xfId="419" xr:uid="{00000000-0005-0000-0000-0000A3010000}"/>
    <cellStyle name="Normal 3 2 2" xfId="420" xr:uid="{00000000-0005-0000-0000-0000A4010000}"/>
    <cellStyle name="Normal 3 2 2 2" xfId="421" xr:uid="{00000000-0005-0000-0000-0000A5010000}"/>
    <cellStyle name="Normal 3 2 2 3" xfId="422" xr:uid="{00000000-0005-0000-0000-0000A6010000}"/>
    <cellStyle name="Normal 3 2 3" xfId="423" xr:uid="{00000000-0005-0000-0000-0000A7010000}"/>
    <cellStyle name="Normal 3 2 4" xfId="424" xr:uid="{00000000-0005-0000-0000-0000A8010000}"/>
    <cellStyle name="Normal 3 2 5" xfId="425" xr:uid="{00000000-0005-0000-0000-0000A9010000}"/>
    <cellStyle name="Normal 3 3" xfId="426" xr:uid="{00000000-0005-0000-0000-0000AA010000}"/>
    <cellStyle name="Normal 3 3 2" xfId="427" xr:uid="{00000000-0005-0000-0000-0000AB010000}"/>
    <cellStyle name="Normal 3 3 2 2" xfId="428" xr:uid="{00000000-0005-0000-0000-0000AC010000}"/>
    <cellStyle name="Normal 3 3 2 3" xfId="429" xr:uid="{00000000-0005-0000-0000-0000AD010000}"/>
    <cellStyle name="Normal 3 3 3" xfId="430" xr:uid="{00000000-0005-0000-0000-0000AE010000}"/>
    <cellStyle name="Normal 3 3 4" xfId="431" xr:uid="{00000000-0005-0000-0000-0000AF010000}"/>
    <cellStyle name="Normal 3 4" xfId="432" xr:uid="{00000000-0005-0000-0000-0000B0010000}"/>
    <cellStyle name="Normal 3 5" xfId="433" xr:uid="{00000000-0005-0000-0000-0000B1010000}"/>
    <cellStyle name="Normal 3 6" xfId="434" xr:uid="{00000000-0005-0000-0000-0000B2010000}"/>
    <cellStyle name="Normal 3 7" xfId="435" xr:uid="{00000000-0005-0000-0000-0000B3010000}"/>
    <cellStyle name="Normal 3 7 2" xfId="436" xr:uid="{00000000-0005-0000-0000-0000B4010000}"/>
    <cellStyle name="Normal 3 7 3" xfId="437" xr:uid="{00000000-0005-0000-0000-0000B5010000}"/>
    <cellStyle name="Normal 3 8" xfId="438" xr:uid="{00000000-0005-0000-0000-0000B6010000}"/>
    <cellStyle name="Normal 3 8 2" xfId="439" xr:uid="{00000000-0005-0000-0000-0000B7010000}"/>
    <cellStyle name="Normal 3 8 3" xfId="440" xr:uid="{00000000-0005-0000-0000-0000B8010000}"/>
    <cellStyle name="Normal 3 9" xfId="441" xr:uid="{00000000-0005-0000-0000-0000B9010000}"/>
    <cellStyle name="Normal 3 9 2" xfId="442" xr:uid="{00000000-0005-0000-0000-0000BA010000}"/>
    <cellStyle name="Normal 3 9 3" xfId="443" xr:uid="{00000000-0005-0000-0000-0000BB010000}"/>
    <cellStyle name="Normal 4 10" xfId="444" xr:uid="{00000000-0005-0000-0000-0000BC010000}"/>
    <cellStyle name="Normal 4 11" xfId="445" xr:uid="{00000000-0005-0000-0000-0000BD010000}"/>
    <cellStyle name="Normal 4 12" xfId="446" xr:uid="{00000000-0005-0000-0000-0000BE010000}"/>
    <cellStyle name="Normal 4 13" xfId="447" xr:uid="{00000000-0005-0000-0000-0000BF010000}"/>
    <cellStyle name="Normal 4 2" xfId="448" xr:uid="{00000000-0005-0000-0000-0000C0010000}"/>
    <cellStyle name="Normal 4 2 2" xfId="449" xr:uid="{00000000-0005-0000-0000-0000C1010000}"/>
    <cellStyle name="Normal 4 2 2 2" xfId="450" xr:uid="{00000000-0005-0000-0000-0000C2010000}"/>
    <cellStyle name="Normal 4 2 2 3" xfId="451" xr:uid="{00000000-0005-0000-0000-0000C3010000}"/>
    <cellStyle name="Normal 4 2 2 3 2" xfId="452" xr:uid="{00000000-0005-0000-0000-0000C4010000}"/>
    <cellStyle name="Normal 4 2 2 3 3" xfId="453" xr:uid="{00000000-0005-0000-0000-0000C5010000}"/>
    <cellStyle name="Normal 4 2 3" xfId="454" xr:uid="{00000000-0005-0000-0000-0000C6010000}"/>
    <cellStyle name="Normal 4 2 4" xfId="455" xr:uid="{00000000-0005-0000-0000-0000C7010000}"/>
    <cellStyle name="Normal 4 2 5" xfId="456" xr:uid="{00000000-0005-0000-0000-0000C8010000}"/>
    <cellStyle name="Normal 4 3" xfId="457" xr:uid="{00000000-0005-0000-0000-0000C9010000}"/>
    <cellStyle name="Normal 4 3 2" xfId="458" xr:uid="{00000000-0005-0000-0000-0000CA010000}"/>
    <cellStyle name="Normal 4 3 3" xfId="459" xr:uid="{00000000-0005-0000-0000-0000CB010000}"/>
    <cellStyle name="Normal 4 4" xfId="460" xr:uid="{00000000-0005-0000-0000-0000CC010000}"/>
    <cellStyle name="Normal 4 5" xfId="461" xr:uid="{00000000-0005-0000-0000-0000CD010000}"/>
    <cellStyle name="Normal 4 5 2" xfId="462" xr:uid="{00000000-0005-0000-0000-0000CE010000}"/>
    <cellStyle name="Normal 4 5 3" xfId="463" xr:uid="{00000000-0005-0000-0000-0000CF010000}"/>
    <cellStyle name="Normal 4 6" xfId="464" xr:uid="{00000000-0005-0000-0000-0000D0010000}"/>
    <cellStyle name="Normal 4 6 2" xfId="465" xr:uid="{00000000-0005-0000-0000-0000D1010000}"/>
    <cellStyle name="Normal 4 6 3" xfId="466" xr:uid="{00000000-0005-0000-0000-0000D2010000}"/>
    <cellStyle name="Normal 4 7" xfId="467" xr:uid="{00000000-0005-0000-0000-0000D3010000}"/>
    <cellStyle name="Normal 4 8" xfId="468" xr:uid="{00000000-0005-0000-0000-0000D4010000}"/>
    <cellStyle name="Normal 4 9" xfId="469" xr:uid="{00000000-0005-0000-0000-0000D5010000}"/>
    <cellStyle name="Normal 5" xfId="521" xr:uid="{B6B5D4AB-58A3-4DE5-B26D-A23C8595AE08}"/>
    <cellStyle name="Normal 5 2" xfId="470" xr:uid="{00000000-0005-0000-0000-0000D6010000}"/>
    <cellStyle name="Normal 5 3" xfId="471" xr:uid="{00000000-0005-0000-0000-0000D7010000}"/>
    <cellStyle name="Normal 5 3 2" xfId="472" xr:uid="{00000000-0005-0000-0000-0000D8010000}"/>
    <cellStyle name="Normal 5 3 3" xfId="473" xr:uid="{00000000-0005-0000-0000-0000D9010000}"/>
    <cellStyle name="Normal 5 4" xfId="474" xr:uid="{00000000-0005-0000-0000-0000DA010000}"/>
    <cellStyle name="Normal 5 5" xfId="475" xr:uid="{00000000-0005-0000-0000-0000DB010000}"/>
    <cellStyle name="Normal 5 5 2" xfId="476" xr:uid="{00000000-0005-0000-0000-0000DC010000}"/>
    <cellStyle name="Normal 5 5 3" xfId="477" xr:uid="{00000000-0005-0000-0000-0000DD010000}"/>
    <cellStyle name="Normal 5 6" xfId="478" xr:uid="{00000000-0005-0000-0000-0000DE010000}"/>
    <cellStyle name="Normal 6 2" xfId="479" xr:uid="{00000000-0005-0000-0000-0000DF010000}"/>
    <cellStyle name="Normal 6 3" xfId="480" xr:uid="{00000000-0005-0000-0000-0000E0010000}"/>
    <cellStyle name="Normal 6 4" xfId="481" xr:uid="{00000000-0005-0000-0000-0000E1010000}"/>
    <cellStyle name="Normal 6 5" xfId="482" xr:uid="{00000000-0005-0000-0000-0000E2010000}"/>
    <cellStyle name="Normal 7" xfId="483" xr:uid="{00000000-0005-0000-0000-0000E3010000}"/>
    <cellStyle name="Normal 7 2" xfId="484" xr:uid="{00000000-0005-0000-0000-0000E4010000}"/>
    <cellStyle name="Normal 7 2 2" xfId="485" xr:uid="{00000000-0005-0000-0000-0000E5010000}"/>
    <cellStyle name="Normal 7 2 2 2" xfId="486" xr:uid="{00000000-0005-0000-0000-0000E6010000}"/>
    <cellStyle name="Normal 7 2 2 3" xfId="487" xr:uid="{00000000-0005-0000-0000-0000E7010000}"/>
    <cellStyle name="Normal 7 2 3" xfId="488" xr:uid="{00000000-0005-0000-0000-0000E8010000}"/>
    <cellStyle name="Normal 7 2 4" xfId="489" xr:uid="{00000000-0005-0000-0000-0000E9010000}"/>
    <cellStyle name="Normal 7 2 4 2" xfId="490" xr:uid="{00000000-0005-0000-0000-0000EA010000}"/>
    <cellStyle name="Normal 7 2 4 3" xfId="491" xr:uid="{00000000-0005-0000-0000-0000EB010000}"/>
    <cellStyle name="Normal 7 2 5" xfId="492" xr:uid="{00000000-0005-0000-0000-0000EC010000}"/>
    <cellStyle name="Normal 7 3" xfId="493" xr:uid="{00000000-0005-0000-0000-0000ED010000}"/>
    <cellStyle name="Normal 7 4" xfId="494" xr:uid="{00000000-0005-0000-0000-0000EE010000}"/>
    <cellStyle name="Normal 7 4 2" xfId="495" xr:uid="{00000000-0005-0000-0000-0000EF010000}"/>
    <cellStyle name="Normal 7 4 3" xfId="496" xr:uid="{00000000-0005-0000-0000-0000F0010000}"/>
    <cellStyle name="Normal 7 5" xfId="497" xr:uid="{00000000-0005-0000-0000-0000F1010000}"/>
    <cellStyle name="Normal 7 5 2" xfId="498" xr:uid="{00000000-0005-0000-0000-0000F2010000}"/>
    <cellStyle name="Normal 7 5 3" xfId="499" xr:uid="{00000000-0005-0000-0000-0000F3010000}"/>
    <cellStyle name="Normal 7 5 4" xfId="500" xr:uid="{00000000-0005-0000-0000-0000F4010000}"/>
    <cellStyle name="Normal 7 5 5" xfId="501" xr:uid="{00000000-0005-0000-0000-0000F5010000}"/>
    <cellStyle name="Normal 7 6" xfId="502" xr:uid="{00000000-0005-0000-0000-0000F6010000}"/>
    <cellStyle name="Normal 7 7" xfId="503" xr:uid="{00000000-0005-0000-0000-0000F7010000}"/>
    <cellStyle name="Normal 8" xfId="504" xr:uid="{00000000-0005-0000-0000-0000F8010000}"/>
    <cellStyle name="Normal 8 2" xfId="505" xr:uid="{00000000-0005-0000-0000-0000F9010000}"/>
    <cellStyle name="Normal 8 3" xfId="506" xr:uid="{00000000-0005-0000-0000-0000FA010000}"/>
    <cellStyle name="Normal 9" xfId="507" xr:uid="{00000000-0005-0000-0000-0000FB010000}"/>
    <cellStyle name="Normal 9 2" xfId="508" xr:uid="{00000000-0005-0000-0000-0000FC010000}"/>
    <cellStyle name="Normal 9 2 2" xfId="509" xr:uid="{00000000-0005-0000-0000-0000FD010000}"/>
    <cellStyle name="Normal 9 2 3" xfId="510" xr:uid="{00000000-0005-0000-0000-0000FE010000}"/>
    <cellStyle name="Normal 9 3" xfId="511" xr:uid="{00000000-0005-0000-0000-0000FF010000}"/>
    <cellStyle name="Normal 9 4" xfId="512" xr:uid="{00000000-0005-0000-0000-000000020000}"/>
    <cellStyle name="Normal 9 5" xfId="513" xr:uid="{00000000-0005-0000-0000-000001020000}"/>
    <cellStyle name="Normal 9 5 2" xfId="514" xr:uid="{00000000-0005-0000-0000-000002020000}"/>
    <cellStyle name="Normal 9 5 3" xfId="515" xr:uid="{00000000-0005-0000-0000-000003020000}"/>
    <cellStyle name="Normal 9 6" xfId="516" xr:uid="{00000000-0005-0000-0000-000004020000}"/>
    <cellStyle name="Normal 9 6 2" xfId="517" xr:uid="{00000000-0005-0000-0000-000005020000}"/>
    <cellStyle name="Normal 9 6 3" xfId="518" xr:uid="{00000000-0005-0000-0000-000006020000}"/>
    <cellStyle name="Normal_debt" xfId="519" xr:uid="{00000000-0005-0000-0000-000007020000}"/>
    <cellStyle name="Normal_lpform" xfId="520" xr:uid="{00000000-0005-0000-0000-000008020000}"/>
  </cellStyles>
  <dxfs count="376">
    <dxf>
      <font>
        <b/>
        <i val="0"/>
        <strike val="0"/>
        <color rgb="FFFF0000"/>
      </font>
    </dxf>
    <dxf>
      <font>
        <b/>
        <i val="0"/>
        <strike val="0"/>
      </font>
      <fill>
        <patternFill>
          <bgColor rgb="FFFF0000"/>
        </patternFill>
      </fill>
    </dxf>
    <dxf>
      <font>
        <b/>
        <i val="0"/>
        <strike val="0"/>
        <color rgb="FFFF0000"/>
      </font>
    </dxf>
    <dxf>
      <font>
        <b/>
        <i val="0"/>
        <strike val="0"/>
      </font>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microsoft.com/office/2017/10/relationships/person" Target="persons/perso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65"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xdr:col>
      <xdr:colOff>0</xdr:colOff>
      <xdr:row>18</xdr:row>
      <xdr:rowOff>28575</xdr:rowOff>
    </xdr:from>
    <xdr:to>
      <xdr:col>1</xdr:col>
      <xdr:colOff>209550</xdr:colOff>
      <xdr:row>18</xdr:row>
      <xdr:rowOff>180975</xdr:rowOff>
    </xdr:to>
    <xdr:sp macro="" textlink="">
      <xdr:nvSpPr>
        <xdr:cNvPr id="2" name="Text Box 2">
          <a:extLst>
            <a:ext uri="{FF2B5EF4-FFF2-40B4-BE49-F238E27FC236}">
              <a16:creationId xmlns:a16="http://schemas.microsoft.com/office/drawing/2014/main" id="{BBBB867F-E40A-4601-81CB-0A78EFA62A59}"/>
            </a:ext>
          </a:extLst>
        </xdr:cNvPr>
        <xdr:cNvSpPr txBox="1"/>
      </xdr:nvSpPr>
      <xdr:spPr>
        <a:xfrm>
          <a:off x="104775" y="5695950"/>
          <a:ext cx="209550" cy="152400"/>
        </a:xfrm>
        <a:prstGeom prst="rect">
          <a:avLst/>
        </a:prstGeom>
        <a:solidFill>
          <a:srgbClr val="00FF00"/>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1</xdr:col>
      <xdr:colOff>0</xdr:colOff>
      <xdr:row>20</xdr:row>
      <xdr:rowOff>57150</xdr:rowOff>
    </xdr:from>
    <xdr:to>
      <xdr:col>1</xdr:col>
      <xdr:colOff>209550</xdr:colOff>
      <xdr:row>20</xdr:row>
      <xdr:rowOff>209550</xdr:rowOff>
    </xdr:to>
    <xdr:sp macro="" textlink="">
      <xdr:nvSpPr>
        <xdr:cNvPr id="3" name="Text Box 5">
          <a:extLst>
            <a:ext uri="{FF2B5EF4-FFF2-40B4-BE49-F238E27FC236}">
              <a16:creationId xmlns:a16="http://schemas.microsoft.com/office/drawing/2014/main" id="{B0B3F3B6-A37B-47AE-A081-0B4D05FF144C}"/>
            </a:ext>
          </a:extLst>
        </xdr:cNvPr>
        <xdr:cNvSpPr txBox="1">
          <a:spLocks noChangeArrowheads="1"/>
        </xdr:cNvSpPr>
      </xdr:nvSpPr>
      <xdr:spPr bwMode="auto">
        <a:xfrm>
          <a:off x="104775" y="6086475"/>
          <a:ext cx="209550" cy="152400"/>
        </a:xfrm>
        <a:prstGeom prst="rect">
          <a:avLst/>
        </a:prstGeom>
        <a:solidFill>
          <a:srgbClr val="FFF2CC"/>
        </a:solidFill>
        <a:ln w="6350">
          <a:solidFill>
            <a:srgbClr val="000000"/>
          </a:solidFill>
          <a:miter lim="800000"/>
          <a:headEnd/>
          <a:tailEnd/>
        </a:ln>
      </xdr:spPr>
      <xdr:txBody>
        <a:bodyPr vertOverflow="clip" wrap="square" lIns="91440" tIns="45720" rIns="91440" bIns="45720" anchor="t" upright="1"/>
        <a:lstStyle/>
        <a:p>
          <a:pPr algn="l" rtl="0">
            <a:defRPr sz="1000"/>
          </a:pPr>
          <a:r>
            <a:rPr lang="en-US" sz="1100" b="0" i="0" u="none" strike="noStrike" baseline="0">
              <a:solidFill>
                <a:srgbClr val="000000"/>
              </a:solidFill>
              <a:latin typeface="Calibri"/>
              <a:cs typeface="Calibri"/>
            </a:rPr>
            <a:t> </a:t>
          </a:r>
        </a:p>
      </xdr:txBody>
    </xdr:sp>
    <xdr:clientData/>
  </xdr:twoCellAnchor>
  <xdr:twoCellAnchor>
    <xdr:from>
      <xdr:col>1</xdr:col>
      <xdr:colOff>0</xdr:colOff>
      <xdr:row>22</xdr:row>
      <xdr:rowOff>38100</xdr:rowOff>
    </xdr:from>
    <xdr:to>
      <xdr:col>1</xdr:col>
      <xdr:colOff>209550</xdr:colOff>
      <xdr:row>22</xdr:row>
      <xdr:rowOff>190500</xdr:rowOff>
    </xdr:to>
    <xdr:sp macro="" textlink="">
      <xdr:nvSpPr>
        <xdr:cNvPr id="4" name="Text Box 6">
          <a:extLst>
            <a:ext uri="{FF2B5EF4-FFF2-40B4-BE49-F238E27FC236}">
              <a16:creationId xmlns:a16="http://schemas.microsoft.com/office/drawing/2014/main" id="{A83D52DB-5A87-4822-8F96-1C8A09B0A842}"/>
            </a:ext>
          </a:extLst>
        </xdr:cNvPr>
        <xdr:cNvSpPr txBox="1"/>
      </xdr:nvSpPr>
      <xdr:spPr>
        <a:xfrm>
          <a:off x="104775" y="7086600"/>
          <a:ext cx="209550" cy="152400"/>
        </a:xfrm>
        <a:prstGeom prst="rect">
          <a:avLst/>
        </a:prstGeom>
        <a:solidFill>
          <a:srgbClr val="00FFFF"/>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1</xdr:col>
      <xdr:colOff>0</xdr:colOff>
      <xdr:row>24</xdr:row>
      <xdr:rowOff>38100</xdr:rowOff>
    </xdr:from>
    <xdr:to>
      <xdr:col>1</xdr:col>
      <xdr:colOff>209550</xdr:colOff>
      <xdr:row>24</xdr:row>
      <xdr:rowOff>190500</xdr:rowOff>
    </xdr:to>
    <xdr:sp macro="" textlink="">
      <xdr:nvSpPr>
        <xdr:cNvPr id="5" name="Text Box 7">
          <a:extLst>
            <a:ext uri="{FF2B5EF4-FFF2-40B4-BE49-F238E27FC236}">
              <a16:creationId xmlns:a16="http://schemas.microsoft.com/office/drawing/2014/main" id="{5CFC3A41-E22A-47BB-BDB0-2DBA67144B0D}"/>
            </a:ext>
          </a:extLst>
        </xdr:cNvPr>
        <xdr:cNvSpPr txBox="1"/>
      </xdr:nvSpPr>
      <xdr:spPr>
        <a:xfrm>
          <a:off x="104775" y="7448550"/>
          <a:ext cx="209550" cy="152400"/>
        </a:xfrm>
        <a:prstGeom prst="rect">
          <a:avLst/>
        </a:prstGeom>
        <a:solidFill>
          <a:srgbClr val="FF0000"/>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17</xdr:row>
      <xdr:rowOff>182276</xdr:rowOff>
    </xdr:from>
    <xdr:to>
      <xdr:col>7</xdr:col>
      <xdr:colOff>47625</xdr:colOff>
      <xdr:row>32</xdr:row>
      <xdr:rowOff>9049</xdr:rowOff>
    </xdr:to>
    <xdr:pic>
      <xdr:nvPicPr>
        <xdr:cNvPr id="2" name="Picture 1">
          <a:extLst>
            <a:ext uri="{FF2B5EF4-FFF2-40B4-BE49-F238E27FC236}">
              <a16:creationId xmlns:a16="http://schemas.microsoft.com/office/drawing/2014/main" id="{9CF1183B-0133-4033-B0CF-ABCAC466BEA9}"/>
            </a:ext>
          </a:extLst>
        </xdr:cNvPr>
        <xdr:cNvPicPr>
          <a:picLocks noChangeAspect="1"/>
        </xdr:cNvPicPr>
      </xdr:nvPicPr>
      <xdr:blipFill>
        <a:blip xmlns:r="http://schemas.openxmlformats.org/officeDocument/2006/relationships" r:embed="rId1"/>
        <a:stretch>
          <a:fillRect/>
        </a:stretch>
      </xdr:blipFill>
      <xdr:spPr>
        <a:xfrm>
          <a:off x="180975" y="3249326"/>
          <a:ext cx="4657725" cy="2827148"/>
        </a:xfrm>
        <a:prstGeom prst="rect">
          <a:avLst/>
        </a:prstGeom>
      </xdr:spPr>
    </xdr:pic>
    <xdr:clientData/>
  </xdr:twoCellAnchor>
  <xdr:twoCellAnchor editAs="oneCell">
    <xdr:from>
      <xdr:col>7</xdr:col>
      <xdr:colOff>66675</xdr:colOff>
      <xdr:row>19</xdr:row>
      <xdr:rowOff>180975</xdr:rowOff>
    </xdr:from>
    <xdr:to>
      <xdr:col>13</xdr:col>
      <xdr:colOff>596228</xdr:colOff>
      <xdr:row>31</xdr:row>
      <xdr:rowOff>161925</xdr:rowOff>
    </xdr:to>
    <xdr:pic>
      <xdr:nvPicPr>
        <xdr:cNvPr id="3" name="Picture 2">
          <a:extLst>
            <a:ext uri="{FF2B5EF4-FFF2-40B4-BE49-F238E27FC236}">
              <a16:creationId xmlns:a16="http://schemas.microsoft.com/office/drawing/2014/main" id="{6AAAC430-E44F-40DB-9FA4-37B45213020D}"/>
            </a:ext>
          </a:extLst>
        </xdr:cNvPr>
        <xdr:cNvPicPr>
          <a:picLocks noChangeAspect="1"/>
        </xdr:cNvPicPr>
      </xdr:nvPicPr>
      <xdr:blipFill>
        <a:blip xmlns:r="http://schemas.openxmlformats.org/officeDocument/2006/relationships" r:embed="rId2"/>
        <a:stretch>
          <a:fillRect/>
        </a:stretch>
      </xdr:blipFill>
      <xdr:spPr>
        <a:xfrm>
          <a:off x="4857750" y="3648075"/>
          <a:ext cx="5101553" cy="2381250"/>
        </a:xfrm>
        <a:prstGeom prst="rect">
          <a:avLst/>
        </a:prstGeom>
      </xdr:spPr>
    </xdr:pic>
    <xdr:clientData/>
  </xdr:twoCellAnchor>
  <xdr:twoCellAnchor editAs="oneCell">
    <xdr:from>
      <xdr:col>0</xdr:col>
      <xdr:colOff>123826</xdr:colOff>
      <xdr:row>45</xdr:row>
      <xdr:rowOff>35479</xdr:rowOff>
    </xdr:from>
    <xdr:to>
      <xdr:col>6</xdr:col>
      <xdr:colOff>628651</xdr:colOff>
      <xdr:row>56</xdr:row>
      <xdr:rowOff>9246</xdr:rowOff>
    </xdr:to>
    <xdr:pic>
      <xdr:nvPicPr>
        <xdr:cNvPr id="4" name="Picture 3">
          <a:extLst>
            <a:ext uri="{FF2B5EF4-FFF2-40B4-BE49-F238E27FC236}">
              <a16:creationId xmlns:a16="http://schemas.microsoft.com/office/drawing/2014/main" id="{93301FC1-F660-448F-887C-DB0DB154A0B6}"/>
            </a:ext>
          </a:extLst>
        </xdr:cNvPr>
        <xdr:cNvPicPr>
          <a:picLocks noChangeAspect="1"/>
        </xdr:cNvPicPr>
      </xdr:nvPicPr>
      <xdr:blipFill>
        <a:blip xmlns:r="http://schemas.openxmlformats.org/officeDocument/2006/relationships" r:embed="rId3"/>
        <a:stretch>
          <a:fillRect/>
        </a:stretch>
      </xdr:blipFill>
      <xdr:spPr>
        <a:xfrm>
          <a:off x="123826" y="8703229"/>
          <a:ext cx="4533900" cy="2174042"/>
        </a:xfrm>
        <a:prstGeom prst="rect">
          <a:avLst/>
        </a:prstGeom>
      </xdr:spPr>
    </xdr:pic>
    <xdr:clientData/>
  </xdr:twoCellAnchor>
  <xdr:twoCellAnchor editAs="oneCell">
    <xdr:from>
      <xdr:col>7</xdr:col>
      <xdr:colOff>47626</xdr:colOff>
      <xdr:row>44</xdr:row>
      <xdr:rowOff>92161</xdr:rowOff>
    </xdr:from>
    <xdr:to>
      <xdr:col>13</xdr:col>
      <xdr:colOff>485776</xdr:colOff>
      <xdr:row>55</xdr:row>
      <xdr:rowOff>85725</xdr:rowOff>
    </xdr:to>
    <xdr:pic>
      <xdr:nvPicPr>
        <xdr:cNvPr id="5" name="Picture 4">
          <a:extLst>
            <a:ext uri="{FF2B5EF4-FFF2-40B4-BE49-F238E27FC236}">
              <a16:creationId xmlns:a16="http://schemas.microsoft.com/office/drawing/2014/main" id="{8D2558F5-413C-451B-867D-66498A07B09B}"/>
            </a:ext>
          </a:extLst>
        </xdr:cNvPr>
        <xdr:cNvPicPr>
          <a:picLocks noChangeAspect="1"/>
        </xdr:cNvPicPr>
      </xdr:nvPicPr>
      <xdr:blipFill>
        <a:blip xmlns:r="http://schemas.openxmlformats.org/officeDocument/2006/relationships" r:embed="rId4"/>
        <a:stretch>
          <a:fillRect/>
        </a:stretch>
      </xdr:blipFill>
      <xdr:spPr>
        <a:xfrm>
          <a:off x="4838701" y="8559886"/>
          <a:ext cx="5010150" cy="2193839"/>
        </a:xfrm>
        <a:prstGeom prst="rect">
          <a:avLst/>
        </a:prstGeom>
      </xdr:spPr>
    </xdr:pic>
    <xdr:clientData/>
  </xdr:twoCellAnchor>
  <xdr:twoCellAnchor editAs="oneCell">
    <xdr:from>
      <xdr:col>1</xdr:col>
      <xdr:colOff>9524</xdr:colOff>
      <xdr:row>84</xdr:row>
      <xdr:rowOff>65082</xdr:rowOff>
    </xdr:from>
    <xdr:to>
      <xdr:col>8</xdr:col>
      <xdr:colOff>666749</xdr:colOff>
      <xdr:row>108</xdr:row>
      <xdr:rowOff>104257</xdr:rowOff>
    </xdr:to>
    <xdr:pic>
      <xdr:nvPicPr>
        <xdr:cNvPr id="6" name="Picture 5">
          <a:extLst>
            <a:ext uri="{FF2B5EF4-FFF2-40B4-BE49-F238E27FC236}">
              <a16:creationId xmlns:a16="http://schemas.microsoft.com/office/drawing/2014/main" id="{656EF87E-DE79-466C-82F6-B071EBA33BB7}"/>
            </a:ext>
          </a:extLst>
        </xdr:cNvPr>
        <xdr:cNvPicPr>
          <a:picLocks noChangeAspect="1"/>
        </xdr:cNvPicPr>
      </xdr:nvPicPr>
      <xdr:blipFill>
        <a:blip xmlns:r="http://schemas.openxmlformats.org/officeDocument/2006/relationships" r:embed="rId5"/>
        <a:stretch>
          <a:fillRect/>
        </a:stretch>
      </xdr:blipFill>
      <xdr:spPr>
        <a:xfrm>
          <a:off x="304799" y="16295682"/>
          <a:ext cx="5915025" cy="4611175"/>
        </a:xfrm>
        <a:prstGeom prst="rect">
          <a:avLst/>
        </a:prstGeom>
      </xdr:spPr>
    </xdr:pic>
    <xdr:clientData/>
  </xdr:twoCellAnchor>
  <xdr:twoCellAnchor editAs="oneCell">
    <xdr:from>
      <xdr:col>1</xdr:col>
      <xdr:colOff>9525</xdr:colOff>
      <xdr:row>62</xdr:row>
      <xdr:rowOff>170419</xdr:rowOff>
    </xdr:from>
    <xdr:to>
      <xdr:col>8</xdr:col>
      <xdr:colOff>676275</xdr:colOff>
      <xdr:row>84</xdr:row>
      <xdr:rowOff>104305</xdr:rowOff>
    </xdr:to>
    <xdr:pic>
      <xdr:nvPicPr>
        <xdr:cNvPr id="7" name="Picture 6">
          <a:extLst>
            <a:ext uri="{FF2B5EF4-FFF2-40B4-BE49-F238E27FC236}">
              <a16:creationId xmlns:a16="http://schemas.microsoft.com/office/drawing/2014/main" id="{C5575BBF-34B8-40C6-96FA-AF825E0427DD}"/>
            </a:ext>
          </a:extLst>
        </xdr:cNvPr>
        <xdr:cNvPicPr>
          <a:picLocks noChangeAspect="1"/>
        </xdr:cNvPicPr>
      </xdr:nvPicPr>
      <xdr:blipFill>
        <a:blip xmlns:r="http://schemas.openxmlformats.org/officeDocument/2006/relationships" r:embed="rId6"/>
        <a:stretch>
          <a:fillRect/>
        </a:stretch>
      </xdr:blipFill>
      <xdr:spPr>
        <a:xfrm>
          <a:off x="304800" y="12152869"/>
          <a:ext cx="5924550" cy="4182036"/>
        </a:xfrm>
        <a:prstGeom prst="rect">
          <a:avLst/>
        </a:prstGeom>
      </xdr:spPr>
    </xdr:pic>
    <xdr:clientData/>
  </xdr:twoCellAnchor>
  <xdr:twoCellAnchor editAs="oneCell">
    <xdr:from>
      <xdr:col>1</xdr:col>
      <xdr:colOff>0</xdr:colOff>
      <xdr:row>108</xdr:row>
      <xdr:rowOff>104155</xdr:rowOff>
    </xdr:from>
    <xdr:to>
      <xdr:col>8</xdr:col>
      <xdr:colOff>666750</xdr:colOff>
      <xdr:row>140</xdr:row>
      <xdr:rowOff>123137</xdr:rowOff>
    </xdr:to>
    <xdr:pic>
      <xdr:nvPicPr>
        <xdr:cNvPr id="8" name="Picture 7">
          <a:extLst>
            <a:ext uri="{FF2B5EF4-FFF2-40B4-BE49-F238E27FC236}">
              <a16:creationId xmlns:a16="http://schemas.microsoft.com/office/drawing/2014/main" id="{2E8CB21A-B30D-46BD-9830-40E3418F97F0}"/>
            </a:ext>
          </a:extLst>
        </xdr:cNvPr>
        <xdr:cNvPicPr>
          <a:picLocks noChangeAspect="1"/>
        </xdr:cNvPicPr>
      </xdr:nvPicPr>
      <xdr:blipFill>
        <a:blip xmlns:r="http://schemas.openxmlformats.org/officeDocument/2006/relationships" r:embed="rId7"/>
        <a:stretch>
          <a:fillRect/>
        </a:stretch>
      </xdr:blipFill>
      <xdr:spPr>
        <a:xfrm>
          <a:off x="295275" y="20906755"/>
          <a:ext cx="5924550" cy="6114982"/>
        </a:xfrm>
        <a:prstGeom prst="rect">
          <a:avLst/>
        </a:prstGeom>
      </xdr:spPr>
    </xdr:pic>
    <xdr:clientData/>
  </xdr:twoCellAnchor>
  <xdr:twoCellAnchor editAs="oneCell">
    <xdr:from>
      <xdr:col>0</xdr:col>
      <xdr:colOff>285749</xdr:colOff>
      <xdr:row>140</xdr:row>
      <xdr:rowOff>92320</xdr:rowOff>
    </xdr:from>
    <xdr:to>
      <xdr:col>8</xdr:col>
      <xdr:colOff>647699</xdr:colOff>
      <xdr:row>181</xdr:row>
      <xdr:rowOff>189608</xdr:rowOff>
    </xdr:to>
    <xdr:pic>
      <xdr:nvPicPr>
        <xdr:cNvPr id="9" name="Picture 8">
          <a:extLst>
            <a:ext uri="{FF2B5EF4-FFF2-40B4-BE49-F238E27FC236}">
              <a16:creationId xmlns:a16="http://schemas.microsoft.com/office/drawing/2014/main" id="{5E586AB9-8EFE-4C7A-8F9B-BD211CD72E0D}"/>
            </a:ext>
          </a:extLst>
        </xdr:cNvPr>
        <xdr:cNvPicPr>
          <a:picLocks noChangeAspect="1"/>
        </xdr:cNvPicPr>
      </xdr:nvPicPr>
      <xdr:blipFill>
        <a:blip xmlns:r="http://schemas.openxmlformats.org/officeDocument/2006/relationships" r:embed="rId8"/>
        <a:stretch>
          <a:fillRect/>
        </a:stretch>
      </xdr:blipFill>
      <xdr:spPr>
        <a:xfrm>
          <a:off x="285749" y="26990920"/>
          <a:ext cx="5915025" cy="7907788"/>
        </a:xfrm>
        <a:prstGeom prst="rect">
          <a:avLst/>
        </a:prstGeom>
      </xdr:spPr>
    </xdr:pic>
    <xdr:clientData/>
  </xdr:twoCellAnchor>
  <xdr:twoCellAnchor editAs="oneCell">
    <xdr:from>
      <xdr:col>1</xdr:col>
      <xdr:colOff>0</xdr:colOff>
      <xdr:row>181</xdr:row>
      <xdr:rowOff>165483</xdr:rowOff>
    </xdr:from>
    <xdr:to>
      <xdr:col>8</xdr:col>
      <xdr:colOff>657225</xdr:colOff>
      <xdr:row>212</xdr:row>
      <xdr:rowOff>37450</xdr:rowOff>
    </xdr:to>
    <xdr:pic>
      <xdr:nvPicPr>
        <xdr:cNvPr id="10" name="Picture 9">
          <a:extLst>
            <a:ext uri="{FF2B5EF4-FFF2-40B4-BE49-F238E27FC236}">
              <a16:creationId xmlns:a16="http://schemas.microsoft.com/office/drawing/2014/main" id="{0B760687-C0B5-4B06-810C-40FD5AD35A94}"/>
            </a:ext>
          </a:extLst>
        </xdr:cNvPr>
        <xdr:cNvPicPr>
          <a:picLocks noChangeAspect="1"/>
        </xdr:cNvPicPr>
      </xdr:nvPicPr>
      <xdr:blipFill>
        <a:blip xmlns:r="http://schemas.openxmlformats.org/officeDocument/2006/relationships" r:embed="rId9"/>
        <a:stretch>
          <a:fillRect/>
        </a:stretch>
      </xdr:blipFill>
      <xdr:spPr>
        <a:xfrm>
          <a:off x="295275" y="34874583"/>
          <a:ext cx="5915025" cy="577746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5.bin"/><Relationship Id="rId1" Type="http://schemas.openxmlformats.org/officeDocument/2006/relationships/hyperlink" Target="https://pooledmoneyinvestmentboard.com/" TargetMode="External"/></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21DD5-8B6C-435F-B552-AC463EA2DA29}">
  <sheetPr codeName="Sheet1">
    <tabColor rgb="FFC00000"/>
  </sheetPr>
  <dimension ref="B1:B109"/>
  <sheetViews>
    <sheetView zoomScaleNormal="100" workbookViewId="0"/>
  </sheetViews>
  <sheetFormatPr defaultRowHeight="15.75" x14ac:dyDescent="0.2"/>
  <cols>
    <col min="1" max="1" width="1.21875" style="23" customWidth="1"/>
    <col min="2" max="2" width="84.6640625" style="24" customWidth="1"/>
    <col min="3" max="16384" width="8.88671875" style="23"/>
  </cols>
  <sheetData>
    <row r="1" spans="2:2" ht="39" customHeight="1" x14ac:dyDescent="0.2">
      <c r="B1" s="453" t="s">
        <v>450</v>
      </c>
    </row>
    <row r="2" spans="2:2" ht="12.95" customHeight="1" x14ac:dyDescent="0.2"/>
    <row r="3" spans="2:2" ht="34.5" customHeight="1" x14ac:dyDescent="0.2">
      <c r="B3" s="24" t="s">
        <v>451</v>
      </c>
    </row>
    <row r="4" spans="2:2" ht="12.95" customHeight="1" x14ac:dyDescent="0.2"/>
    <row r="5" spans="2:2" ht="66" customHeight="1" x14ac:dyDescent="0.2">
      <c r="B5" s="24" t="s">
        <v>452</v>
      </c>
    </row>
    <row r="6" spans="2:2" ht="14.45" customHeight="1" x14ac:dyDescent="0.2"/>
    <row r="7" spans="2:2" ht="25.5" customHeight="1" x14ac:dyDescent="0.2">
      <c r="B7" s="454" t="s">
        <v>453</v>
      </c>
    </row>
    <row r="8" spans="2:2" ht="12.95" customHeight="1" x14ac:dyDescent="0.2"/>
    <row r="9" spans="2:2" ht="50.25" x14ac:dyDescent="0.2">
      <c r="B9" s="24" t="s">
        <v>454</v>
      </c>
    </row>
    <row r="10" spans="2:2" ht="12.95" customHeight="1" x14ac:dyDescent="0.2"/>
    <row r="11" spans="2:2" ht="31.5" x14ac:dyDescent="0.2">
      <c r="B11" s="24" t="s">
        <v>455</v>
      </c>
    </row>
    <row r="12" spans="2:2" ht="15" customHeight="1" x14ac:dyDescent="0.2"/>
    <row r="13" spans="2:2" ht="25.5" customHeight="1" x14ac:dyDescent="0.2">
      <c r="B13" s="454" t="s">
        <v>456</v>
      </c>
    </row>
    <row r="14" spans="2:2" ht="12.95" customHeight="1" x14ac:dyDescent="0.2"/>
    <row r="15" spans="2:2" ht="39.75" customHeight="1" x14ac:dyDescent="0.2">
      <c r="B15" s="24" t="s">
        <v>457</v>
      </c>
    </row>
    <row r="16" spans="2:2" ht="12.95" customHeight="1" x14ac:dyDescent="0.2"/>
    <row r="17" spans="2:2" x14ac:dyDescent="0.2">
      <c r="B17" s="455" t="s">
        <v>458</v>
      </c>
    </row>
    <row r="18" spans="2:2" ht="12.95" customHeight="1" x14ac:dyDescent="0.2">
      <c r="B18" s="455"/>
    </row>
    <row r="19" spans="2:2" x14ac:dyDescent="0.2">
      <c r="B19" s="24" t="s">
        <v>459</v>
      </c>
    </row>
    <row r="20" spans="2:2" ht="12.95" customHeight="1" x14ac:dyDescent="0.2"/>
    <row r="21" spans="2:2" ht="67.5" customHeight="1" x14ac:dyDescent="0.2">
      <c r="B21" s="24" t="s">
        <v>460</v>
      </c>
    </row>
    <row r="22" spans="2:2" ht="12.95" customHeight="1" x14ac:dyDescent="0.2">
      <c r="B22" s="456"/>
    </row>
    <row r="23" spans="2:2" ht="15.75" customHeight="1" x14ac:dyDescent="0.2">
      <c r="B23" s="24" t="s">
        <v>461</v>
      </c>
    </row>
    <row r="24" spans="2:2" ht="12.95" customHeight="1" x14ac:dyDescent="0.2">
      <c r="B24" s="456"/>
    </row>
    <row r="25" spans="2:2" ht="15.75" customHeight="1" x14ac:dyDescent="0.2">
      <c r="B25" s="24" t="s">
        <v>462</v>
      </c>
    </row>
    <row r="26" spans="2:2" ht="12.95" customHeight="1" x14ac:dyDescent="0.2"/>
    <row r="27" spans="2:2" ht="49.5" customHeight="1" x14ac:dyDescent="0.2">
      <c r="B27" s="24" t="s">
        <v>463</v>
      </c>
    </row>
    <row r="28" spans="2:2" ht="12.95" customHeight="1" x14ac:dyDescent="0.2"/>
    <row r="29" spans="2:2" ht="25.5" customHeight="1" x14ac:dyDescent="0.2">
      <c r="B29" s="454" t="s">
        <v>464</v>
      </c>
    </row>
    <row r="30" spans="2:2" ht="12.95" customHeight="1" x14ac:dyDescent="0.2">
      <c r="B30" s="457"/>
    </row>
    <row r="31" spans="2:2" ht="50.25" customHeight="1" x14ac:dyDescent="0.2">
      <c r="B31" s="24" t="s">
        <v>465</v>
      </c>
    </row>
    <row r="32" spans="2:2" ht="12.95" customHeight="1" x14ac:dyDescent="0.2"/>
    <row r="33" spans="2:2" ht="49.5" customHeight="1" x14ac:dyDescent="0.2">
      <c r="B33" s="218" t="s">
        <v>466</v>
      </c>
    </row>
    <row r="34" spans="2:2" ht="39.75" customHeight="1" x14ac:dyDescent="0.2">
      <c r="B34" s="458" t="s">
        <v>467</v>
      </c>
    </row>
    <row r="35" spans="2:2" ht="60.75" customHeight="1" x14ac:dyDescent="0.2">
      <c r="B35" s="458" t="s">
        <v>468</v>
      </c>
    </row>
    <row r="36" spans="2:2" ht="61.5" customHeight="1" x14ac:dyDescent="0.2">
      <c r="B36" s="458" t="s">
        <v>469</v>
      </c>
    </row>
    <row r="37" spans="2:2" ht="41.25" customHeight="1" x14ac:dyDescent="0.2">
      <c r="B37" s="458" t="s">
        <v>470</v>
      </c>
    </row>
    <row r="38" spans="2:2" ht="12.95" customHeight="1" x14ac:dyDescent="0.2"/>
    <row r="39" spans="2:2" ht="52.5" customHeight="1" x14ac:dyDescent="0.2">
      <c r="B39" s="218" t="s">
        <v>471</v>
      </c>
    </row>
    <row r="40" spans="2:2" ht="27.75" customHeight="1" x14ac:dyDescent="0.2">
      <c r="B40" s="458" t="s">
        <v>472</v>
      </c>
    </row>
    <row r="41" spans="2:2" ht="57" customHeight="1" x14ac:dyDescent="0.2">
      <c r="B41" s="458" t="s">
        <v>473</v>
      </c>
    </row>
    <row r="42" spans="2:2" ht="105" customHeight="1" x14ac:dyDescent="0.2">
      <c r="B42" s="458" t="s">
        <v>474</v>
      </c>
    </row>
    <row r="43" spans="2:2" s="24" customFormat="1" ht="12.95" customHeight="1" x14ac:dyDescent="0.2"/>
    <row r="44" spans="2:2" ht="47.25" x14ac:dyDescent="0.2">
      <c r="B44" s="218" t="s">
        <v>475</v>
      </c>
    </row>
    <row r="45" spans="2:2" ht="66.75" customHeight="1" x14ac:dyDescent="0.2">
      <c r="B45" s="218" t="s">
        <v>476</v>
      </c>
    </row>
    <row r="46" spans="2:2" ht="72.75" customHeight="1" x14ac:dyDescent="0.2">
      <c r="B46" s="458" t="s">
        <v>477</v>
      </c>
    </row>
    <row r="47" spans="2:2" ht="108" customHeight="1" x14ac:dyDescent="0.2">
      <c r="B47" s="458" t="s">
        <v>478</v>
      </c>
    </row>
    <row r="48" spans="2:2" ht="95.25" customHeight="1" x14ac:dyDescent="0.2">
      <c r="B48" s="458" t="s">
        <v>479</v>
      </c>
    </row>
    <row r="49" spans="2:2" ht="12.95" customHeight="1" x14ac:dyDescent="0.2"/>
    <row r="50" spans="2:2" ht="47.25" x14ac:dyDescent="0.2">
      <c r="B50" s="218" t="s">
        <v>480</v>
      </c>
    </row>
    <row r="51" spans="2:2" ht="38.25" customHeight="1" x14ac:dyDescent="0.2">
      <c r="B51" s="458" t="s">
        <v>481</v>
      </c>
    </row>
    <row r="52" spans="2:2" ht="34.5" customHeight="1" x14ac:dyDescent="0.2">
      <c r="B52" s="458" t="s">
        <v>482</v>
      </c>
    </row>
    <row r="53" spans="2:2" ht="12.95" customHeight="1" x14ac:dyDescent="0.2"/>
    <row r="54" spans="2:2" ht="71.25" customHeight="1" x14ac:dyDescent="0.2">
      <c r="B54" s="218" t="s">
        <v>483</v>
      </c>
    </row>
    <row r="55" spans="2:2" ht="21.75" customHeight="1" x14ac:dyDescent="0.2">
      <c r="B55" s="458" t="s">
        <v>484</v>
      </c>
    </row>
    <row r="56" spans="2:2" ht="12.95" customHeight="1" x14ac:dyDescent="0.2">
      <c r="B56" s="459"/>
    </row>
    <row r="57" spans="2:2" ht="57.75" customHeight="1" x14ac:dyDescent="0.2">
      <c r="B57" s="218" t="s">
        <v>485</v>
      </c>
    </row>
    <row r="58" spans="2:2" ht="41.25" customHeight="1" x14ac:dyDescent="0.2">
      <c r="B58" s="458" t="s">
        <v>486</v>
      </c>
    </row>
    <row r="59" spans="2:2" ht="72" customHeight="1" x14ac:dyDescent="0.2">
      <c r="B59" s="458" t="s">
        <v>487</v>
      </c>
    </row>
    <row r="60" spans="2:2" ht="27" customHeight="1" x14ac:dyDescent="0.2">
      <c r="B60" s="458" t="s">
        <v>488</v>
      </c>
    </row>
    <row r="61" spans="2:2" ht="44.25" customHeight="1" x14ac:dyDescent="0.2">
      <c r="B61" s="458" t="s">
        <v>489</v>
      </c>
    </row>
    <row r="62" spans="2:2" ht="12.95" customHeight="1" x14ac:dyDescent="0.2"/>
    <row r="63" spans="2:2" ht="38.25" customHeight="1" x14ac:dyDescent="0.2">
      <c r="B63" s="218" t="s">
        <v>490</v>
      </c>
    </row>
    <row r="64" spans="2:2" s="460" customFormat="1" ht="30.75" customHeight="1" x14ac:dyDescent="0.2">
      <c r="B64" s="458" t="s">
        <v>491</v>
      </c>
    </row>
    <row r="65" spans="2:2" ht="12.95" customHeight="1" x14ac:dyDescent="0.2"/>
    <row r="66" spans="2:2" ht="52.5" customHeight="1" x14ac:dyDescent="0.2">
      <c r="B66" s="218" t="s">
        <v>492</v>
      </c>
    </row>
    <row r="67" spans="2:2" s="460" customFormat="1" ht="39.75" customHeight="1" x14ac:dyDescent="0.2">
      <c r="B67" s="458" t="s">
        <v>493</v>
      </c>
    </row>
    <row r="68" spans="2:2" ht="12.95" customHeight="1" x14ac:dyDescent="0.2"/>
    <row r="69" spans="2:2" ht="68.25" customHeight="1" x14ac:dyDescent="0.2">
      <c r="B69" s="218" t="s">
        <v>494</v>
      </c>
    </row>
    <row r="70" spans="2:2" ht="57" customHeight="1" x14ac:dyDescent="0.2">
      <c r="B70" s="458" t="s">
        <v>495</v>
      </c>
    </row>
    <row r="71" spans="2:2" ht="44.25" customHeight="1" x14ac:dyDescent="0.2">
      <c r="B71" s="458" t="s">
        <v>496</v>
      </c>
    </row>
    <row r="72" spans="2:2" ht="12.95" customHeight="1" x14ac:dyDescent="0.2"/>
    <row r="73" spans="2:2" ht="78.75" x14ac:dyDescent="0.2">
      <c r="B73" s="218" t="s">
        <v>497</v>
      </c>
    </row>
    <row r="74" spans="2:2" ht="72.75" customHeight="1" x14ac:dyDescent="0.2">
      <c r="B74" s="458" t="s">
        <v>498</v>
      </c>
    </row>
    <row r="75" spans="2:2" ht="90" customHeight="1" x14ac:dyDescent="0.2">
      <c r="B75" s="458" t="s">
        <v>499</v>
      </c>
    </row>
    <row r="76" spans="2:2" ht="70.5" customHeight="1" x14ac:dyDescent="0.2">
      <c r="B76" s="458" t="s">
        <v>500</v>
      </c>
    </row>
    <row r="77" spans="2:2" ht="87" customHeight="1" x14ac:dyDescent="0.2">
      <c r="B77" s="458" t="s">
        <v>501</v>
      </c>
    </row>
    <row r="78" spans="2:2" ht="110.25" x14ac:dyDescent="0.2">
      <c r="B78" s="458" t="s">
        <v>502</v>
      </c>
    </row>
    <row r="79" spans="2:2" ht="55.5" customHeight="1" x14ac:dyDescent="0.2">
      <c r="B79" s="458" t="s">
        <v>503</v>
      </c>
    </row>
    <row r="80" spans="2:2" ht="96.75" customHeight="1" x14ac:dyDescent="0.2">
      <c r="B80" s="458" t="s">
        <v>504</v>
      </c>
    </row>
    <row r="81" spans="2:2" ht="111.75" customHeight="1" x14ac:dyDescent="0.2">
      <c r="B81" s="458" t="s">
        <v>505</v>
      </c>
    </row>
    <row r="82" spans="2:2" ht="123.75" customHeight="1" x14ac:dyDescent="0.2">
      <c r="B82" s="458" t="s">
        <v>506</v>
      </c>
    </row>
    <row r="83" spans="2:2" ht="26.25" customHeight="1" x14ac:dyDescent="0.2">
      <c r="B83" s="458" t="s">
        <v>507</v>
      </c>
    </row>
    <row r="84" spans="2:2" ht="57.75" customHeight="1" x14ac:dyDescent="0.2">
      <c r="B84" s="458" t="s">
        <v>508</v>
      </c>
    </row>
    <row r="85" spans="2:2" ht="57.75" customHeight="1" x14ac:dyDescent="0.2">
      <c r="B85" s="458" t="s">
        <v>509</v>
      </c>
    </row>
    <row r="86" spans="2:2" ht="91.5" customHeight="1" x14ac:dyDescent="0.2">
      <c r="B86" s="458" t="s">
        <v>510</v>
      </c>
    </row>
    <row r="87" spans="2:2" ht="75" customHeight="1" x14ac:dyDescent="0.2">
      <c r="B87" s="458" t="s">
        <v>511</v>
      </c>
    </row>
    <row r="88" spans="2:2" ht="69" customHeight="1" x14ac:dyDescent="0.2">
      <c r="B88" s="458" t="s">
        <v>512</v>
      </c>
    </row>
    <row r="89" spans="2:2" ht="39" customHeight="1" x14ac:dyDescent="0.2">
      <c r="B89" s="458" t="s">
        <v>513</v>
      </c>
    </row>
    <row r="90" spans="2:2" ht="12.95" customHeight="1" x14ac:dyDescent="0.2"/>
    <row r="91" spans="2:2" ht="63" x14ac:dyDescent="0.2">
      <c r="B91" s="218" t="s">
        <v>514</v>
      </c>
    </row>
    <row r="92" spans="2:2" ht="75.75" customHeight="1" x14ac:dyDescent="0.2">
      <c r="B92" s="458" t="s">
        <v>515</v>
      </c>
    </row>
    <row r="93" spans="2:2" ht="23.25" customHeight="1" x14ac:dyDescent="0.2">
      <c r="B93" s="458" t="s">
        <v>516</v>
      </c>
    </row>
    <row r="94" spans="2:2" ht="27" customHeight="1" x14ac:dyDescent="0.2">
      <c r="B94" s="458" t="s">
        <v>517</v>
      </c>
    </row>
    <row r="95" spans="2:2" ht="42" customHeight="1" x14ac:dyDescent="0.2">
      <c r="B95" s="461" t="s">
        <v>518</v>
      </c>
    </row>
    <row r="96" spans="2:2" ht="108" customHeight="1" x14ac:dyDescent="0.2">
      <c r="B96" s="461" t="s">
        <v>519</v>
      </c>
    </row>
    <row r="97" spans="2:2" ht="88.5" customHeight="1" x14ac:dyDescent="0.2">
      <c r="B97" s="461" t="s">
        <v>520</v>
      </c>
    </row>
    <row r="98" spans="2:2" ht="98.25" customHeight="1" x14ac:dyDescent="0.2">
      <c r="B98" s="458" t="s">
        <v>521</v>
      </c>
    </row>
    <row r="99" spans="2:2" ht="68.25" customHeight="1" x14ac:dyDescent="0.2">
      <c r="B99" s="458" t="s">
        <v>522</v>
      </c>
    </row>
    <row r="100" spans="2:2" ht="12.95" customHeight="1" x14ac:dyDescent="0.2"/>
    <row r="101" spans="2:2" ht="94.5" x14ac:dyDescent="0.2">
      <c r="B101" s="218" t="s">
        <v>523</v>
      </c>
    </row>
    <row r="102" spans="2:2" ht="78.75" x14ac:dyDescent="0.2">
      <c r="B102" s="462" t="s">
        <v>524</v>
      </c>
    </row>
    <row r="103" spans="2:2" ht="63" x14ac:dyDescent="0.2">
      <c r="B103" s="458" t="s">
        <v>525</v>
      </c>
    </row>
    <row r="104" spans="2:2" ht="39.75" customHeight="1" x14ac:dyDescent="0.2">
      <c r="B104" s="458" t="s">
        <v>526</v>
      </c>
    </row>
    <row r="105" spans="2:2" ht="12.95" customHeight="1" x14ac:dyDescent="0.2">
      <c r="B105" s="23"/>
    </row>
    <row r="106" spans="2:2" ht="47.25" x14ac:dyDescent="0.2">
      <c r="B106" s="218" t="s">
        <v>527</v>
      </c>
    </row>
    <row r="107" spans="2:2" ht="12.95" customHeight="1" x14ac:dyDescent="0.2">
      <c r="B107" s="23"/>
    </row>
    <row r="108" spans="2:2" ht="47.25" x14ac:dyDescent="0.2">
      <c r="B108" s="218" t="s">
        <v>528</v>
      </c>
    </row>
    <row r="109" spans="2:2" x14ac:dyDescent="0.2">
      <c r="B109" s="23"/>
    </row>
  </sheetData>
  <sheetProtection sheet="1" objects="1" scenarios="1"/>
  <pageMargins left="0.5" right="0.5" top="0.25" bottom="0.5" header="0.5" footer="0.25"/>
  <pageSetup scale="85" fitToHeight="2" orientation="portrait" blackAndWhite="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6"/>
  <dimension ref="A1:G48"/>
  <sheetViews>
    <sheetView workbookViewId="0">
      <selection activeCell="B15" sqref="B15"/>
    </sheetView>
  </sheetViews>
  <sheetFormatPr defaultRowHeight="15" x14ac:dyDescent="0.2"/>
  <cols>
    <col min="1" max="1" width="70.44140625" style="75" customWidth="1"/>
    <col min="2" max="16384" width="8.88671875" style="75"/>
  </cols>
  <sheetData>
    <row r="1" spans="1:7" ht="30" customHeight="1" x14ac:dyDescent="0.3">
      <c r="A1" s="256" t="s">
        <v>217</v>
      </c>
      <c r="B1" s="255"/>
      <c r="C1" s="255"/>
      <c r="D1" s="255"/>
      <c r="E1" s="255"/>
      <c r="F1" s="255"/>
      <c r="G1" s="255"/>
    </row>
    <row r="2" spans="1:7" ht="15.75" customHeight="1" x14ac:dyDescent="0.25">
      <c r="A2" s="2"/>
    </row>
    <row r="3" spans="1:7" ht="54" customHeight="1" x14ac:dyDescent="0.25">
      <c r="A3" s="254" t="s">
        <v>284</v>
      </c>
    </row>
    <row r="4" spans="1:7" ht="15.75" customHeight="1" x14ac:dyDescent="0.25">
      <c r="A4" s="2"/>
    </row>
    <row r="5" spans="1:7" ht="52.5" customHeight="1" x14ac:dyDescent="0.25">
      <c r="A5" s="254" t="s">
        <v>285</v>
      </c>
    </row>
    <row r="6" spans="1:7" ht="15.75" customHeight="1" x14ac:dyDescent="0.25">
      <c r="A6" s="2"/>
    </row>
    <row r="7" spans="1:7" s="252" customFormat="1" ht="45.75" customHeight="1" x14ac:dyDescent="0.25">
      <c r="A7" s="253" t="s">
        <v>239</v>
      </c>
    </row>
    <row r="8" spans="1:7" ht="15.75" customHeight="1" x14ac:dyDescent="0.25">
      <c r="A8" s="2"/>
    </row>
    <row r="9" spans="1:7" ht="46.5" customHeight="1" x14ac:dyDescent="0.25">
      <c r="A9" s="253" t="s">
        <v>240</v>
      </c>
    </row>
    <row r="10" spans="1:7" ht="15.75" customHeight="1" x14ac:dyDescent="0.2"/>
    <row r="11" spans="1:7" ht="45.75" customHeight="1" x14ac:dyDescent="0.25">
      <c r="A11" s="253" t="s">
        <v>241</v>
      </c>
    </row>
    <row r="12" spans="1:7" ht="15.75" customHeight="1" x14ac:dyDescent="0.25">
      <c r="A12" s="2"/>
    </row>
    <row r="13" spans="1:7" ht="62.25" customHeight="1" x14ac:dyDescent="0.25">
      <c r="A13" s="253" t="s">
        <v>242</v>
      </c>
    </row>
    <row r="14" spans="1:7" ht="15.75" customHeight="1" x14ac:dyDescent="0.25">
      <c r="A14" s="2"/>
    </row>
    <row r="15" spans="1:7" ht="32.25" customHeight="1" x14ac:dyDescent="0.25">
      <c r="A15" s="253" t="s">
        <v>243</v>
      </c>
    </row>
    <row r="16" spans="1:7" ht="15.75" customHeight="1" x14ac:dyDescent="0.2"/>
    <row r="17" spans="1:1" ht="67.5" customHeight="1" x14ac:dyDescent="0.25">
      <c r="A17" s="251" t="s">
        <v>286</v>
      </c>
    </row>
    <row r="18" spans="1:1" ht="15.75" customHeight="1" x14ac:dyDescent="0.2"/>
    <row r="19" spans="1:1" ht="81" customHeight="1" x14ac:dyDescent="0.25">
      <c r="A19" s="251" t="s">
        <v>244</v>
      </c>
    </row>
    <row r="20" spans="1:1" ht="15.75" customHeight="1" x14ac:dyDescent="0.25">
      <c r="A20" s="2"/>
    </row>
    <row r="21" spans="1:1" ht="78" customHeight="1" x14ac:dyDescent="0.25">
      <c r="A21" s="253" t="s">
        <v>245</v>
      </c>
    </row>
    <row r="22" spans="1:1" ht="15.75" customHeight="1" x14ac:dyDescent="0.25">
      <c r="A22" s="2"/>
    </row>
    <row r="23" spans="1:1" ht="44.25" customHeight="1" x14ac:dyDescent="0.25">
      <c r="A23" s="253" t="s">
        <v>246</v>
      </c>
    </row>
    <row r="24" spans="1:1" ht="15.75" customHeight="1" x14ac:dyDescent="0.2"/>
    <row r="25" spans="1:1" ht="53.25" customHeight="1" x14ac:dyDescent="0.25">
      <c r="A25" s="251" t="s">
        <v>247</v>
      </c>
    </row>
    <row r="26" spans="1:1" ht="16.5" customHeight="1" x14ac:dyDescent="0.25">
      <c r="A26" s="2"/>
    </row>
    <row r="27" spans="1:1" ht="40.5" customHeight="1" x14ac:dyDescent="0.25">
      <c r="A27" s="254" t="s">
        <v>287</v>
      </c>
    </row>
    <row r="28" spans="1:1" ht="16.5" customHeight="1" x14ac:dyDescent="0.25">
      <c r="A28" s="2"/>
    </row>
    <row r="29" spans="1:1" ht="69.75" customHeight="1" x14ac:dyDescent="0.25">
      <c r="A29" s="253" t="s">
        <v>248</v>
      </c>
    </row>
    <row r="30" spans="1:1" ht="15.75" customHeight="1" x14ac:dyDescent="0.25">
      <c r="A30" s="2"/>
    </row>
    <row r="31" spans="1:1" ht="79.5" customHeight="1" x14ac:dyDescent="0.25">
      <c r="A31" s="253" t="s">
        <v>313</v>
      </c>
    </row>
    <row r="32" spans="1:1" ht="15.75" customHeight="1" x14ac:dyDescent="0.25">
      <c r="A32" s="2"/>
    </row>
    <row r="33" spans="1:1" ht="58.5" customHeight="1" x14ac:dyDescent="0.25">
      <c r="A33" s="253" t="s">
        <v>249</v>
      </c>
    </row>
    <row r="35" spans="1:1" ht="60.75" customHeight="1" x14ac:dyDescent="0.25">
      <c r="A35" s="253" t="s">
        <v>250</v>
      </c>
    </row>
    <row r="36" spans="1:1" ht="15.75" x14ac:dyDescent="0.25">
      <c r="A36" s="2"/>
    </row>
    <row r="37" spans="1:1" ht="82.5" customHeight="1" x14ac:dyDescent="0.25">
      <c r="A37" s="253" t="s">
        <v>251</v>
      </c>
    </row>
    <row r="38" spans="1:1" ht="15.75" x14ac:dyDescent="0.25">
      <c r="A38" s="250"/>
    </row>
    <row r="39" spans="1:1" ht="15.75" x14ac:dyDescent="0.25">
      <c r="A39" s="250"/>
    </row>
    <row r="41" spans="1:1" ht="15.75" x14ac:dyDescent="0.25">
      <c r="A41" s="250"/>
    </row>
    <row r="42" spans="1:1" ht="15.75" x14ac:dyDescent="0.25">
      <c r="A42" s="250"/>
    </row>
    <row r="44" spans="1:1" ht="15.75" x14ac:dyDescent="0.25">
      <c r="A44" s="2"/>
    </row>
    <row r="45" spans="1:1" ht="15.75" x14ac:dyDescent="0.25">
      <c r="A45" s="250"/>
    </row>
    <row r="47" spans="1:1" ht="15.75" x14ac:dyDescent="0.25">
      <c r="A47" s="250"/>
    </row>
    <row r="48" spans="1:1" ht="15.75" x14ac:dyDescent="0.25">
      <c r="A48" s="250"/>
    </row>
  </sheetData>
  <sheetProtection sheet="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rgb="FF00B0F0"/>
    <pageSetUpPr fitToPage="1"/>
  </sheetPr>
  <dimension ref="A1:AB42"/>
  <sheetViews>
    <sheetView zoomScale="80" zoomScaleNormal="80" workbookViewId="0">
      <selection activeCell="B15" sqref="B15"/>
    </sheetView>
  </sheetViews>
  <sheetFormatPr defaultRowHeight="15.75" x14ac:dyDescent="0.2"/>
  <cols>
    <col min="1" max="1" width="20.77734375" style="56" customWidth="1"/>
    <col min="2" max="2" width="9.44140625" style="56" customWidth="1"/>
    <col min="3" max="3" width="9.77734375" style="56" customWidth="1"/>
    <col min="4" max="4" width="8.77734375" style="56" customWidth="1"/>
    <col min="5" max="5" width="12.77734375" style="56" customWidth="1"/>
    <col min="6" max="6" width="14.44140625" style="56" customWidth="1"/>
    <col min="7" max="12" width="9.77734375" style="56" customWidth="1"/>
    <col min="13" max="16384" width="8.88671875" style="56"/>
  </cols>
  <sheetData>
    <row r="1" spans="1:12" x14ac:dyDescent="0.2">
      <c r="A1" s="57">
        <f>inputPrYr!$C$3</f>
        <v>0</v>
      </c>
      <c r="B1" s="26"/>
      <c r="C1" s="26"/>
      <c r="D1" s="26"/>
      <c r="E1" s="26"/>
      <c r="F1" s="26"/>
      <c r="G1" s="26"/>
      <c r="H1" s="26"/>
      <c r="I1" s="26"/>
      <c r="J1" s="26"/>
      <c r="K1" s="26"/>
      <c r="L1" s="98">
        <f>inputPrYr!$C$5</f>
        <v>2025</v>
      </c>
    </row>
    <row r="2" spans="1:12" x14ac:dyDescent="0.2">
      <c r="A2" s="57"/>
      <c r="B2" s="26"/>
      <c r="C2" s="26"/>
      <c r="D2" s="26"/>
      <c r="E2" s="26"/>
      <c r="F2" s="26"/>
      <c r="G2" s="26"/>
      <c r="H2" s="26"/>
      <c r="I2" s="26"/>
      <c r="J2" s="26"/>
      <c r="K2" s="26"/>
      <c r="L2" s="90"/>
    </row>
    <row r="3" spans="1:12" x14ac:dyDescent="0.2">
      <c r="A3" s="621" t="s">
        <v>187</v>
      </c>
      <c r="B3" s="621"/>
      <c r="C3" s="621"/>
      <c r="D3" s="621"/>
      <c r="E3" s="621"/>
      <c r="F3" s="621"/>
      <c r="G3" s="621"/>
      <c r="H3" s="621"/>
      <c r="I3" s="621"/>
      <c r="J3" s="621"/>
      <c r="K3" s="621"/>
      <c r="L3" s="621"/>
    </row>
    <row r="4" spans="1:12" x14ac:dyDescent="0.2">
      <c r="A4" s="26"/>
      <c r="B4" s="100"/>
      <c r="C4" s="100"/>
      <c r="D4" s="100"/>
      <c r="E4" s="100"/>
      <c r="F4" s="100"/>
      <c r="G4" s="100"/>
      <c r="H4" s="100"/>
      <c r="I4" s="100"/>
      <c r="J4" s="100"/>
      <c r="K4" s="100"/>
      <c r="L4" s="100"/>
    </row>
    <row r="5" spans="1:12" x14ac:dyDescent="0.2">
      <c r="A5" s="622" t="s">
        <v>530</v>
      </c>
      <c r="B5" s="625" t="s">
        <v>531</v>
      </c>
      <c r="C5" s="625" t="s">
        <v>532</v>
      </c>
      <c r="D5" s="625" t="s">
        <v>533</v>
      </c>
      <c r="E5" s="625" t="s">
        <v>537</v>
      </c>
      <c r="F5" s="628" t="str">
        <f>CONCATENATE("Beginning Amount Outstanding Jan 1, ",L1-1,"")</f>
        <v>Beginning Amount Outstanding Jan 1, 2024</v>
      </c>
      <c r="G5" s="631" t="s">
        <v>160</v>
      </c>
      <c r="H5" s="632"/>
      <c r="I5" s="631" t="str">
        <f>CONCATENATE("Amount Due ",L1-1,"")</f>
        <v>Amount Due 2024</v>
      </c>
      <c r="J5" s="632"/>
      <c r="K5" s="631" t="str">
        <f>CONCATENATE("Amount Due ",L1,"")</f>
        <v>Amount Due 2025</v>
      </c>
      <c r="L5" s="632"/>
    </row>
    <row r="6" spans="1:12" x14ac:dyDescent="0.2">
      <c r="A6" s="623"/>
      <c r="B6" s="626"/>
      <c r="C6" s="626"/>
      <c r="D6" s="626"/>
      <c r="E6" s="626"/>
      <c r="F6" s="629"/>
      <c r="G6" s="633"/>
      <c r="H6" s="634"/>
      <c r="I6" s="633"/>
      <c r="J6" s="634"/>
      <c r="K6" s="633"/>
      <c r="L6" s="634"/>
    </row>
    <row r="7" spans="1:12" x14ac:dyDescent="0.2">
      <c r="A7" s="624"/>
      <c r="B7" s="627"/>
      <c r="C7" s="627"/>
      <c r="D7" s="627"/>
      <c r="E7" s="627"/>
      <c r="F7" s="630"/>
      <c r="G7" s="96" t="s">
        <v>168</v>
      </c>
      <c r="H7" s="96" t="s">
        <v>169</v>
      </c>
      <c r="I7" s="96" t="s">
        <v>168</v>
      </c>
      <c r="J7" s="96" t="s">
        <v>169</v>
      </c>
      <c r="K7" s="96" t="s">
        <v>168</v>
      </c>
      <c r="L7" s="96" t="s">
        <v>169</v>
      </c>
    </row>
    <row r="8" spans="1:12" x14ac:dyDescent="0.2">
      <c r="A8" s="103" t="s">
        <v>161</v>
      </c>
      <c r="B8" s="38"/>
      <c r="C8" s="38"/>
      <c r="D8" s="105"/>
      <c r="E8" s="106"/>
      <c r="F8" s="106"/>
      <c r="G8" s="38"/>
      <c r="H8" s="38"/>
      <c r="I8" s="106"/>
      <c r="J8" s="106"/>
      <c r="K8" s="106"/>
      <c r="L8" s="106"/>
    </row>
    <row r="9" spans="1:12" x14ac:dyDescent="0.2">
      <c r="A9" s="107"/>
      <c r="B9" s="227"/>
      <c r="C9" s="227"/>
      <c r="D9" s="108"/>
      <c r="E9" s="109"/>
      <c r="F9" s="110"/>
      <c r="G9" s="111"/>
      <c r="H9" s="111"/>
      <c r="I9" s="110"/>
      <c r="J9" s="110"/>
      <c r="K9" s="110"/>
      <c r="L9" s="110"/>
    </row>
    <row r="10" spans="1:12" x14ac:dyDescent="0.2">
      <c r="A10" s="107"/>
      <c r="B10" s="227"/>
      <c r="C10" s="227"/>
      <c r="D10" s="108"/>
      <c r="E10" s="109"/>
      <c r="F10" s="110"/>
      <c r="G10" s="111"/>
      <c r="H10" s="111"/>
      <c r="I10" s="110"/>
      <c r="J10" s="110"/>
      <c r="K10" s="110"/>
      <c r="L10" s="110"/>
    </row>
    <row r="11" spans="1:12" x14ac:dyDescent="0.2">
      <c r="A11" s="107"/>
      <c r="B11" s="227"/>
      <c r="C11" s="227"/>
      <c r="D11" s="108"/>
      <c r="E11" s="109"/>
      <c r="F11" s="110"/>
      <c r="G11" s="111"/>
      <c r="H11" s="111"/>
      <c r="I11" s="110"/>
      <c r="J11" s="110"/>
      <c r="K11" s="110"/>
      <c r="L11" s="110"/>
    </row>
    <row r="12" spans="1:12" x14ac:dyDescent="0.2">
      <c r="A12" s="107"/>
      <c r="B12" s="227"/>
      <c r="C12" s="227"/>
      <c r="D12" s="108"/>
      <c r="E12" s="109"/>
      <c r="F12" s="110"/>
      <c r="G12" s="111"/>
      <c r="H12" s="111"/>
      <c r="I12" s="110"/>
      <c r="J12" s="110"/>
      <c r="K12" s="110"/>
      <c r="L12" s="110"/>
    </row>
    <row r="13" spans="1:12" x14ac:dyDescent="0.2">
      <c r="A13" s="107"/>
      <c r="B13" s="227"/>
      <c r="C13" s="227"/>
      <c r="D13" s="108"/>
      <c r="E13" s="109"/>
      <c r="F13" s="110"/>
      <c r="G13" s="111"/>
      <c r="H13" s="111"/>
      <c r="I13" s="110"/>
      <c r="J13" s="110"/>
      <c r="K13" s="110"/>
      <c r="L13" s="110"/>
    </row>
    <row r="14" spans="1:12" x14ac:dyDescent="0.2">
      <c r="A14" s="107"/>
      <c r="B14" s="227"/>
      <c r="C14" s="227"/>
      <c r="D14" s="108"/>
      <c r="E14" s="109"/>
      <c r="F14" s="110"/>
      <c r="G14" s="111"/>
      <c r="H14" s="111"/>
      <c r="I14" s="110"/>
      <c r="J14" s="110"/>
      <c r="K14" s="110"/>
      <c r="L14" s="110"/>
    </row>
    <row r="15" spans="1:12" x14ac:dyDescent="0.2">
      <c r="A15" s="107"/>
      <c r="B15" s="227"/>
      <c r="C15" s="227"/>
      <c r="D15" s="108"/>
      <c r="E15" s="109"/>
      <c r="F15" s="110"/>
      <c r="G15" s="111"/>
      <c r="H15" s="111"/>
      <c r="I15" s="110"/>
      <c r="J15" s="110"/>
      <c r="K15" s="110"/>
      <c r="L15" s="110"/>
    </row>
    <row r="16" spans="1:12" x14ac:dyDescent="0.2">
      <c r="A16" s="107"/>
      <c r="B16" s="227"/>
      <c r="C16" s="227"/>
      <c r="D16" s="108"/>
      <c r="E16" s="109"/>
      <c r="F16" s="110"/>
      <c r="G16" s="111"/>
      <c r="H16" s="111"/>
      <c r="I16" s="110"/>
      <c r="J16" s="110"/>
      <c r="K16" s="110"/>
      <c r="L16" s="110"/>
    </row>
    <row r="17" spans="1:12" x14ac:dyDescent="0.2">
      <c r="A17" s="107"/>
      <c r="B17" s="227"/>
      <c r="C17" s="227"/>
      <c r="D17" s="108"/>
      <c r="E17" s="109"/>
      <c r="F17" s="110"/>
      <c r="G17" s="111"/>
      <c r="H17" s="111"/>
      <c r="I17" s="110"/>
      <c r="J17" s="110"/>
      <c r="K17" s="110"/>
      <c r="L17" s="110"/>
    </row>
    <row r="18" spans="1:12" x14ac:dyDescent="0.2">
      <c r="A18" s="107"/>
      <c r="B18" s="227"/>
      <c r="C18" s="227"/>
      <c r="D18" s="108"/>
      <c r="E18" s="109"/>
      <c r="F18" s="110"/>
      <c r="G18" s="111"/>
      <c r="H18" s="111"/>
      <c r="I18" s="110"/>
      <c r="J18" s="110"/>
      <c r="K18" s="110"/>
      <c r="L18" s="110"/>
    </row>
    <row r="19" spans="1:12" x14ac:dyDescent="0.2">
      <c r="A19" s="112" t="s">
        <v>162</v>
      </c>
      <c r="B19" s="113"/>
      <c r="C19" s="113"/>
      <c r="D19" s="114"/>
      <c r="E19" s="115"/>
      <c r="F19" s="115">
        <f>SUM(F9:F18)</f>
        <v>0</v>
      </c>
      <c r="G19" s="116"/>
      <c r="H19" s="116"/>
      <c r="I19" s="115">
        <f>SUM(I9:I18)</f>
        <v>0</v>
      </c>
      <c r="J19" s="115">
        <f>SUM(J9:J18)</f>
        <v>0</v>
      </c>
      <c r="K19" s="115">
        <f>SUM(K9:K18)</f>
        <v>0</v>
      </c>
      <c r="L19" s="115">
        <f>SUM(L9:L18)</f>
        <v>0</v>
      </c>
    </row>
    <row r="20" spans="1:12" x14ac:dyDescent="0.2">
      <c r="A20" s="96" t="s">
        <v>163</v>
      </c>
      <c r="B20" s="117"/>
      <c r="C20" s="117"/>
      <c r="D20" s="118"/>
      <c r="E20" s="119"/>
      <c r="F20" s="119"/>
      <c r="G20" s="120"/>
      <c r="H20" s="120"/>
      <c r="I20" s="119"/>
      <c r="J20" s="119"/>
      <c r="K20" s="119"/>
      <c r="L20" s="119"/>
    </row>
    <row r="21" spans="1:12" x14ac:dyDescent="0.2">
      <c r="A21" s="107"/>
      <c r="B21" s="227"/>
      <c r="C21" s="227"/>
      <c r="D21" s="108"/>
      <c r="E21" s="109"/>
      <c r="F21" s="110"/>
      <c r="G21" s="111"/>
      <c r="H21" s="111"/>
      <c r="I21" s="110"/>
      <c r="J21" s="110"/>
      <c r="K21" s="110"/>
      <c r="L21" s="110"/>
    </row>
    <row r="22" spans="1:12" x14ac:dyDescent="0.2">
      <c r="A22" s="107"/>
      <c r="B22" s="227"/>
      <c r="C22" s="227"/>
      <c r="D22" s="108"/>
      <c r="E22" s="109"/>
      <c r="F22" s="110"/>
      <c r="G22" s="111"/>
      <c r="H22" s="111"/>
      <c r="I22" s="110"/>
      <c r="J22" s="110"/>
      <c r="K22" s="110"/>
      <c r="L22" s="110"/>
    </row>
    <row r="23" spans="1:12" x14ac:dyDescent="0.2">
      <c r="A23" s="107"/>
      <c r="B23" s="227"/>
      <c r="C23" s="227"/>
      <c r="D23" s="108"/>
      <c r="E23" s="109"/>
      <c r="F23" s="110"/>
      <c r="G23" s="111"/>
      <c r="H23" s="111"/>
      <c r="I23" s="110"/>
      <c r="J23" s="110"/>
      <c r="K23" s="110"/>
      <c r="L23" s="110"/>
    </row>
    <row r="24" spans="1:12" x14ac:dyDescent="0.2">
      <c r="A24" s="107"/>
      <c r="B24" s="227"/>
      <c r="C24" s="227"/>
      <c r="D24" s="108"/>
      <c r="E24" s="109"/>
      <c r="F24" s="110"/>
      <c r="G24" s="111"/>
      <c r="H24" s="111"/>
      <c r="I24" s="110"/>
      <c r="J24" s="110"/>
      <c r="K24" s="110"/>
      <c r="L24" s="110"/>
    </row>
    <row r="25" spans="1:12" x14ac:dyDescent="0.2">
      <c r="A25" s="107"/>
      <c r="B25" s="227"/>
      <c r="C25" s="227"/>
      <c r="D25" s="108"/>
      <c r="E25" s="109"/>
      <c r="F25" s="110"/>
      <c r="G25" s="111"/>
      <c r="H25" s="111"/>
      <c r="I25" s="110"/>
      <c r="J25" s="110"/>
      <c r="K25" s="110"/>
      <c r="L25" s="110"/>
    </row>
    <row r="26" spans="1:12" x14ac:dyDescent="0.2">
      <c r="A26" s="107"/>
      <c r="B26" s="227"/>
      <c r="C26" s="227"/>
      <c r="D26" s="108"/>
      <c r="E26" s="109"/>
      <c r="F26" s="110"/>
      <c r="G26" s="111"/>
      <c r="H26" s="111"/>
      <c r="I26" s="110"/>
      <c r="J26" s="110"/>
      <c r="K26" s="110"/>
      <c r="L26" s="110"/>
    </row>
    <row r="27" spans="1:12" x14ac:dyDescent="0.2">
      <c r="A27" s="112" t="s">
        <v>164</v>
      </c>
      <c r="B27" s="113"/>
      <c r="C27" s="113"/>
      <c r="D27" s="121"/>
      <c r="E27" s="115"/>
      <c r="F27" s="115">
        <f>SUM(F21:F26)</f>
        <v>0</v>
      </c>
      <c r="G27" s="116"/>
      <c r="H27" s="116"/>
      <c r="I27" s="115">
        <f>SUM(I21:I26)</f>
        <v>0</v>
      </c>
      <c r="J27" s="115">
        <f>SUM(J21:J26)</f>
        <v>0</v>
      </c>
      <c r="K27" s="115">
        <f>SUM(K21:K26)</f>
        <v>0</v>
      </c>
      <c r="L27" s="115">
        <f>SUM(L21:L26)</f>
        <v>0</v>
      </c>
    </row>
    <row r="28" spans="1:12" x14ac:dyDescent="0.2">
      <c r="A28" s="96" t="s">
        <v>165</v>
      </c>
      <c r="B28" s="117"/>
      <c r="C28" s="117"/>
      <c r="D28" s="118"/>
      <c r="E28" s="119"/>
      <c r="F28" s="122"/>
      <c r="G28" s="120"/>
      <c r="H28" s="120"/>
      <c r="I28" s="119"/>
      <c r="J28" s="119"/>
      <c r="K28" s="119"/>
      <c r="L28" s="119"/>
    </row>
    <row r="29" spans="1:12" x14ac:dyDescent="0.2">
      <c r="A29" s="107"/>
      <c r="B29" s="227"/>
      <c r="C29" s="227"/>
      <c r="D29" s="108"/>
      <c r="E29" s="109"/>
      <c r="F29" s="110"/>
      <c r="G29" s="111"/>
      <c r="H29" s="111"/>
      <c r="I29" s="110"/>
      <c r="J29" s="110"/>
      <c r="K29" s="110"/>
      <c r="L29" s="110"/>
    </row>
    <row r="30" spans="1:12" x14ac:dyDescent="0.2">
      <c r="A30" s="107"/>
      <c r="B30" s="227"/>
      <c r="C30" s="227"/>
      <c r="D30" s="108"/>
      <c r="E30" s="109"/>
      <c r="F30" s="110"/>
      <c r="G30" s="111"/>
      <c r="H30" s="111"/>
      <c r="I30" s="110"/>
      <c r="J30" s="110"/>
      <c r="K30" s="110"/>
      <c r="L30" s="110"/>
    </row>
    <row r="31" spans="1:12" x14ac:dyDescent="0.2">
      <c r="A31" s="107"/>
      <c r="B31" s="227"/>
      <c r="C31" s="227"/>
      <c r="D31" s="108"/>
      <c r="E31" s="109"/>
      <c r="F31" s="110"/>
      <c r="G31" s="111"/>
      <c r="H31" s="111"/>
      <c r="I31" s="110"/>
      <c r="J31" s="110"/>
      <c r="K31" s="110"/>
      <c r="L31" s="110"/>
    </row>
    <row r="32" spans="1:12" x14ac:dyDescent="0.2">
      <c r="A32" s="107"/>
      <c r="B32" s="227"/>
      <c r="C32" s="227"/>
      <c r="D32" s="108"/>
      <c r="E32" s="109"/>
      <c r="F32" s="110"/>
      <c r="G32" s="111"/>
      <c r="H32" s="111"/>
      <c r="I32" s="110"/>
      <c r="J32" s="110"/>
      <c r="K32" s="110"/>
      <c r="L32" s="110"/>
    </row>
    <row r="33" spans="1:28" x14ac:dyDescent="0.2">
      <c r="A33" s="107"/>
      <c r="B33" s="227"/>
      <c r="C33" s="227"/>
      <c r="D33" s="108"/>
      <c r="E33" s="109"/>
      <c r="F33" s="110"/>
      <c r="G33" s="111"/>
      <c r="H33" s="111"/>
      <c r="I33" s="110"/>
      <c r="J33" s="110"/>
      <c r="K33" s="110"/>
      <c r="L33" s="110"/>
    </row>
    <row r="34" spans="1:28" x14ac:dyDescent="0.2">
      <c r="A34" s="107"/>
      <c r="B34" s="227"/>
      <c r="C34" s="227"/>
      <c r="D34" s="108"/>
      <c r="E34" s="109"/>
      <c r="F34" s="110"/>
      <c r="G34" s="111"/>
      <c r="H34" s="111"/>
      <c r="I34" s="110"/>
      <c r="J34" s="110"/>
      <c r="K34" s="110"/>
      <c r="L34" s="110"/>
    </row>
    <row r="35" spans="1:28" x14ac:dyDescent="0.2">
      <c r="A35" s="107"/>
      <c r="B35" s="227"/>
      <c r="C35" s="227"/>
      <c r="D35" s="108"/>
      <c r="E35" s="109"/>
      <c r="F35" s="110"/>
      <c r="G35" s="111"/>
      <c r="H35" s="111"/>
      <c r="I35" s="110"/>
      <c r="J35" s="110"/>
      <c r="K35" s="110"/>
      <c r="L35" s="110"/>
      <c r="M35" s="23"/>
      <c r="N35" s="23"/>
      <c r="O35" s="23"/>
      <c r="P35" s="23"/>
      <c r="Q35" s="23"/>
      <c r="R35" s="23"/>
      <c r="S35" s="23"/>
      <c r="T35" s="23"/>
      <c r="U35" s="23"/>
      <c r="V35" s="23"/>
      <c r="W35" s="23"/>
      <c r="X35" s="23"/>
      <c r="Y35" s="23"/>
      <c r="Z35" s="23"/>
      <c r="AA35" s="23"/>
      <c r="AB35" s="23"/>
    </row>
    <row r="36" spans="1:28" x14ac:dyDescent="0.2">
      <c r="A36" s="112" t="s">
        <v>215</v>
      </c>
      <c r="B36" s="112"/>
      <c r="C36" s="112"/>
      <c r="D36" s="121"/>
      <c r="E36" s="115"/>
      <c r="F36" s="115">
        <f>SUM(F29:F35)</f>
        <v>0</v>
      </c>
      <c r="G36" s="115"/>
      <c r="H36" s="115"/>
      <c r="I36" s="115">
        <f>SUM(I29:I35)</f>
        <v>0</v>
      </c>
      <c r="J36" s="115">
        <f>SUM(J29:J35)</f>
        <v>0</v>
      </c>
      <c r="K36" s="115">
        <f>SUM(K29:K35)</f>
        <v>0</v>
      </c>
      <c r="L36" s="115">
        <f>SUM(L29:L35)</f>
        <v>0</v>
      </c>
    </row>
    <row r="37" spans="1:28" x14ac:dyDescent="0.2">
      <c r="A37" s="112" t="s">
        <v>166</v>
      </c>
      <c r="B37" s="112"/>
      <c r="C37" s="112"/>
      <c r="D37" s="112"/>
      <c r="E37" s="115"/>
      <c r="F37" s="115">
        <f>SUM(F19+F27+F36)</f>
        <v>0</v>
      </c>
      <c r="G37" s="115"/>
      <c r="H37" s="115"/>
      <c r="I37" s="115">
        <f>SUM(I19+I27+I36)</f>
        <v>0</v>
      </c>
      <c r="J37" s="115">
        <f>SUM(J19+J27+J36)</f>
        <v>0</v>
      </c>
      <c r="K37" s="115">
        <f>SUM(K19+K27+K36)</f>
        <v>0</v>
      </c>
      <c r="L37" s="115">
        <f>SUM(L19+L27+L36)</f>
        <v>0</v>
      </c>
    </row>
    <row r="38" spans="1:28" x14ac:dyDescent="0.2">
      <c r="A38" s="23"/>
      <c r="B38" s="23"/>
      <c r="C38" s="23"/>
      <c r="D38" s="23"/>
      <c r="E38" s="23"/>
      <c r="F38" s="23"/>
      <c r="G38" s="23"/>
      <c r="H38" s="23"/>
      <c r="I38" s="23"/>
      <c r="J38" s="23"/>
      <c r="K38" s="23"/>
      <c r="L38" s="23"/>
    </row>
    <row r="39" spans="1:28" x14ac:dyDescent="0.2">
      <c r="E39" s="123"/>
      <c r="F39" s="123"/>
      <c r="I39" s="123"/>
      <c r="J39" s="123"/>
      <c r="K39" s="123"/>
      <c r="L39" s="123"/>
    </row>
    <row r="40" spans="1:28" x14ac:dyDescent="0.2">
      <c r="E40" s="23"/>
      <c r="G40" s="124"/>
      <c r="M40" s="23"/>
    </row>
    <row r="41" spans="1:28" x14ac:dyDescent="0.2">
      <c r="A41" s="23"/>
      <c r="B41" s="23"/>
      <c r="C41" s="23"/>
      <c r="D41" s="23"/>
      <c r="E41" s="23"/>
      <c r="F41" s="23"/>
      <c r="G41" s="23"/>
      <c r="H41" s="23"/>
      <c r="I41" s="23"/>
      <c r="J41" s="23"/>
      <c r="K41" s="23"/>
      <c r="L41" s="23"/>
    </row>
    <row r="42" spans="1:28" x14ac:dyDescent="0.2">
      <c r="A42" s="23"/>
      <c r="B42" s="23"/>
      <c r="C42" s="23"/>
      <c r="D42" s="23"/>
      <c r="E42" s="23"/>
      <c r="F42" s="23"/>
      <c r="G42" s="23"/>
      <c r="H42" s="23"/>
      <c r="I42" s="23"/>
      <c r="J42" s="23"/>
      <c r="K42" s="23"/>
      <c r="L42" s="23"/>
    </row>
  </sheetData>
  <sheetProtection sheet="1"/>
  <mergeCells count="10">
    <mergeCell ref="A3:L3"/>
    <mergeCell ref="A5:A7"/>
    <mergeCell ref="B5:B7"/>
    <mergeCell ref="C5:C7"/>
    <mergeCell ref="D5:D7"/>
    <mergeCell ref="E5:E7"/>
    <mergeCell ref="F5:F7"/>
    <mergeCell ref="G5:H6"/>
    <mergeCell ref="I5:J6"/>
    <mergeCell ref="K5:L6"/>
  </mergeCells>
  <phoneticPr fontId="0" type="noConversion"/>
  <pageMargins left="0.38" right="0.5" top="0.78" bottom="0.4" header="0.5" footer="0"/>
  <pageSetup scale="77" orientation="landscape" blackAndWhite="1" horizontalDpi="120" verticalDpi="144" r:id="rId1"/>
  <headerFooter alignWithMargins="0">
    <oddHeader xml:space="preserve">&amp;RState of Kansas
County
</oddHeader>
    <oddFooter>&amp;CPage No. 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rgb="FF00B0F0"/>
    <pageSetUpPr fitToPage="1"/>
  </sheetPr>
  <dimension ref="A1:H48"/>
  <sheetViews>
    <sheetView zoomScale="75" workbookViewId="0">
      <selection activeCell="B15" sqref="B15"/>
    </sheetView>
  </sheetViews>
  <sheetFormatPr defaultRowHeight="15.75" x14ac:dyDescent="0.2"/>
  <cols>
    <col min="1" max="1" width="25.77734375" style="23" customWidth="1"/>
    <col min="2" max="4" width="9.77734375" style="23" customWidth="1"/>
    <col min="5" max="5" width="17.109375" style="23" customWidth="1"/>
    <col min="6" max="8" width="15.77734375" style="23" customWidth="1"/>
    <col min="9" max="16384" width="8.88671875" style="23"/>
  </cols>
  <sheetData>
    <row r="1" spans="1:8" x14ac:dyDescent="0.2">
      <c r="A1" s="57">
        <f>inputPrYr!$C$3</f>
        <v>0</v>
      </c>
      <c r="B1" s="26"/>
      <c r="C1" s="26"/>
      <c r="D1" s="26"/>
      <c r="E1" s="26"/>
      <c r="F1" s="26"/>
      <c r="G1" s="26"/>
      <c r="H1" s="125">
        <f>inputPrYr!C5</f>
        <v>2025</v>
      </c>
    </row>
    <row r="2" spans="1:8" x14ac:dyDescent="0.2">
      <c r="A2" s="26"/>
      <c r="B2" s="26"/>
      <c r="C2" s="26"/>
      <c r="D2" s="26"/>
      <c r="E2" s="26"/>
      <c r="F2" s="26"/>
      <c r="G2" s="26"/>
      <c r="H2" s="90"/>
    </row>
    <row r="3" spans="1:8" x14ac:dyDescent="0.2">
      <c r="A3" s="26"/>
      <c r="B3" s="30"/>
      <c r="C3" s="30"/>
      <c r="D3" s="30"/>
      <c r="E3" s="30"/>
      <c r="F3" s="30"/>
      <c r="G3" s="30"/>
      <c r="H3" s="125"/>
    </row>
    <row r="4" spans="1:8" x14ac:dyDescent="0.2">
      <c r="A4" s="99" t="s">
        <v>178</v>
      </c>
      <c r="B4" s="30"/>
      <c r="C4" s="30"/>
      <c r="D4" s="30"/>
      <c r="E4" s="30"/>
      <c r="F4" s="30"/>
      <c r="G4" s="30"/>
      <c r="H4" s="30"/>
    </row>
    <row r="5" spans="1:8" x14ac:dyDescent="0.2">
      <c r="A5" s="44"/>
      <c r="B5" s="100"/>
      <c r="C5" s="100"/>
      <c r="D5" s="100"/>
      <c r="E5" s="100"/>
      <c r="F5" s="100"/>
      <c r="G5" s="100"/>
      <c r="H5" s="100"/>
    </row>
    <row r="6" spans="1:8" x14ac:dyDescent="0.2">
      <c r="A6" s="126"/>
      <c r="B6" s="127"/>
      <c r="C6" s="127"/>
      <c r="D6" s="127"/>
      <c r="E6" s="101" t="s">
        <v>54</v>
      </c>
      <c r="F6" s="127"/>
      <c r="G6" s="127"/>
      <c r="H6" s="127"/>
    </row>
    <row r="7" spans="1:8" x14ac:dyDescent="0.2">
      <c r="A7" s="126"/>
      <c r="B7" s="102"/>
      <c r="C7" s="102" t="s">
        <v>167</v>
      </c>
      <c r="D7" s="102" t="s">
        <v>168</v>
      </c>
      <c r="E7" s="102" t="s">
        <v>70</v>
      </c>
      <c r="F7" s="102" t="s">
        <v>169</v>
      </c>
      <c r="G7" s="102" t="s">
        <v>170</v>
      </c>
      <c r="H7" s="102" t="s">
        <v>170</v>
      </c>
    </row>
    <row r="8" spans="1:8" x14ac:dyDescent="0.2">
      <c r="A8" s="294" t="s">
        <v>315</v>
      </c>
      <c r="B8" s="102" t="s">
        <v>171</v>
      </c>
      <c r="C8" s="102" t="s">
        <v>172</v>
      </c>
      <c r="D8" s="102" t="s">
        <v>159</v>
      </c>
      <c r="E8" s="102" t="s">
        <v>173</v>
      </c>
      <c r="F8" s="102" t="s">
        <v>193</v>
      </c>
      <c r="G8" s="102" t="s">
        <v>174</v>
      </c>
      <c r="H8" s="102" t="s">
        <v>174</v>
      </c>
    </row>
    <row r="9" spans="1:8" x14ac:dyDescent="0.2">
      <c r="A9" s="231" t="s">
        <v>314</v>
      </c>
      <c r="B9" s="104" t="s">
        <v>158</v>
      </c>
      <c r="C9" s="129" t="s">
        <v>175</v>
      </c>
      <c r="D9" s="104" t="s">
        <v>96</v>
      </c>
      <c r="E9" s="129" t="s">
        <v>200</v>
      </c>
      <c r="F9" s="130" t="str">
        <f>CONCATENATE("Jan 1, ",H1-1,"")</f>
        <v>Jan 1, 2024</v>
      </c>
      <c r="G9" s="104">
        <f>H1-1</f>
        <v>2024</v>
      </c>
      <c r="H9" s="104">
        <f>H1</f>
        <v>2025</v>
      </c>
    </row>
    <row r="10" spans="1:8" x14ac:dyDescent="0.2">
      <c r="A10" s="131"/>
      <c r="B10" s="131"/>
      <c r="C10" s="132"/>
      <c r="D10" s="133"/>
      <c r="E10" s="42"/>
      <c r="F10" s="42"/>
      <c r="G10" s="42"/>
      <c r="H10" s="42"/>
    </row>
    <row r="11" spans="1:8" x14ac:dyDescent="0.2">
      <c r="A11" s="131"/>
      <c r="B11" s="131"/>
      <c r="C11" s="132"/>
      <c r="D11" s="133"/>
      <c r="E11" s="42"/>
      <c r="F11" s="42"/>
      <c r="G11" s="42"/>
      <c r="H11" s="42"/>
    </row>
    <row r="12" spans="1:8" x14ac:dyDescent="0.2">
      <c r="A12" s="131"/>
      <c r="B12" s="226"/>
      <c r="C12" s="132"/>
      <c r="D12" s="133"/>
      <c r="E12" s="42"/>
      <c r="F12" s="42"/>
      <c r="G12" s="42"/>
      <c r="H12" s="42"/>
    </row>
    <row r="13" spans="1:8" x14ac:dyDescent="0.2">
      <c r="A13" s="131"/>
      <c r="B13" s="131"/>
      <c r="C13" s="132"/>
      <c r="D13" s="133"/>
      <c r="E13" s="42"/>
      <c r="F13" s="42"/>
      <c r="G13" s="42"/>
      <c r="H13" s="42"/>
    </row>
    <row r="14" spans="1:8" x14ac:dyDescent="0.2">
      <c r="A14" s="131"/>
      <c r="B14" s="131"/>
      <c r="C14" s="132"/>
      <c r="D14" s="133"/>
      <c r="E14" s="42"/>
      <c r="F14" s="42"/>
      <c r="G14" s="42"/>
      <c r="H14" s="42"/>
    </row>
    <row r="15" spans="1:8" x14ac:dyDescent="0.2">
      <c r="A15" s="131"/>
      <c r="B15" s="131"/>
      <c r="C15" s="132"/>
      <c r="D15" s="133"/>
      <c r="E15" s="42"/>
      <c r="F15" s="42"/>
      <c r="G15" s="42"/>
      <c r="H15" s="42"/>
    </row>
    <row r="16" spans="1:8" x14ac:dyDescent="0.2">
      <c r="A16" s="131"/>
      <c r="B16" s="131"/>
      <c r="C16" s="132"/>
      <c r="D16" s="133"/>
      <c r="E16" s="42"/>
      <c r="F16" s="42"/>
      <c r="G16" s="42"/>
      <c r="H16" s="42"/>
    </row>
    <row r="17" spans="1:8" x14ac:dyDescent="0.2">
      <c r="A17" s="131"/>
      <c r="B17" s="131"/>
      <c r="C17" s="132"/>
      <c r="D17" s="133"/>
      <c r="E17" s="42"/>
      <c r="F17" s="42"/>
      <c r="G17" s="42"/>
      <c r="H17" s="42"/>
    </row>
    <row r="18" spans="1:8" x14ac:dyDescent="0.2">
      <c r="A18" s="131"/>
      <c r="B18" s="131"/>
      <c r="C18" s="132"/>
      <c r="D18" s="133"/>
      <c r="E18" s="42"/>
      <c r="F18" s="42"/>
      <c r="G18" s="42"/>
      <c r="H18" s="42"/>
    </row>
    <row r="19" spans="1:8" x14ac:dyDescent="0.2">
      <c r="A19" s="131"/>
      <c r="B19" s="131"/>
      <c r="C19" s="132"/>
      <c r="D19" s="133"/>
      <c r="E19" s="42"/>
      <c r="F19" s="42"/>
      <c r="G19" s="42"/>
      <c r="H19" s="42"/>
    </row>
    <row r="20" spans="1:8" x14ac:dyDescent="0.2">
      <c r="A20" s="131"/>
      <c r="B20" s="131"/>
      <c r="C20" s="132"/>
      <c r="D20" s="133"/>
      <c r="E20" s="42"/>
      <c r="F20" s="42"/>
      <c r="G20" s="42"/>
      <c r="H20" s="42"/>
    </row>
    <row r="21" spans="1:8" x14ac:dyDescent="0.2">
      <c r="A21" s="131"/>
      <c r="B21" s="131"/>
      <c r="C21" s="132"/>
      <c r="D21" s="133"/>
      <c r="E21" s="42"/>
      <c r="F21" s="42"/>
      <c r="G21" s="42"/>
      <c r="H21" s="42"/>
    </row>
    <row r="22" spans="1:8" x14ac:dyDescent="0.2">
      <c r="A22" s="131"/>
      <c r="B22" s="131"/>
      <c r="C22" s="132"/>
      <c r="D22" s="133"/>
      <c r="E22" s="42"/>
      <c r="F22" s="42"/>
      <c r="G22" s="42"/>
      <c r="H22" s="42"/>
    </row>
    <row r="23" spans="1:8" x14ac:dyDescent="0.2">
      <c r="A23" s="131"/>
      <c r="B23" s="131"/>
      <c r="C23" s="132"/>
      <c r="D23" s="133"/>
      <c r="E23" s="42"/>
      <c r="F23" s="42"/>
      <c r="G23" s="42"/>
      <c r="H23" s="42"/>
    </row>
    <row r="24" spans="1:8" x14ac:dyDescent="0.2">
      <c r="A24" s="131"/>
      <c r="B24" s="131"/>
      <c r="C24" s="132"/>
      <c r="D24" s="133"/>
      <c r="E24" s="42"/>
      <c r="F24" s="42"/>
      <c r="G24" s="42"/>
      <c r="H24" s="42"/>
    </row>
    <row r="25" spans="1:8" x14ac:dyDescent="0.2">
      <c r="A25" s="131"/>
      <c r="B25" s="131"/>
      <c r="C25" s="132"/>
      <c r="D25" s="133"/>
      <c r="E25" s="42"/>
      <c r="F25" s="42"/>
      <c r="G25" s="42"/>
      <c r="H25" s="42"/>
    </row>
    <row r="26" spans="1:8" x14ac:dyDescent="0.2">
      <c r="A26" s="131"/>
      <c r="B26" s="131"/>
      <c r="C26" s="132"/>
      <c r="D26" s="133"/>
      <c r="E26" s="42"/>
      <c r="F26" s="42"/>
      <c r="G26" s="42"/>
      <c r="H26" s="42"/>
    </row>
    <row r="27" spans="1:8" x14ac:dyDescent="0.2">
      <c r="A27" s="131"/>
      <c r="B27" s="131"/>
      <c r="C27" s="132"/>
      <c r="D27" s="133"/>
      <c r="E27" s="42"/>
      <c r="F27" s="42"/>
      <c r="G27" s="42"/>
      <c r="H27" s="42"/>
    </row>
    <row r="28" spans="1:8" x14ac:dyDescent="0.2">
      <c r="A28" s="131"/>
      <c r="B28" s="131"/>
      <c r="C28" s="132"/>
      <c r="D28" s="133"/>
      <c r="E28" s="42"/>
      <c r="F28" s="42"/>
      <c r="G28" s="42"/>
      <c r="H28" s="42"/>
    </row>
    <row r="29" spans="1:8" x14ac:dyDescent="0.2">
      <c r="A29" s="131"/>
      <c r="B29" s="131"/>
      <c r="C29" s="132"/>
      <c r="D29" s="133"/>
      <c r="E29" s="42"/>
      <c r="F29" s="42"/>
      <c r="G29" s="42"/>
      <c r="H29" s="42"/>
    </row>
    <row r="30" spans="1:8" x14ac:dyDescent="0.2">
      <c r="A30" s="131"/>
      <c r="B30" s="131"/>
      <c r="C30" s="132"/>
      <c r="D30" s="133"/>
      <c r="E30" s="42"/>
      <c r="F30" s="42"/>
      <c r="G30" s="42"/>
      <c r="H30" s="42"/>
    </row>
    <row r="31" spans="1:8" x14ac:dyDescent="0.2">
      <c r="A31" s="131"/>
      <c r="B31" s="131"/>
      <c r="C31" s="132"/>
      <c r="D31" s="133"/>
      <c r="E31" s="42"/>
      <c r="F31" s="42"/>
      <c r="G31" s="42"/>
      <c r="H31" s="42"/>
    </row>
    <row r="32" spans="1:8" x14ac:dyDescent="0.2">
      <c r="A32" s="131"/>
      <c r="B32" s="131"/>
      <c r="C32" s="132"/>
      <c r="D32" s="133"/>
      <c r="E32" s="42"/>
      <c r="F32" s="42"/>
      <c r="G32" s="42"/>
      <c r="H32" s="42"/>
    </row>
    <row r="33" spans="1:8" x14ac:dyDescent="0.2">
      <c r="A33" s="131"/>
      <c r="B33" s="131"/>
      <c r="C33" s="132"/>
      <c r="D33" s="133"/>
      <c r="E33" s="42"/>
      <c r="F33" s="42"/>
      <c r="G33" s="42"/>
      <c r="H33" s="42"/>
    </row>
    <row r="34" spans="1:8" x14ac:dyDescent="0.2">
      <c r="A34" s="131"/>
      <c r="B34" s="131"/>
      <c r="C34" s="132"/>
      <c r="D34" s="133"/>
      <c r="E34" s="42"/>
      <c r="F34" s="42"/>
      <c r="G34" s="42"/>
      <c r="H34" s="42"/>
    </row>
    <row r="35" spans="1:8" x14ac:dyDescent="0.2">
      <c r="A35" s="131"/>
      <c r="B35" s="131"/>
      <c r="C35" s="132"/>
      <c r="D35" s="133"/>
      <c r="E35" s="42"/>
      <c r="F35" s="42"/>
      <c r="G35" s="42"/>
      <c r="H35" s="42"/>
    </row>
    <row r="36" spans="1:8" x14ac:dyDescent="0.2">
      <c r="A36" s="131"/>
      <c r="B36" s="131"/>
      <c r="C36" s="132"/>
      <c r="D36" s="133"/>
      <c r="E36" s="42"/>
      <c r="F36" s="42"/>
      <c r="G36" s="42"/>
      <c r="H36" s="42"/>
    </row>
    <row r="37" spans="1:8" ht="16.5" thickBot="1" x14ac:dyDescent="0.25">
      <c r="A37" s="135"/>
      <c r="B37" s="26"/>
      <c r="C37" s="26"/>
      <c r="D37" s="26"/>
      <c r="E37" s="112" t="s">
        <v>77</v>
      </c>
      <c r="F37" s="464">
        <f>SUM(F10:F36)</f>
        <v>0</v>
      </c>
      <c r="G37" s="466">
        <f>SUM(G10:G36)</f>
        <v>0</v>
      </c>
      <c r="H37" s="465">
        <f>SUM(H10:H36)</f>
        <v>0</v>
      </c>
    </row>
    <row r="38" spans="1:8" ht="16.5" thickTop="1" x14ac:dyDescent="0.2">
      <c r="A38" s="26"/>
      <c r="B38" s="26"/>
      <c r="C38" s="26"/>
      <c r="D38" s="26"/>
      <c r="E38" s="26"/>
      <c r="F38" s="26"/>
      <c r="G38" s="57"/>
      <c r="H38" s="57"/>
    </row>
    <row r="39" spans="1:8" x14ac:dyDescent="0.2">
      <c r="A39" s="635" t="s">
        <v>529</v>
      </c>
      <c r="B39" s="635"/>
      <c r="C39" s="635"/>
      <c r="D39" s="635"/>
      <c r="E39" s="635"/>
      <c r="F39" s="635"/>
      <c r="G39" s="635"/>
      <c r="H39" s="635"/>
    </row>
    <row r="40" spans="1:8" x14ac:dyDescent="0.2">
      <c r="A40" s="56"/>
      <c r="B40" s="56"/>
      <c r="C40" s="124"/>
      <c r="D40" s="56"/>
      <c r="E40" s="56"/>
      <c r="F40" s="56"/>
      <c r="G40" s="123"/>
      <c r="H40" s="123"/>
    </row>
    <row r="41" spans="1:8" x14ac:dyDescent="0.2">
      <c r="A41" s="56"/>
      <c r="B41" s="56"/>
      <c r="C41" s="56"/>
      <c r="D41" s="56"/>
      <c r="E41" s="56"/>
      <c r="F41" s="56"/>
      <c r="G41" s="56"/>
      <c r="H41" s="56"/>
    </row>
    <row r="42" spans="1:8" x14ac:dyDescent="0.2">
      <c r="A42" s="56"/>
      <c r="B42" s="56"/>
      <c r="C42" s="56"/>
      <c r="D42" s="56"/>
      <c r="E42" s="56"/>
      <c r="F42" s="56"/>
      <c r="G42" s="56"/>
      <c r="H42" s="56"/>
    </row>
    <row r="43" spans="1:8" x14ac:dyDescent="0.2">
      <c r="A43" s="56"/>
      <c r="B43" s="56"/>
      <c r="C43" s="56"/>
      <c r="D43" s="56"/>
      <c r="E43" s="56"/>
      <c r="F43" s="56"/>
      <c r="G43" s="56"/>
      <c r="H43" s="56"/>
    </row>
    <row r="44" spans="1:8" x14ac:dyDescent="0.2">
      <c r="A44" s="56"/>
      <c r="B44" s="56"/>
      <c r="C44" s="56"/>
      <c r="D44" s="56"/>
      <c r="E44" s="56"/>
      <c r="F44" s="56"/>
      <c r="G44" s="56"/>
      <c r="H44" s="56"/>
    </row>
    <row r="45" spans="1:8" x14ac:dyDescent="0.2">
      <c r="A45" s="56"/>
      <c r="B45" s="56"/>
      <c r="C45" s="56"/>
      <c r="D45" s="56"/>
      <c r="E45" s="56"/>
      <c r="F45" s="56"/>
      <c r="G45" s="56"/>
      <c r="H45" s="56"/>
    </row>
    <row r="46" spans="1:8" x14ac:dyDescent="0.2">
      <c r="A46" s="56"/>
      <c r="B46" s="56"/>
      <c r="C46" s="56"/>
      <c r="D46" s="56"/>
      <c r="E46" s="56"/>
      <c r="F46" s="56"/>
      <c r="G46" s="56"/>
      <c r="H46" s="56"/>
    </row>
    <row r="47" spans="1:8" x14ac:dyDescent="0.2">
      <c r="A47" s="56"/>
      <c r="B47" s="56"/>
      <c r="C47" s="56"/>
      <c r="D47" s="56"/>
      <c r="E47" s="56"/>
      <c r="F47" s="56"/>
      <c r="G47" s="56"/>
      <c r="H47" s="56"/>
    </row>
    <row r="48" spans="1:8" x14ac:dyDescent="0.2">
      <c r="A48" s="56"/>
      <c r="B48" s="56"/>
      <c r="C48" s="56"/>
      <c r="D48" s="56"/>
      <c r="E48" s="56"/>
      <c r="F48" s="56"/>
      <c r="G48" s="56"/>
      <c r="H48" s="56"/>
    </row>
  </sheetData>
  <sheetProtection sheet="1"/>
  <mergeCells count="1">
    <mergeCell ref="A39:H39"/>
  </mergeCells>
  <phoneticPr fontId="0" type="noConversion"/>
  <pageMargins left="0.17" right="0.5" top="0.78" bottom="0.4" header="0.5" footer="0"/>
  <pageSetup scale="87" orientation="landscape" blackAndWhite="1" horizontalDpi="120" verticalDpi="144" r:id="rId1"/>
  <headerFooter alignWithMargins="0">
    <oddHeader xml:space="preserve">&amp;RState of Kansas
County
</oddHeader>
    <oddFooter xml:space="preserve">&amp;CPage No. 5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rgb="FF00B0F0"/>
  </sheetPr>
  <dimension ref="B1:K130"/>
  <sheetViews>
    <sheetView topLeftCell="A91" zoomScaleNormal="100" workbookViewId="0">
      <selection activeCell="E100" sqref="E100"/>
    </sheetView>
  </sheetViews>
  <sheetFormatPr defaultRowHeight="15.75" x14ac:dyDescent="0.2"/>
  <cols>
    <col min="1" max="1" width="2.44140625" style="23" customWidth="1"/>
    <col min="2" max="2" width="31.109375" style="23" customWidth="1"/>
    <col min="3" max="4" width="15.77734375" style="23" customWidth="1"/>
    <col min="5" max="5" width="16.21875" style="23" customWidth="1"/>
    <col min="6" max="6" width="7.44140625" style="23" customWidth="1"/>
    <col min="7" max="7" width="10.21875" style="23" customWidth="1"/>
    <col min="8" max="8" width="8.88671875" style="23"/>
    <col min="9" max="9" width="5.77734375" style="23" customWidth="1"/>
    <col min="10" max="10" width="10" style="23" customWidth="1"/>
    <col min="11" max="16384" width="8.88671875" style="23"/>
  </cols>
  <sheetData>
    <row r="1" spans="2:5" x14ac:dyDescent="0.2">
      <c r="B1" s="57">
        <f>inputPrYr!C3</f>
        <v>0</v>
      </c>
      <c r="C1" s="26"/>
      <c r="D1" s="26"/>
      <c r="E1" s="125">
        <f>inputPrYr!C5</f>
        <v>2025</v>
      </c>
    </row>
    <row r="2" spans="2:5" x14ac:dyDescent="0.2">
      <c r="B2" s="26"/>
      <c r="C2" s="26"/>
      <c r="D2" s="26"/>
      <c r="E2" s="90"/>
    </row>
    <row r="3" spans="2:5" x14ac:dyDescent="0.2">
      <c r="B3" s="64" t="s">
        <v>185</v>
      </c>
      <c r="C3" s="26"/>
      <c r="D3" s="26"/>
      <c r="E3" s="134"/>
    </row>
    <row r="4" spans="2:5" x14ac:dyDescent="0.2">
      <c r="B4" s="135" t="s">
        <v>80</v>
      </c>
      <c r="C4" s="339" t="s">
        <v>319</v>
      </c>
      <c r="D4" s="340" t="s">
        <v>320</v>
      </c>
      <c r="E4" s="80" t="s">
        <v>321</v>
      </c>
    </row>
    <row r="5" spans="2:5" x14ac:dyDescent="0.2">
      <c r="B5" s="248" t="str">
        <f>inputPrYr!B17</f>
        <v>General</v>
      </c>
      <c r="C5" s="231" t="str">
        <f>CONCATENATE("Actual for ",E1-2,"")</f>
        <v>Actual for 2023</v>
      </c>
      <c r="D5" s="231" t="str">
        <f>CONCATENATE("Estimate for ",E1-1,"")</f>
        <v>Estimate for 2024</v>
      </c>
      <c r="E5" s="136" t="str">
        <f>CONCATENATE("Year for ",E1,"")</f>
        <v>Year for 2025</v>
      </c>
    </row>
    <row r="6" spans="2:5" x14ac:dyDescent="0.2">
      <c r="B6" s="137" t="s">
        <v>195</v>
      </c>
      <c r="C6" s="229"/>
      <c r="D6" s="232">
        <f>C106</f>
        <v>0</v>
      </c>
      <c r="E6" s="106">
        <f>D106</f>
        <v>0</v>
      </c>
    </row>
    <row r="7" spans="2:5" x14ac:dyDescent="0.2">
      <c r="B7" s="128" t="s">
        <v>197</v>
      </c>
      <c r="C7" s="139"/>
      <c r="D7" s="139"/>
      <c r="E7" s="50"/>
    </row>
    <row r="8" spans="2:5" x14ac:dyDescent="0.2">
      <c r="B8" s="137" t="s">
        <v>81</v>
      </c>
      <c r="C8" s="229"/>
      <c r="D8" s="232">
        <f>IF(inputPrYr!H17&gt;0,inputPrYr!H17,inputPrYr!E17)</f>
        <v>0</v>
      </c>
      <c r="E8" s="86" t="s">
        <v>66</v>
      </c>
    </row>
    <row r="9" spans="2:5" x14ac:dyDescent="0.2">
      <c r="B9" s="137" t="s">
        <v>82</v>
      </c>
      <c r="C9" s="229"/>
      <c r="D9" s="229"/>
      <c r="E9" s="140"/>
    </row>
    <row r="10" spans="2:5" x14ac:dyDescent="0.2">
      <c r="B10" s="137" t="s">
        <v>83</v>
      </c>
      <c r="C10" s="229"/>
      <c r="D10" s="229"/>
      <c r="E10" s="106">
        <f>Mvalloc!D7</f>
        <v>0</v>
      </c>
    </row>
    <row r="11" spans="2:5" x14ac:dyDescent="0.2">
      <c r="B11" s="137" t="s">
        <v>84</v>
      </c>
      <c r="C11" s="229"/>
      <c r="D11" s="229"/>
      <c r="E11" s="106">
        <f>Mvalloc!E7</f>
        <v>0</v>
      </c>
    </row>
    <row r="12" spans="2:5" x14ac:dyDescent="0.2">
      <c r="B12" s="139" t="s">
        <v>190</v>
      </c>
      <c r="C12" s="229"/>
      <c r="D12" s="229"/>
      <c r="E12" s="106">
        <f>Mvalloc!F7</f>
        <v>0</v>
      </c>
    </row>
    <row r="13" spans="2:5" x14ac:dyDescent="0.2">
      <c r="B13" s="137" t="s">
        <v>348</v>
      </c>
      <c r="C13" s="229"/>
      <c r="D13" s="229"/>
      <c r="E13" s="106">
        <f>Mvalloc!G7</f>
        <v>0</v>
      </c>
    </row>
    <row r="14" spans="2:5" x14ac:dyDescent="0.2">
      <c r="B14" s="137" t="s">
        <v>349</v>
      </c>
      <c r="C14" s="229"/>
      <c r="D14" s="229"/>
      <c r="E14" s="106">
        <f>Mvalloc!H7</f>
        <v>0</v>
      </c>
    </row>
    <row r="15" spans="2:5" x14ac:dyDescent="0.2">
      <c r="B15" s="137" t="s">
        <v>192</v>
      </c>
      <c r="C15" s="229"/>
      <c r="D15" s="229"/>
      <c r="E15" s="106">
        <f>inputOth!E12</f>
        <v>0</v>
      </c>
    </row>
    <row r="16" spans="2:5" x14ac:dyDescent="0.2">
      <c r="B16" s="141" t="s">
        <v>87</v>
      </c>
      <c r="C16" s="229"/>
      <c r="D16" s="229"/>
      <c r="E16" s="140"/>
    </row>
    <row r="17" spans="2:5" x14ac:dyDescent="0.2">
      <c r="B17" s="141" t="s">
        <v>85</v>
      </c>
      <c r="C17" s="229"/>
      <c r="D17" s="229"/>
      <c r="E17" s="140"/>
    </row>
    <row r="18" spans="2:5" x14ac:dyDescent="0.2">
      <c r="B18" s="141" t="s">
        <v>288</v>
      </c>
      <c r="C18" s="229"/>
      <c r="D18" s="229"/>
      <c r="E18" s="140"/>
    </row>
    <row r="19" spans="2:5" x14ac:dyDescent="0.2">
      <c r="B19" s="142" t="s">
        <v>289</v>
      </c>
      <c r="C19" s="229"/>
      <c r="D19" s="229"/>
      <c r="E19" s="140"/>
    </row>
    <row r="20" spans="2:5" x14ac:dyDescent="0.2">
      <c r="B20" s="142"/>
      <c r="C20" s="229"/>
      <c r="D20" s="229"/>
      <c r="E20" s="140"/>
    </row>
    <row r="21" spans="2:5" x14ac:dyDescent="0.2">
      <c r="B21" s="141"/>
      <c r="C21" s="229"/>
      <c r="D21" s="229"/>
      <c r="E21" s="140"/>
    </row>
    <row r="22" spans="2:5" x14ac:dyDescent="0.2">
      <c r="B22" s="141"/>
      <c r="C22" s="229"/>
      <c r="D22" s="229"/>
      <c r="E22" s="140"/>
    </row>
    <row r="23" spans="2:5" x14ac:dyDescent="0.2">
      <c r="B23" s="141"/>
      <c r="C23" s="229"/>
      <c r="D23" s="229"/>
      <c r="E23" s="140"/>
    </row>
    <row r="24" spans="2:5" x14ac:dyDescent="0.2">
      <c r="B24" s="141"/>
      <c r="C24" s="229"/>
      <c r="D24" s="229"/>
      <c r="E24" s="140"/>
    </row>
    <row r="25" spans="2:5" x14ac:dyDescent="0.2">
      <c r="B25" s="141"/>
      <c r="C25" s="229"/>
      <c r="D25" s="229"/>
      <c r="E25" s="140"/>
    </row>
    <row r="26" spans="2:5" x14ac:dyDescent="0.2">
      <c r="B26" s="141"/>
      <c r="C26" s="229"/>
      <c r="D26" s="229"/>
      <c r="E26" s="140"/>
    </row>
    <row r="27" spans="2:5" x14ac:dyDescent="0.2">
      <c r="B27" s="141"/>
      <c r="C27" s="229"/>
      <c r="D27" s="229"/>
      <c r="E27" s="140"/>
    </row>
    <row r="28" spans="2:5" x14ac:dyDescent="0.2">
      <c r="B28" s="141"/>
      <c r="C28" s="229"/>
      <c r="D28" s="229"/>
      <c r="E28" s="140"/>
    </row>
    <row r="29" spans="2:5" x14ac:dyDescent="0.2">
      <c r="B29" s="141"/>
      <c r="C29" s="229"/>
      <c r="D29" s="229"/>
      <c r="E29" s="140"/>
    </row>
    <row r="30" spans="2:5" x14ac:dyDescent="0.2">
      <c r="B30" s="141"/>
      <c r="C30" s="229"/>
      <c r="D30" s="229"/>
      <c r="E30" s="140"/>
    </row>
    <row r="31" spans="2:5" x14ac:dyDescent="0.2">
      <c r="B31" s="141"/>
      <c r="C31" s="229"/>
      <c r="D31" s="229"/>
      <c r="E31" s="140"/>
    </row>
    <row r="32" spans="2:5" x14ac:dyDescent="0.2">
      <c r="B32" s="141"/>
      <c r="C32" s="229"/>
      <c r="D32" s="229"/>
      <c r="E32" s="140"/>
    </row>
    <row r="33" spans="2:5" x14ac:dyDescent="0.2">
      <c r="B33" s="141"/>
      <c r="C33" s="229"/>
      <c r="D33" s="229"/>
      <c r="E33" s="140"/>
    </row>
    <row r="34" spans="2:5" x14ac:dyDescent="0.2">
      <c r="B34" s="141"/>
      <c r="C34" s="229"/>
      <c r="D34" s="229"/>
      <c r="E34" s="140"/>
    </row>
    <row r="35" spans="2:5" x14ac:dyDescent="0.2">
      <c r="B35" s="141"/>
      <c r="C35" s="229"/>
      <c r="D35" s="229"/>
      <c r="E35" s="140"/>
    </row>
    <row r="36" spans="2:5" x14ac:dyDescent="0.2">
      <c r="B36" s="141"/>
      <c r="C36" s="229"/>
      <c r="D36" s="229"/>
      <c r="E36" s="140"/>
    </row>
    <row r="37" spans="2:5" x14ac:dyDescent="0.2">
      <c r="B37" s="141"/>
      <c r="C37" s="229"/>
      <c r="D37" s="229"/>
      <c r="E37" s="140"/>
    </row>
    <row r="38" spans="2:5" x14ac:dyDescent="0.2">
      <c r="B38" s="141"/>
      <c r="C38" s="229"/>
      <c r="D38" s="229"/>
      <c r="E38" s="140"/>
    </row>
    <row r="39" spans="2:5" x14ac:dyDescent="0.2">
      <c r="B39" s="141"/>
      <c r="C39" s="229"/>
      <c r="D39" s="229"/>
      <c r="E39" s="140"/>
    </row>
    <row r="40" spans="2:5" x14ac:dyDescent="0.2">
      <c r="B40" s="141"/>
      <c r="C40" s="229"/>
      <c r="D40" s="229"/>
      <c r="E40" s="140"/>
    </row>
    <row r="41" spans="2:5" x14ac:dyDescent="0.2">
      <c r="B41" s="141"/>
      <c r="C41" s="229"/>
      <c r="D41" s="229"/>
      <c r="E41" s="140"/>
    </row>
    <row r="42" spans="2:5" x14ac:dyDescent="0.2">
      <c r="B42" s="141"/>
      <c r="C42" s="229"/>
      <c r="D42" s="229"/>
      <c r="E42" s="140"/>
    </row>
    <row r="43" spans="2:5" x14ac:dyDescent="0.2">
      <c r="B43" s="141" t="s">
        <v>86</v>
      </c>
      <c r="C43" s="229"/>
      <c r="D43" s="229"/>
      <c r="E43" s="140"/>
    </row>
    <row r="44" spans="2:5" x14ac:dyDescent="0.2">
      <c r="B44" s="142" t="s">
        <v>88</v>
      </c>
      <c r="C44" s="229"/>
      <c r="D44" s="229"/>
      <c r="E44" s="140"/>
    </row>
    <row r="45" spans="2:5" x14ac:dyDescent="0.2">
      <c r="B45" s="143" t="s">
        <v>40</v>
      </c>
      <c r="C45" s="229"/>
      <c r="D45" s="229"/>
      <c r="E45" s="106">
        <f>'NR Rebate'!E6*-1</f>
        <v>0</v>
      </c>
    </row>
    <row r="46" spans="2:5" x14ac:dyDescent="0.2">
      <c r="B46" s="143" t="s">
        <v>38</v>
      </c>
      <c r="C46" s="229"/>
      <c r="D46" s="229"/>
      <c r="E46" s="140"/>
    </row>
    <row r="47" spans="2:5" x14ac:dyDescent="0.2">
      <c r="B47" s="143" t="s">
        <v>291</v>
      </c>
      <c r="C47" s="230" t="str">
        <f>IF(C48*0.1&lt;C46,"Exceed 10% Rule","")</f>
        <v/>
      </c>
      <c r="D47" s="230" t="str">
        <f>IF(D48*0.1&lt;D46,"Exceed 10% Rule","")</f>
        <v/>
      </c>
      <c r="E47" s="170" t="str">
        <f>IF(E48*0.1+E112&lt;E46,"Exceed 10% Rule","")</f>
        <v/>
      </c>
    </row>
    <row r="48" spans="2:5" x14ac:dyDescent="0.2">
      <c r="B48" s="145" t="s">
        <v>89</v>
      </c>
      <c r="C48" s="463">
        <f>SUM(C8:C46)</f>
        <v>0</v>
      </c>
      <c r="D48" s="463">
        <f>SUM(D8:D46)</f>
        <v>0</v>
      </c>
      <c r="E48" s="463">
        <f>SUM(E9:E46)</f>
        <v>0</v>
      </c>
    </row>
    <row r="49" spans="2:5" x14ac:dyDescent="0.2">
      <c r="B49" s="145" t="s">
        <v>90</v>
      </c>
      <c r="C49" s="463">
        <f>C6+C48</f>
        <v>0</v>
      </c>
      <c r="D49" s="463">
        <f>D6+D48</f>
        <v>0</v>
      </c>
      <c r="E49" s="463">
        <f>E6+E48</f>
        <v>0</v>
      </c>
    </row>
    <row r="50" spans="2:5" x14ac:dyDescent="0.2">
      <c r="B50" s="26"/>
      <c r="C50" s="57"/>
      <c r="D50" s="57"/>
      <c r="E50" s="57"/>
    </row>
    <row r="51" spans="2:5" x14ac:dyDescent="0.2">
      <c r="B51" s="643" t="s">
        <v>369</v>
      </c>
      <c r="C51" s="643"/>
      <c r="D51" s="643"/>
      <c r="E51" s="643"/>
    </row>
    <row r="52" spans="2:5" x14ac:dyDescent="0.2">
      <c r="B52" s="57">
        <f>inputPrYr!C3</f>
        <v>0</v>
      </c>
      <c r="C52" s="57"/>
      <c r="D52" s="57"/>
      <c r="E52" s="125">
        <f>inputPrYr!C5</f>
        <v>2025</v>
      </c>
    </row>
    <row r="53" spans="2:5" x14ac:dyDescent="0.2">
      <c r="B53" s="26"/>
      <c r="C53" s="57"/>
      <c r="D53" s="57"/>
      <c r="E53" s="90"/>
    </row>
    <row r="54" spans="2:5" x14ac:dyDescent="0.2">
      <c r="B54" s="146" t="s">
        <v>181</v>
      </c>
      <c r="C54" s="147"/>
      <c r="D54" s="147"/>
      <c r="E54" s="147"/>
    </row>
    <row r="55" spans="2:5" x14ac:dyDescent="0.2">
      <c r="B55" s="26" t="s">
        <v>80</v>
      </c>
      <c r="C55" s="339" t="s">
        <v>319</v>
      </c>
      <c r="D55" s="340" t="s">
        <v>320</v>
      </c>
      <c r="E55" s="80" t="s">
        <v>321</v>
      </c>
    </row>
    <row r="56" spans="2:5" x14ac:dyDescent="0.2">
      <c r="B56" s="44" t="s">
        <v>92</v>
      </c>
      <c r="C56" s="231" t="str">
        <f>CONCATENATE("Actual for ",E52-2,"")</f>
        <v>Actual for 2023</v>
      </c>
      <c r="D56" s="231" t="str">
        <f>CONCATENATE("Estimate for ",E52-1,"")</f>
        <v>Estimate for 2024</v>
      </c>
      <c r="E56" s="136" t="str">
        <f>CONCATENATE("Year for ",E52,"")</f>
        <v>Year for 2025</v>
      </c>
    </row>
    <row r="57" spans="2:5" x14ac:dyDescent="0.2">
      <c r="B57" s="145" t="s">
        <v>90</v>
      </c>
      <c r="C57" s="232">
        <f>C49</f>
        <v>0</v>
      </c>
      <c r="D57" s="232">
        <f>D49</f>
        <v>0</v>
      </c>
      <c r="E57" s="106">
        <f>E49</f>
        <v>0</v>
      </c>
    </row>
    <row r="58" spans="2:5" x14ac:dyDescent="0.2">
      <c r="B58" s="137" t="s">
        <v>93</v>
      </c>
      <c r="C58" s="232"/>
      <c r="D58" s="232"/>
      <c r="E58" s="106"/>
    </row>
    <row r="59" spans="2:5" x14ac:dyDescent="0.2">
      <c r="B59" s="139" t="str">
        <f>'General Detail'!A7</f>
        <v>General Administration</v>
      </c>
      <c r="C59" s="232">
        <f>'General Detail'!B13</f>
        <v>0</v>
      </c>
      <c r="D59" s="232">
        <f>'General Detail'!C13</f>
        <v>0</v>
      </c>
      <c r="E59" s="106">
        <f>'General Detail'!D13</f>
        <v>0</v>
      </c>
    </row>
    <row r="60" spans="2:5" x14ac:dyDescent="0.2">
      <c r="B60" s="139" t="str">
        <f>'General Detail'!A14</f>
        <v>Airport</v>
      </c>
      <c r="C60" s="232">
        <f>'General Detail'!B19</f>
        <v>0</v>
      </c>
      <c r="D60" s="232">
        <f>'General Detail'!C19</f>
        <v>0</v>
      </c>
      <c r="E60" s="106">
        <f>'General Detail'!D19</f>
        <v>0</v>
      </c>
    </row>
    <row r="61" spans="2:5" x14ac:dyDescent="0.2">
      <c r="B61" s="139" t="str">
        <f>'General Detail'!A20</f>
        <v>Alcohol &amp; Drug Abuse</v>
      </c>
      <c r="C61" s="232">
        <f>'General Detail'!B25</f>
        <v>0</v>
      </c>
      <c r="D61" s="232">
        <f>'General Detail'!C25</f>
        <v>0</v>
      </c>
      <c r="E61" s="106">
        <f>'General Detail'!D25</f>
        <v>0</v>
      </c>
    </row>
    <row r="62" spans="2:5" x14ac:dyDescent="0.2">
      <c r="B62" s="139" t="str">
        <f>'General Detail'!A26</f>
        <v>Ambulance</v>
      </c>
      <c r="C62" s="232">
        <f>'General Detail'!B31</f>
        <v>0</v>
      </c>
      <c r="D62" s="232">
        <f>'General Detail'!C31</f>
        <v>0</v>
      </c>
      <c r="E62" s="106">
        <f>'General Detail'!D31</f>
        <v>0</v>
      </c>
    </row>
    <row r="63" spans="2:5" x14ac:dyDescent="0.2">
      <c r="B63" s="139" t="str">
        <f>'General Detail'!A32</f>
        <v>Animal Control</v>
      </c>
      <c r="C63" s="232">
        <f>'General Detail'!B37</f>
        <v>0</v>
      </c>
      <c r="D63" s="232">
        <f>'General Detail'!C37</f>
        <v>0</v>
      </c>
      <c r="E63" s="106">
        <f>'General Detail'!D37</f>
        <v>0</v>
      </c>
    </row>
    <row r="64" spans="2:5" x14ac:dyDescent="0.2">
      <c r="B64" s="139" t="str">
        <f>'General Detail'!A38</f>
        <v>Appraisal</v>
      </c>
      <c r="C64" s="232">
        <f>'General Detail'!B43</f>
        <v>0</v>
      </c>
      <c r="D64" s="232">
        <f>'General Detail'!C43</f>
        <v>0</v>
      </c>
      <c r="E64" s="106">
        <f>'General Detail'!D43</f>
        <v>0</v>
      </c>
    </row>
    <row r="65" spans="2:5" x14ac:dyDescent="0.2">
      <c r="B65" s="139" t="str">
        <f>'General Detail'!A44</f>
        <v>Building</v>
      </c>
      <c r="C65" s="232">
        <f>'General Detail'!B49</f>
        <v>0</v>
      </c>
      <c r="D65" s="232">
        <f>'General Detail'!C49</f>
        <v>0</v>
      </c>
      <c r="E65" s="106">
        <f>'General Detail'!D49</f>
        <v>0</v>
      </c>
    </row>
    <row r="66" spans="2:5" x14ac:dyDescent="0.2">
      <c r="B66" s="139" t="str">
        <f>'General Detail'!A50</f>
        <v>County Attorney/Counselor</v>
      </c>
      <c r="C66" s="232">
        <f>'General Detail'!B55</f>
        <v>0</v>
      </c>
      <c r="D66" s="232">
        <f>'General Detail'!C55</f>
        <v>0</v>
      </c>
      <c r="E66" s="106">
        <f>'General Detail'!D55</f>
        <v>0</v>
      </c>
    </row>
    <row r="67" spans="2:5" x14ac:dyDescent="0.2">
      <c r="B67" s="139" t="str">
        <f>'General Detail'!A67</f>
        <v>County Clerk</v>
      </c>
      <c r="C67" s="232">
        <f>'General Detail'!B72</f>
        <v>0</v>
      </c>
      <c r="D67" s="232">
        <f>'General Detail'!C72</f>
        <v>0</v>
      </c>
      <c r="E67" s="106">
        <f>'General Detail'!D72</f>
        <v>0</v>
      </c>
    </row>
    <row r="68" spans="2:5" x14ac:dyDescent="0.2">
      <c r="B68" s="139" t="str">
        <f>'General Detail'!A73</f>
        <v>County Commission</v>
      </c>
      <c r="C68" s="232">
        <f>'General Detail'!B78</f>
        <v>0</v>
      </c>
      <c r="D68" s="232">
        <f>'General Detail'!C78</f>
        <v>0</v>
      </c>
      <c r="E68" s="106">
        <f>'General Detail'!D78</f>
        <v>0</v>
      </c>
    </row>
    <row r="69" spans="2:5" x14ac:dyDescent="0.2">
      <c r="B69" s="139" t="str">
        <f>'General Detail'!A79</f>
        <v>County Treasurer</v>
      </c>
      <c r="C69" s="232">
        <f>'General Detail'!B84</f>
        <v>0</v>
      </c>
      <c r="D69" s="232">
        <f>'General Detail'!C84</f>
        <v>0</v>
      </c>
      <c r="E69" s="106">
        <f>'General Detail'!D84</f>
        <v>0</v>
      </c>
    </row>
    <row r="70" spans="2:5" x14ac:dyDescent="0.2">
      <c r="B70" s="139" t="str">
        <f>'General Detail'!A85</f>
        <v>Debt Service</v>
      </c>
      <c r="C70" s="232">
        <f>'General Detail'!B90</f>
        <v>0</v>
      </c>
      <c r="D70" s="232">
        <f>'General Detail'!C90</f>
        <v>0</v>
      </c>
      <c r="E70" s="106">
        <f>'General Detail'!D90</f>
        <v>0</v>
      </c>
    </row>
    <row r="71" spans="2:5" x14ac:dyDescent="0.2">
      <c r="B71" s="139" t="str">
        <f>'General Detail'!A91</f>
        <v>District Court</v>
      </c>
      <c r="C71" s="232">
        <f>'General Detail'!B96</f>
        <v>0</v>
      </c>
      <c r="D71" s="232">
        <f>'General Detail'!C96</f>
        <v>0</v>
      </c>
      <c r="E71" s="106">
        <f>'General Detail'!D96</f>
        <v>0</v>
      </c>
    </row>
    <row r="72" spans="2:5" x14ac:dyDescent="0.2">
      <c r="B72" s="139" t="str">
        <f>'General Detail'!A97</f>
        <v>Economic Development</v>
      </c>
      <c r="C72" s="232">
        <f>'General Detail'!B102</f>
        <v>0</v>
      </c>
      <c r="D72" s="232">
        <f>'General Detail'!C102</f>
        <v>0</v>
      </c>
      <c r="E72" s="106">
        <f>'General Detail'!D102</f>
        <v>0</v>
      </c>
    </row>
    <row r="73" spans="2:5" x14ac:dyDescent="0.2">
      <c r="B73" s="139" t="str">
        <f>'General Detail'!A103</f>
        <v>Election</v>
      </c>
      <c r="C73" s="232">
        <f>'General Detail'!B108</f>
        <v>0</v>
      </c>
      <c r="D73" s="232">
        <f>'General Detail'!C108</f>
        <v>0</v>
      </c>
      <c r="E73" s="106">
        <f>'General Detail'!D108</f>
        <v>0</v>
      </c>
    </row>
    <row r="74" spans="2:5" x14ac:dyDescent="0.2">
      <c r="B74" s="139" t="str">
        <f>'General Detail'!A109</f>
        <v>Emergency Services</v>
      </c>
      <c r="C74" s="232">
        <f>'General Detail'!B114</f>
        <v>0</v>
      </c>
      <c r="D74" s="232">
        <f>'General Detail'!C114</f>
        <v>0</v>
      </c>
      <c r="E74" s="106">
        <f>'General Detail'!D114</f>
        <v>0</v>
      </c>
    </row>
    <row r="75" spans="2:5" x14ac:dyDescent="0.2">
      <c r="B75" s="139" t="str">
        <f>'General Detail'!A125</f>
        <v>Employee Benefits</v>
      </c>
      <c r="C75" s="232">
        <f>'General Detail'!B132</f>
        <v>0</v>
      </c>
      <c r="D75" s="232">
        <f>'General Detail'!C132</f>
        <v>0</v>
      </c>
      <c r="E75" s="106">
        <f>'General Detail'!D132</f>
        <v>0</v>
      </c>
    </row>
    <row r="76" spans="2:5" x14ac:dyDescent="0.2">
      <c r="B76" s="139" t="str">
        <f>'General Detail'!A133</f>
        <v>Extension Council</v>
      </c>
      <c r="C76" s="232">
        <f>'General Detail'!B138</f>
        <v>0</v>
      </c>
      <c r="D76" s="232">
        <f>'General Detail'!C138</f>
        <v>0</v>
      </c>
      <c r="E76" s="106">
        <f>'General Detail'!D138</f>
        <v>0</v>
      </c>
    </row>
    <row r="77" spans="2:5" x14ac:dyDescent="0.2">
      <c r="B77" s="139" t="str">
        <f>'General Detail'!A139</f>
        <v>Fair</v>
      </c>
      <c r="C77" s="232">
        <f>'General Detail'!B144</f>
        <v>0</v>
      </c>
      <c r="D77" s="232">
        <f>'General Detail'!C144</f>
        <v>0</v>
      </c>
      <c r="E77" s="106">
        <f>'General Detail'!D144</f>
        <v>0</v>
      </c>
    </row>
    <row r="78" spans="2:5" x14ac:dyDescent="0.2">
      <c r="B78" s="139" t="str">
        <f>'General Detail'!A145</f>
        <v>Fire</v>
      </c>
      <c r="C78" s="232">
        <f>'General Detail'!B150</f>
        <v>0</v>
      </c>
      <c r="D78" s="232">
        <f>'General Detail'!C150</f>
        <v>0</v>
      </c>
      <c r="E78" s="106">
        <f>'General Detail'!D150</f>
        <v>0</v>
      </c>
    </row>
    <row r="79" spans="2:5" x14ac:dyDescent="0.2">
      <c r="B79" s="139" t="str">
        <f>'General Detail'!A151</f>
        <v>Health</v>
      </c>
      <c r="C79" s="232">
        <f>'General Detail'!B156</f>
        <v>0</v>
      </c>
      <c r="D79" s="232">
        <f>'General Detail'!C156</f>
        <v>0</v>
      </c>
      <c r="E79" s="106">
        <f>'General Detail'!D156</f>
        <v>0</v>
      </c>
    </row>
    <row r="80" spans="2:5" x14ac:dyDescent="0.2">
      <c r="B80" s="139" t="str">
        <f>'General Detail'!A157</f>
        <v>Historical</v>
      </c>
      <c r="C80" s="232">
        <f>'General Detail'!B162</f>
        <v>0</v>
      </c>
      <c r="D80" s="232">
        <f>'General Detail'!C162</f>
        <v>0</v>
      </c>
      <c r="E80" s="106">
        <f>'General Detail'!D162</f>
        <v>0</v>
      </c>
    </row>
    <row r="81" spans="2:11" x14ac:dyDescent="0.2">
      <c r="B81" s="139" t="str">
        <f>'General Detail'!A163</f>
        <v>Hospital</v>
      </c>
      <c r="C81" s="232">
        <f>'General Detail'!B168</f>
        <v>0</v>
      </c>
      <c r="D81" s="232">
        <f>'General Detail'!C168</f>
        <v>0</v>
      </c>
      <c r="E81" s="106">
        <f>'General Detail'!D168</f>
        <v>0</v>
      </c>
    </row>
    <row r="82" spans="2:11" x14ac:dyDescent="0.2">
      <c r="B82" s="139" t="str">
        <f>'General Detail'!A169</f>
        <v>Juvenile Detention</v>
      </c>
      <c r="C82" s="232">
        <f>'General Detail'!B174</f>
        <v>0</v>
      </c>
      <c r="D82" s="232">
        <f>'General Detail'!C174</f>
        <v>0</v>
      </c>
      <c r="E82" s="106">
        <f>'General Detail'!D174</f>
        <v>0</v>
      </c>
    </row>
    <row r="83" spans="2:11" x14ac:dyDescent="0.2">
      <c r="B83" s="139" t="str">
        <f>'General Detail'!A185</f>
        <v>Law Enforcement</v>
      </c>
      <c r="C83" s="232">
        <f>'General Detail'!B190</f>
        <v>0</v>
      </c>
      <c r="D83" s="232">
        <f>'General Detail'!C190</f>
        <v>0</v>
      </c>
      <c r="E83" s="106">
        <f>'General Detail'!D190</f>
        <v>0</v>
      </c>
    </row>
    <row r="84" spans="2:11" x14ac:dyDescent="0.2">
      <c r="B84" s="139" t="str">
        <f>'General Detail'!A191</f>
        <v>Library</v>
      </c>
      <c r="C84" s="232">
        <f>'General Detail'!B196</f>
        <v>0</v>
      </c>
      <c r="D84" s="232">
        <f>'General Detail'!C196</f>
        <v>0</v>
      </c>
      <c r="E84" s="106">
        <f>'General Detail'!D196</f>
        <v>0</v>
      </c>
      <c r="G84" s="646" t="str">
        <f>CONCATENATE("Desired Carryover Into ",E1+1,"")</f>
        <v>Desired Carryover Into 2026</v>
      </c>
      <c r="H84" s="647"/>
      <c r="I84" s="647"/>
      <c r="J84" s="648"/>
    </row>
    <row r="85" spans="2:11" x14ac:dyDescent="0.2">
      <c r="B85" s="139" t="str">
        <f>'General Detail'!A197</f>
        <v>Memorial</v>
      </c>
      <c r="C85" s="232">
        <f>'General Detail'!B202</f>
        <v>0</v>
      </c>
      <c r="D85" s="232">
        <f>'General Detail'!C202</f>
        <v>0</v>
      </c>
      <c r="E85" s="106">
        <f>'General Detail'!D202</f>
        <v>0</v>
      </c>
      <c r="G85" s="298"/>
      <c r="H85" s="299"/>
      <c r="I85" s="300"/>
      <c r="J85" s="301"/>
    </row>
    <row r="86" spans="2:11" x14ac:dyDescent="0.2">
      <c r="B86" s="139" t="str">
        <f>'General Detail'!A203</f>
        <v>Mental Health</v>
      </c>
      <c r="C86" s="232">
        <f>'General Detail'!B208</f>
        <v>0</v>
      </c>
      <c r="D86" s="232">
        <f>'General Detail'!C208</f>
        <v>0</v>
      </c>
      <c r="E86" s="106">
        <f>'General Detail'!D208</f>
        <v>0</v>
      </c>
      <c r="G86" s="302" t="s">
        <v>297</v>
      </c>
      <c r="H86" s="300"/>
      <c r="I86" s="300"/>
      <c r="J86" s="303">
        <v>0</v>
      </c>
    </row>
    <row r="87" spans="2:11" x14ac:dyDescent="0.2">
      <c r="B87" s="139" t="str">
        <f>'General Detail'!A209</f>
        <v>Mental Retardation</v>
      </c>
      <c r="C87" s="232">
        <f>'General Detail'!B214</f>
        <v>0</v>
      </c>
      <c r="D87" s="232">
        <f>'General Detail'!C214</f>
        <v>0</v>
      </c>
      <c r="E87" s="106">
        <f>'General Detail'!D214</f>
        <v>0</v>
      </c>
      <c r="G87" s="298" t="s">
        <v>298</v>
      </c>
      <c r="H87" s="299"/>
      <c r="I87" s="299"/>
      <c r="J87" s="304" t="str">
        <f>IF(J86=0,"",ROUND((J86+E112-G99)/inputOth!E6*1000,3)-G104)</f>
        <v/>
      </c>
    </row>
    <row r="88" spans="2:11" x14ac:dyDescent="0.2">
      <c r="B88" s="139" t="str">
        <f>'General Detail'!A215</f>
        <v>Noxious Weed Control</v>
      </c>
      <c r="C88" s="232">
        <f>'General Detail'!B220</f>
        <v>0</v>
      </c>
      <c r="D88" s="232">
        <f>'General Detail'!C220</f>
        <v>0</v>
      </c>
      <c r="E88" s="106">
        <f>'General Detail'!D220</f>
        <v>0</v>
      </c>
      <c r="G88" s="305" t="str">
        <f>CONCATENATE("",E1," Tot Exp/Non-Appr Must Be:")</f>
        <v>2025 Tot Exp/Non-Appr Must Be:</v>
      </c>
      <c r="H88" s="306"/>
      <c r="I88" s="307"/>
      <c r="J88" s="308">
        <f>IF(J86&gt;0,IF(E109&lt;E49,IF(J86=G99,E109,((J86-G99)*(1-D111))+E49),E109+(J86-G99)),0)</f>
        <v>0</v>
      </c>
    </row>
    <row r="89" spans="2:11" x14ac:dyDescent="0.2">
      <c r="B89" s="139" t="str">
        <f>'General Detail'!A221</f>
        <v>Other</v>
      </c>
      <c r="C89" s="232">
        <f>'General Detail'!B222</f>
        <v>0</v>
      </c>
      <c r="D89" s="232">
        <f>'General Detail'!C222</f>
        <v>0</v>
      </c>
      <c r="E89" s="106">
        <f>'General Detail'!D222</f>
        <v>0</v>
      </c>
      <c r="G89" s="309" t="s">
        <v>318</v>
      </c>
      <c r="H89" s="310"/>
      <c r="I89" s="310"/>
      <c r="J89" s="311">
        <f>IF(J86&gt;0,J88-E109,0)</f>
        <v>0</v>
      </c>
    </row>
    <row r="90" spans="2:11" x14ac:dyDescent="0.2">
      <c r="B90" s="139" t="str">
        <f>'General Detail'!A224</f>
        <v>Park &amp; Recreation</v>
      </c>
      <c r="C90" s="232">
        <f>'General Detail'!B229</f>
        <v>0</v>
      </c>
      <c r="D90" s="232">
        <f>'General Detail'!C229</f>
        <v>0</v>
      </c>
      <c r="E90" s="106">
        <f>'General Detail'!D229</f>
        <v>0</v>
      </c>
    </row>
    <row r="91" spans="2:11" x14ac:dyDescent="0.2">
      <c r="B91" s="139" t="str">
        <f>'General Detail'!A230</f>
        <v>Register of Deeds</v>
      </c>
      <c r="C91" s="232">
        <f>'General Detail'!B235</f>
        <v>0</v>
      </c>
      <c r="D91" s="232">
        <f>'General Detail'!C235</f>
        <v>0</v>
      </c>
      <c r="E91" s="106">
        <f>'General Detail'!D235</f>
        <v>0</v>
      </c>
      <c r="G91" s="640" t="str">
        <f>CONCATENATE("Projected Carryover Into ",E1+1,"")</f>
        <v>Projected Carryover Into 2026</v>
      </c>
      <c r="H91" s="641"/>
      <c r="I91" s="641"/>
      <c r="J91" s="642"/>
    </row>
    <row r="92" spans="2:11" x14ac:dyDescent="0.2">
      <c r="B92" s="139" t="str">
        <f>'General Detail'!A246</f>
        <v>Road &amp; Bridge</v>
      </c>
      <c r="C92" s="232">
        <f>'General Detail'!B251</f>
        <v>0</v>
      </c>
      <c r="D92" s="232">
        <f>'General Detail'!C251</f>
        <v>0</v>
      </c>
      <c r="E92" s="106">
        <f>'General Detail'!D251</f>
        <v>0</v>
      </c>
      <c r="G92" s="270"/>
      <c r="H92" s="269"/>
      <c r="I92" s="269"/>
      <c r="J92" s="271"/>
    </row>
    <row r="93" spans="2:11" x14ac:dyDescent="0.2">
      <c r="B93" s="139" t="str">
        <f>'General Detail'!A252</f>
        <v>Services for the Aged</v>
      </c>
      <c r="C93" s="232">
        <f>'General Detail'!B257</f>
        <v>0</v>
      </c>
      <c r="D93" s="232">
        <f>'General Detail'!C257</f>
        <v>0</v>
      </c>
      <c r="E93" s="106">
        <f>'General Detail'!D257</f>
        <v>0</v>
      </c>
      <c r="G93" s="264">
        <f>D106</f>
        <v>0</v>
      </c>
      <c r="H93" s="263" t="str">
        <f>CONCATENATE("",E1-1," Ending Cash Balance (est.)")</f>
        <v>2024 Ending Cash Balance (est.)</v>
      </c>
      <c r="I93" s="262"/>
      <c r="J93" s="271"/>
    </row>
    <row r="94" spans="2:11" x14ac:dyDescent="0.2">
      <c r="B94" s="139" t="str">
        <f>'General Detail'!A258</f>
        <v>Soil Conservation</v>
      </c>
      <c r="C94" s="232">
        <f>'General Detail'!B263</f>
        <v>0</v>
      </c>
      <c r="D94" s="232">
        <f>'General Detail'!C263</f>
        <v>0</v>
      </c>
      <c r="E94" s="106">
        <f>'General Detail'!D263</f>
        <v>0</v>
      </c>
      <c r="G94" s="264">
        <f>E48</f>
        <v>0</v>
      </c>
      <c r="H94" s="261" t="str">
        <f>CONCATENATE("",E1," Non-AV Receipts (est.)")</f>
        <v>2025 Non-AV Receipts (est.)</v>
      </c>
      <c r="I94" s="262"/>
      <c r="J94" s="271"/>
    </row>
    <row r="95" spans="2:11" x14ac:dyDescent="0.2">
      <c r="B95" s="139" t="str">
        <f>'General Detail'!A264</f>
        <v>Solid Waste</v>
      </c>
      <c r="C95" s="232">
        <f>'General Detail'!B269</f>
        <v>0</v>
      </c>
      <c r="D95" s="232">
        <f>'General Detail'!C269</f>
        <v>0</v>
      </c>
      <c r="E95" s="106">
        <f>'General Detail'!D269</f>
        <v>0</v>
      </c>
      <c r="G95" s="260">
        <f>IF(E111&gt;0,E110,E112)</f>
        <v>0</v>
      </c>
      <c r="H95" s="261" t="str">
        <f>CONCATENATE("",E1," Ad Valorem Tax (est.)")</f>
        <v>2025 Ad Valorem Tax (est.)</v>
      </c>
      <c r="I95" s="262"/>
      <c r="J95" s="271"/>
      <c r="K95" s="314" t="str">
        <f>IF(G95=E112,"","Note: Does not include Delinquent Taxes")</f>
        <v/>
      </c>
    </row>
    <row r="96" spans="2:11" x14ac:dyDescent="0.2">
      <c r="B96" s="139" t="str">
        <f>'General Detail'!A270</f>
        <v>Tort Liability</v>
      </c>
      <c r="C96" s="232">
        <f>'General Detail'!B273</f>
        <v>0</v>
      </c>
      <c r="D96" s="232">
        <f>'General Detail'!C273</f>
        <v>0</v>
      </c>
      <c r="E96" s="106">
        <f>'General Detail'!D273</f>
        <v>0</v>
      </c>
      <c r="G96" s="264">
        <f>SUM(G93:G95)</f>
        <v>0</v>
      </c>
      <c r="H96" s="261" t="str">
        <f>CONCATENATE("Total ",E1," Resources Available")</f>
        <v>Total 2025 Resources Available</v>
      </c>
      <c r="I96" s="262"/>
      <c r="J96" s="271"/>
    </row>
    <row r="97" spans="2:10" x14ac:dyDescent="0.2">
      <c r="B97" s="139" t="str">
        <f>'General Detail'!A274</f>
        <v>Cultural</v>
      </c>
      <c r="C97" s="232">
        <f>'General Detail'!B279</f>
        <v>0</v>
      </c>
      <c r="D97" s="232">
        <f>'General Detail'!C279</f>
        <v>0</v>
      </c>
      <c r="E97" s="106">
        <f>'General Detail'!D279</f>
        <v>0</v>
      </c>
      <c r="G97" s="259"/>
      <c r="H97" s="261"/>
      <c r="I97" s="261"/>
      <c r="J97" s="271"/>
    </row>
    <row r="98" spans="2:10" x14ac:dyDescent="0.2">
      <c r="B98" s="139" t="str">
        <f>'General Detail'!A280</f>
        <v>Other</v>
      </c>
      <c r="C98" s="232">
        <f>'General Detail'!B285</f>
        <v>0</v>
      </c>
      <c r="D98" s="232">
        <f>'General Detail'!C285</f>
        <v>0</v>
      </c>
      <c r="E98" s="106">
        <f>'General Detail'!D285</f>
        <v>0</v>
      </c>
      <c r="G98" s="260">
        <f>C105*0.05+C105</f>
        <v>0</v>
      </c>
      <c r="H98" s="261" t="str">
        <f>CONCATENATE("Less ",E1-2," Expenditures + 5%")</f>
        <v>Less 2023 Expenditures + 5%</v>
      </c>
      <c r="I98" s="262"/>
      <c r="J98" s="271"/>
    </row>
    <row r="99" spans="2:10" x14ac:dyDescent="0.2">
      <c r="B99" s="148" t="s">
        <v>27</v>
      </c>
      <c r="C99" s="249">
        <f>SUM(C59:C98)</f>
        <v>0</v>
      </c>
      <c r="D99" s="249">
        <f>SUM(D59:D98)</f>
        <v>0</v>
      </c>
      <c r="E99" s="171">
        <f>SUM(E59:E98)</f>
        <v>0</v>
      </c>
      <c r="G99" s="258">
        <f>G96-G98</f>
        <v>0</v>
      </c>
      <c r="H99" s="257" t="str">
        <f>CONCATENATE("Projected ",E1," Carryover (est.)")</f>
        <v>Projected 2025 Carryover (est.)</v>
      </c>
      <c r="I99" s="242"/>
      <c r="J99" s="241"/>
    </row>
    <row r="100" spans="2:10" x14ac:dyDescent="0.2">
      <c r="B100" s="150"/>
      <c r="C100" s="229"/>
      <c r="D100" s="229"/>
      <c r="E100" s="42"/>
      <c r="G100" s="268"/>
      <c r="H100" s="268"/>
      <c r="I100" s="268"/>
      <c r="J100" s="268"/>
    </row>
    <row r="101" spans="2:10" x14ac:dyDescent="0.2">
      <c r="B101" s="150"/>
      <c r="C101" s="229"/>
      <c r="D101" s="229"/>
      <c r="E101" s="42"/>
      <c r="G101" s="649" t="s">
        <v>558</v>
      </c>
      <c r="H101" s="650"/>
      <c r="I101" s="650"/>
      <c r="J101" s="651"/>
    </row>
    <row r="102" spans="2:10" x14ac:dyDescent="0.2">
      <c r="B102" s="143" t="str">
        <f>CONCATENATE("Cash Reserve (",E1," column)")</f>
        <v>Cash Reserve (2025 column)</v>
      </c>
      <c r="C102" s="229"/>
      <c r="D102" s="229"/>
      <c r="E102" s="42"/>
      <c r="G102" s="652"/>
      <c r="H102" s="653"/>
      <c r="I102" s="653"/>
      <c r="J102" s="654"/>
    </row>
    <row r="103" spans="2:10" x14ac:dyDescent="0.2">
      <c r="B103" s="143" t="s">
        <v>38</v>
      </c>
      <c r="C103" s="229"/>
      <c r="D103" s="229"/>
      <c r="E103" s="42"/>
      <c r="G103" s="509" t="str">
        <f>'Budget Hearing Notice'!H16</f>
        <v xml:space="preserve">  </v>
      </c>
      <c r="H103" s="316" t="str">
        <f>CONCATENATE("",E1," Estimated Fund Mill Rate")</f>
        <v>2025 Estimated Fund Mill Rate</v>
      </c>
      <c r="I103" s="510"/>
      <c r="J103" s="511"/>
    </row>
    <row r="104" spans="2:10" x14ac:dyDescent="0.2">
      <c r="B104" s="143" t="s">
        <v>290</v>
      </c>
      <c r="C104" s="230" t="str">
        <f>IF(C105*0.1&lt;C103,"Exceed 10% Rule","")</f>
        <v/>
      </c>
      <c r="D104" s="230" t="str">
        <f>IF(D105*0.1&lt;D103,"Exceed 10% Rule","")</f>
        <v/>
      </c>
      <c r="E104" s="170" t="str">
        <f>IF(E105*0.1&lt;E103,"Exceed 10% Rule","")</f>
        <v/>
      </c>
      <c r="G104" s="512" t="str">
        <f>'Budget Hearing Notice'!E16</f>
        <v xml:space="preserve">  </v>
      </c>
      <c r="H104" s="316" t="str">
        <f>CONCATENATE("",E1-1," Fund Mill Rate")</f>
        <v>2024 Fund Mill Rate</v>
      </c>
      <c r="I104" s="510"/>
      <c r="J104" s="511"/>
    </row>
    <row r="105" spans="2:10" x14ac:dyDescent="0.2">
      <c r="B105" s="145" t="s">
        <v>94</v>
      </c>
      <c r="C105" s="463">
        <f>SUM(C99:C103)</f>
        <v>0</v>
      </c>
      <c r="D105" s="463">
        <f>SUM(D99:D103)</f>
        <v>0</v>
      </c>
      <c r="E105" s="463">
        <f>SUM(E99:E103)</f>
        <v>0</v>
      </c>
      <c r="G105" s="513">
        <f>'Budget Hearing Notice'!H62</f>
        <v>0</v>
      </c>
      <c r="H105" s="514" t="s">
        <v>559</v>
      </c>
      <c r="I105" s="510"/>
      <c r="J105" s="511"/>
    </row>
    <row r="106" spans="2:10" x14ac:dyDescent="0.2">
      <c r="B106" s="60" t="s">
        <v>196</v>
      </c>
      <c r="C106" s="106">
        <f>C49-C105</f>
        <v>0</v>
      </c>
      <c r="D106" s="106">
        <f>D49-D105</f>
        <v>0</v>
      </c>
      <c r="E106" s="86" t="s">
        <v>66</v>
      </c>
      <c r="G106" s="509">
        <f>'Budget Hearing Notice'!H61</f>
        <v>0</v>
      </c>
      <c r="H106" s="316" t="str">
        <f>CONCATENATE(E1," Estimated Total Mill Rate")</f>
        <v>2025 Estimated Total Mill Rate</v>
      </c>
      <c r="I106" s="510"/>
      <c r="J106" s="511"/>
    </row>
    <row r="107" spans="2:10" x14ac:dyDescent="0.2">
      <c r="B107" s="135" t="str">
        <f>CONCATENATE("",E1-2,"/",E1-1,"/",E1," Budget Authority Amount:")</f>
        <v>2023/2024/2025 Budget Authority Amount:</v>
      </c>
      <c r="C107" s="167">
        <f>inputOth!$B33</f>
        <v>0</v>
      </c>
      <c r="D107" s="167">
        <f>inputPrYr!$D17</f>
        <v>0</v>
      </c>
      <c r="E107" s="106">
        <f>E105</f>
        <v>0</v>
      </c>
      <c r="G107" s="515">
        <f>'Budget Hearing Notice'!E61</f>
        <v>0</v>
      </c>
      <c r="H107" s="316" t="str">
        <f>CONCATENATE(E1-1," Total Mill Rate")</f>
        <v>2024 Total Mill Rate</v>
      </c>
      <c r="I107" s="510"/>
      <c r="J107" s="511"/>
    </row>
    <row r="108" spans="2:10" x14ac:dyDescent="0.2">
      <c r="B108" s="125"/>
      <c r="C108" s="636" t="s">
        <v>294</v>
      </c>
      <c r="D108" s="637"/>
      <c r="E108" s="42"/>
      <c r="G108" s="327"/>
      <c r="H108" s="299"/>
      <c r="I108" s="299"/>
      <c r="J108" s="329"/>
    </row>
    <row r="109" spans="2:10" ht="15.75" customHeight="1" x14ac:dyDescent="0.2">
      <c r="B109" s="266" t="str">
        <f>CONCATENATE(C127,"     ",D127)</f>
        <v xml:space="preserve">     </v>
      </c>
      <c r="C109" s="638" t="s">
        <v>295</v>
      </c>
      <c r="D109" s="639"/>
      <c r="E109" s="106">
        <f>E105+E108</f>
        <v>0</v>
      </c>
      <c r="G109" s="655" t="s">
        <v>560</v>
      </c>
      <c r="H109" s="656"/>
      <c r="I109" s="656"/>
      <c r="J109" s="659" t="str">
        <f>IF(G106&gt;G105, "Yes", "No")</f>
        <v>No</v>
      </c>
    </row>
    <row r="110" spans="2:10" ht="15.75" customHeight="1" x14ac:dyDescent="0.2">
      <c r="B110" s="266" t="str">
        <f>CONCATENATE(C128,"     ",D128)</f>
        <v xml:space="preserve">     </v>
      </c>
      <c r="C110" s="152"/>
      <c r="D110" s="90" t="s">
        <v>95</v>
      </c>
      <c r="E110" s="106">
        <f>IF(E109-E49&gt;0,E109-E49,0)</f>
        <v>0</v>
      </c>
      <c r="G110" s="657"/>
      <c r="H110" s="658"/>
      <c r="I110" s="658"/>
      <c r="J110" s="660"/>
    </row>
    <row r="111" spans="2:10" x14ac:dyDescent="0.2">
      <c r="B111" s="125"/>
      <c r="C111" s="265" t="s">
        <v>296</v>
      </c>
      <c r="D111" s="297">
        <f>inputOth!$E$26</f>
        <v>0</v>
      </c>
      <c r="E111" s="106">
        <f>IF(D111&gt;0,(E110*D111),0)</f>
        <v>0</v>
      </c>
      <c r="G111" s="661" t="str">
        <f>IF(J109="Yes", "Follow procedure prescribed by KSA 79-2988 to exceed the Revenue Neutral Rate.", " ")</f>
        <v xml:space="preserve"> </v>
      </c>
      <c r="H111" s="661"/>
      <c r="I111" s="661"/>
      <c r="J111" s="661"/>
    </row>
    <row r="112" spans="2:10" x14ac:dyDescent="0.2">
      <c r="B112" s="26"/>
      <c r="C112" s="644" t="str">
        <f>CONCATENATE("Amount of  ",$E$1-1," Ad Valorem Tax")</f>
        <v>Amount of  2024 Ad Valorem Tax</v>
      </c>
      <c r="D112" s="645"/>
      <c r="E112" s="106">
        <f>E110+E111</f>
        <v>0</v>
      </c>
      <c r="F112" s="151"/>
      <c r="G112" s="662"/>
      <c r="H112" s="662"/>
      <c r="I112" s="662"/>
      <c r="J112" s="662"/>
    </row>
    <row r="113" spans="2:10" x14ac:dyDescent="0.2">
      <c r="B113" s="26"/>
      <c r="C113" s="125"/>
      <c r="D113" s="26"/>
      <c r="E113" s="397"/>
      <c r="F113" s="238" t="str">
        <f>IF(E105/0.95-E105&lt;E108,"Exceeds 5%","")</f>
        <v/>
      </c>
      <c r="G113" s="662"/>
      <c r="H113" s="662"/>
      <c r="I113" s="662"/>
      <c r="J113" s="662"/>
    </row>
    <row r="114" spans="2:10" x14ac:dyDescent="0.2">
      <c r="B114" s="423" t="s">
        <v>354</v>
      </c>
      <c r="C114" s="402"/>
      <c r="D114" s="347"/>
      <c r="E114" s="397"/>
    </row>
    <row r="115" spans="2:10" x14ac:dyDescent="0.2">
      <c r="B115" s="126"/>
      <c r="C115" s="26"/>
      <c r="D115" s="26"/>
      <c r="E115" s="312"/>
    </row>
    <row r="116" spans="2:10" x14ac:dyDescent="0.2">
      <c r="B116" s="403"/>
      <c r="C116" s="44"/>
      <c r="D116" s="44"/>
      <c r="E116" s="47"/>
    </row>
    <row r="117" spans="2:10" x14ac:dyDescent="0.2">
      <c r="B117" s="643" t="s">
        <v>370</v>
      </c>
      <c r="C117" s="643"/>
      <c r="D117" s="643"/>
      <c r="E117" s="643"/>
    </row>
    <row r="127" spans="2:10" x14ac:dyDescent="0.2">
      <c r="C127" s="23" t="str">
        <f>IF(C105&gt;C107,"See Tab A","")</f>
        <v/>
      </c>
      <c r="D127" s="23" t="str">
        <f>IF(D105&gt;D107,"See Tab C","")</f>
        <v/>
      </c>
    </row>
    <row r="128" spans="2:10" x14ac:dyDescent="0.2">
      <c r="C128" s="23" t="str">
        <f>IF(C106&lt;0,"See Tab B","")</f>
        <v/>
      </c>
      <c r="D128" s="23" t="str">
        <f>IF(D106&lt;0,"See Tab D","")</f>
        <v/>
      </c>
    </row>
    <row r="129" hidden="1" x14ac:dyDescent="0.2"/>
    <row r="130" hidden="1" x14ac:dyDescent="0.2"/>
  </sheetData>
  <sheetProtection sheet="1" objects="1" scenarios="1"/>
  <mergeCells count="11">
    <mergeCell ref="C108:D108"/>
    <mergeCell ref="C109:D109"/>
    <mergeCell ref="G91:J91"/>
    <mergeCell ref="B51:E51"/>
    <mergeCell ref="B117:E117"/>
    <mergeCell ref="C112:D112"/>
    <mergeCell ref="G84:J84"/>
    <mergeCell ref="G101:J102"/>
    <mergeCell ref="G109:I110"/>
    <mergeCell ref="J109:J110"/>
    <mergeCell ref="G111:J113"/>
  </mergeCells>
  <phoneticPr fontId="0" type="noConversion"/>
  <conditionalFormatting sqref="C46">
    <cfRule type="cellIs" dxfId="375" priority="15" stopIfTrue="1" operator="greaterThan">
      <formula>$C$48*0.1</formula>
    </cfRule>
  </conditionalFormatting>
  <conditionalFormatting sqref="C103">
    <cfRule type="cellIs" dxfId="374" priority="10" stopIfTrue="1" operator="greaterThan">
      <formula>$C$105*0.1</formula>
    </cfRule>
  </conditionalFormatting>
  <conditionalFormatting sqref="C105:D105">
    <cfRule type="cellIs" dxfId="373" priority="3" stopIfTrue="1" operator="greaterThan">
      <formula>$C$107</formula>
    </cfRule>
  </conditionalFormatting>
  <conditionalFormatting sqref="C106:D106">
    <cfRule type="cellIs" dxfId="372" priority="1" stopIfTrue="1" operator="lessThan">
      <formula>0</formula>
    </cfRule>
  </conditionalFormatting>
  <conditionalFormatting sqref="D46">
    <cfRule type="cellIs" dxfId="371" priority="14" stopIfTrue="1" operator="greaterThan">
      <formula>$D$48*0.1</formula>
    </cfRule>
  </conditionalFormatting>
  <conditionalFormatting sqref="D103">
    <cfRule type="cellIs" dxfId="370" priority="9" stopIfTrue="1" operator="greaterThan">
      <formula>$D$105*0.1</formula>
    </cfRule>
  </conditionalFormatting>
  <conditionalFormatting sqref="E46">
    <cfRule type="cellIs" dxfId="369" priority="16" stopIfTrue="1" operator="greaterThan">
      <formula>$E$48*0.1+E112</formula>
    </cfRule>
  </conditionalFormatting>
  <conditionalFormatting sqref="E103">
    <cfRule type="cellIs" dxfId="368" priority="7" stopIfTrue="1" operator="greaterThan">
      <formula>$E$105*0.1</formula>
    </cfRule>
  </conditionalFormatting>
  <conditionalFormatting sqref="E108">
    <cfRule type="cellIs" dxfId="367" priority="8" stopIfTrue="1" operator="greaterThan">
      <formula>$E$105/0.95-$E$105</formula>
    </cfRule>
  </conditionalFormatting>
  <conditionalFormatting sqref="J109">
    <cfRule type="containsText" dxfId="366" priority="5" operator="containsText" text="Yes">
      <formula>NOT(ISERROR(SEARCH("Yes",J109)))</formula>
    </cfRule>
  </conditionalFormatting>
  <pageMargins left="1" right="0.5" top="0.81" bottom="0.36" header="0.5" footer="0"/>
  <pageSetup scale="65" fitToHeight="2" orientation="portrait" blackAndWhite="1" horizontalDpi="120" verticalDpi="144" r:id="rId1"/>
  <headerFooter alignWithMargins="0">
    <oddHeader xml:space="preserve">&amp;RState of Kansas
County
</oddHeader>
  </headerFooter>
  <rowBreaks count="1" manualBreakCount="1">
    <brk id="52" max="16383" man="1"/>
  </rowBreaks>
  <colBreaks count="1" manualBreakCount="1">
    <brk id="5"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rgb="FF00B0F0"/>
  </sheetPr>
  <dimension ref="A1:D403"/>
  <sheetViews>
    <sheetView zoomScaleNormal="100" workbookViewId="0">
      <selection activeCell="B15" sqref="B15"/>
    </sheetView>
  </sheetViews>
  <sheetFormatPr defaultRowHeight="15.75" x14ac:dyDescent="0.2"/>
  <cols>
    <col min="1" max="1" width="30.77734375" style="23" customWidth="1"/>
    <col min="2" max="2" width="14.44140625" style="23" customWidth="1"/>
    <col min="3" max="3" width="14.77734375" style="23" customWidth="1"/>
    <col min="4" max="4" width="15" style="23" customWidth="1"/>
    <col min="5" max="16384" width="8.88671875" style="23"/>
  </cols>
  <sheetData>
    <row r="1" spans="1:4" x14ac:dyDescent="0.2">
      <c r="A1" s="57">
        <f>inputPrYr!C3</f>
        <v>0</v>
      </c>
      <c r="B1" s="26"/>
      <c r="C1" s="135"/>
      <c r="D1" s="26">
        <f>inputPrYr!C5</f>
        <v>2025</v>
      </c>
    </row>
    <row r="2" spans="1:4" x14ac:dyDescent="0.2">
      <c r="A2" s="26"/>
      <c r="B2" s="26"/>
      <c r="C2" s="26"/>
      <c r="D2" s="135"/>
    </row>
    <row r="3" spans="1:4" x14ac:dyDescent="0.2">
      <c r="A3" s="64" t="s">
        <v>182</v>
      </c>
      <c r="B3" s="147"/>
      <c r="C3" s="147"/>
      <c r="D3" s="147"/>
    </row>
    <row r="4" spans="1:4" x14ac:dyDescent="0.2">
      <c r="A4" s="135" t="s">
        <v>80</v>
      </c>
      <c r="B4" s="625" t="str">
        <f>CONCATENATE("Prior Year Actual for ",D1-2,"")</f>
        <v>Prior Year Actual for 2023</v>
      </c>
      <c r="C4" s="625" t="str">
        <f>CONCATENATE("Current Year Estimate for ",D1-1,"")</f>
        <v>Current Year Estimate for 2024</v>
      </c>
      <c r="D4" s="628" t="str">
        <f>CONCATENATE("Proposed Budget Year for ",D1,"")</f>
        <v>Proposed Budget Year for 2025</v>
      </c>
    </row>
    <row r="5" spans="1:4" x14ac:dyDescent="0.2">
      <c r="A5" s="245" t="s">
        <v>293</v>
      </c>
      <c r="B5" s="627"/>
      <c r="C5" s="627"/>
      <c r="D5" s="630"/>
    </row>
    <row r="6" spans="1:4" x14ac:dyDescent="0.2">
      <c r="A6" s="103" t="s">
        <v>93</v>
      </c>
      <c r="B6" s="50"/>
      <c r="C6" s="50"/>
      <c r="D6" s="50"/>
    </row>
    <row r="7" spans="1:4" x14ac:dyDescent="0.2">
      <c r="A7" s="154" t="s">
        <v>98</v>
      </c>
      <c r="B7" s="50"/>
      <c r="C7" s="50"/>
      <c r="D7" s="50"/>
    </row>
    <row r="8" spans="1:4" x14ac:dyDescent="0.2">
      <c r="A8" s="40" t="s">
        <v>99</v>
      </c>
      <c r="B8" s="140"/>
      <c r="C8" s="140"/>
      <c r="D8" s="140"/>
    </row>
    <row r="9" spans="1:4" x14ac:dyDescent="0.2">
      <c r="A9" s="40" t="s">
        <v>100</v>
      </c>
      <c r="B9" s="140"/>
      <c r="C9" s="140"/>
      <c r="D9" s="140"/>
    </row>
    <row r="10" spans="1:4" x14ac:dyDescent="0.2">
      <c r="A10" s="40" t="s">
        <v>101</v>
      </c>
      <c r="B10" s="140"/>
      <c r="C10" s="140"/>
      <c r="D10" s="140"/>
    </row>
    <row r="11" spans="1:4" x14ac:dyDescent="0.2">
      <c r="A11" s="40" t="s">
        <v>102</v>
      </c>
      <c r="B11" s="140"/>
      <c r="C11" s="140"/>
      <c r="D11" s="140"/>
    </row>
    <row r="12" spans="1:4" x14ac:dyDescent="0.2">
      <c r="A12" s="131"/>
      <c r="B12" s="140"/>
      <c r="C12" s="140"/>
      <c r="D12" s="140"/>
    </row>
    <row r="13" spans="1:4" x14ac:dyDescent="0.2">
      <c r="A13" s="135" t="s">
        <v>54</v>
      </c>
      <c r="B13" s="50">
        <f>SUM(B8:B12)</f>
        <v>0</v>
      </c>
      <c r="C13" s="50">
        <f>SUM(C8:C12)</f>
        <v>0</v>
      </c>
      <c r="D13" s="50">
        <f>SUM(D8:D12)</f>
        <v>0</v>
      </c>
    </row>
    <row r="14" spans="1:4" x14ac:dyDescent="0.2">
      <c r="A14" s="154" t="s">
        <v>103</v>
      </c>
      <c r="B14" s="50"/>
      <c r="C14" s="50"/>
      <c r="D14" s="50"/>
    </row>
    <row r="15" spans="1:4" x14ac:dyDescent="0.2">
      <c r="A15" s="40" t="s">
        <v>99</v>
      </c>
      <c r="B15" s="140"/>
      <c r="C15" s="140"/>
      <c r="D15" s="140"/>
    </row>
    <row r="16" spans="1:4" x14ac:dyDescent="0.2">
      <c r="A16" s="40" t="s">
        <v>100</v>
      </c>
      <c r="B16" s="140"/>
      <c r="C16" s="140"/>
      <c r="D16" s="140"/>
    </row>
    <row r="17" spans="1:4" x14ac:dyDescent="0.2">
      <c r="A17" s="40" t="s">
        <v>101</v>
      </c>
      <c r="B17" s="140"/>
      <c r="C17" s="140"/>
      <c r="D17" s="140"/>
    </row>
    <row r="18" spans="1:4" x14ac:dyDescent="0.2">
      <c r="A18" s="40" t="s">
        <v>102</v>
      </c>
      <c r="B18" s="140"/>
      <c r="C18" s="140"/>
      <c r="D18" s="140"/>
    </row>
    <row r="19" spans="1:4" x14ac:dyDescent="0.2">
      <c r="A19" s="135" t="s">
        <v>54</v>
      </c>
      <c r="B19" s="50">
        <f>SUM(B15:B18)</f>
        <v>0</v>
      </c>
      <c r="C19" s="50">
        <f>SUM(C15:C18)</f>
        <v>0</v>
      </c>
      <c r="D19" s="50">
        <f>SUM(D15:D18)</f>
        <v>0</v>
      </c>
    </row>
    <row r="20" spans="1:4" x14ac:dyDescent="0.2">
      <c r="A20" s="154" t="s">
        <v>104</v>
      </c>
      <c r="B20" s="50"/>
      <c r="C20" s="50"/>
      <c r="D20" s="50"/>
    </row>
    <row r="21" spans="1:4" x14ac:dyDescent="0.2">
      <c r="A21" s="40" t="s">
        <v>99</v>
      </c>
      <c r="B21" s="140"/>
      <c r="C21" s="140"/>
      <c r="D21" s="140"/>
    </row>
    <row r="22" spans="1:4" x14ac:dyDescent="0.2">
      <c r="A22" s="40" t="s">
        <v>100</v>
      </c>
      <c r="B22" s="140"/>
      <c r="C22" s="140"/>
      <c r="D22" s="140"/>
    </row>
    <row r="23" spans="1:4" x14ac:dyDescent="0.2">
      <c r="A23" s="40" t="s">
        <v>101</v>
      </c>
      <c r="B23" s="140"/>
      <c r="C23" s="140"/>
      <c r="D23" s="140"/>
    </row>
    <row r="24" spans="1:4" x14ac:dyDescent="0.2">
      <c r="A24" s="40" t="s">
        <v>102</v>
      </c>
      <c r="B24" s="140"/>
      <c r="C24" s="140"/>
      <c r="D24" s="140"/>
    </row>
    <row r="25" spans="1:4" x14ac:dyDescent="0.2">
      <c r="A25" s="135" t="s">
        <v>54</v>
      </c>
      <c r="B25" s="50">
        <f>SUM(B21:B24)</f>
        <v>0</v>
      </c>
      <c r="C25" s="50">
        <f>SUM(C21:C24)</f>
        <v>0</v>
      </c>
      <c r="D25" s="50">
        <f>SUM(D21:D24)</f>
        <v>0</v>
      </c>
    </row>
    <row r="26" spans="1:4" x14ac:dyDescent="0.2">
      <c r="A26" s="154" t="s">
        <v>105</v>
      </c>
      <c r="B26" s="50"/>
      <c r="C26" s="50"/>
      <c r="D26" s="50"/>
    </row>
    <row r="27" spans="1:4" x14ac:dyDescent="0.2">
      <c r="A27" s="40" t="s">
        <v>99</v>
      </c>
      <c r="B27" s="140"/>
      <c r="C27" s="140"/>
      <c r="D27" s="140"/>
    </row>
    <row r="28" spans="1:4" x14ac:dyDescent="0.2">
      <c r="A28" s="40" t="s">
        <v>100</v>
      </c>
      <c r="B28" s="140"/>
      <c r="C28" s="140"/>
      <c r="D28" s="140"/>
    </row>
    <row r="29" spans="1:4" x14ac:dyDescent="0.2">
      <c r="A29" s="40" t="s">
        <v>101</v>
      </c>
      <c r="B29" s="140"/>
      <c r="C29" s="140"/>
      <c r="D29" s="140"/>
    </row>
    <row r="30" spans="1:4" x14ac:dyDescent="0.2">
      <c r="A30" s="40" t="s">
        <v>102</v>
      </c>
      <c r="B30" s="140"/>
      <c r="C30" s="140"/>
      <c r="D30" s="140"/>
    </row>
    <row r="31" spans="1:4" x14ac:dyDescent="0.2">
      <c r="A31" s="135" t="s">
        <v>54</v>
      </c>
      <c r="B31" s="50">
        <f>SUM(B27:B30)</f>
        <v>0</v>
      </c>
      <c r="C31" s="50">
        <f>SUM(C27:C30)</f>
        <v>0</v>
      </c>
      <c r="D31" s="50">
        <f>SUM(D27:D30)</f>
        <v>0</v>
      </c>
    </row>
    <row r="32" spans="1:4" x14ac:dyDescent="0.2">
      <c r="A32" s="154" t="s">
        <v>106</v>
      </c>
      <c r="B32" s="50"/>
      <c r="C32" s="50"/>
      <c r="D32" s="50"/>
    </row>
    <row r="33" spans="1:4" x14ac:dyDescent="0.2">
      <c r="A33" s="40" t="s">
        <v>99</v>
      </c>
      <c r="B33" s="140"/>
      <c r="C33" s="140"/>
      <c r="D33" s="140"/>
    </row>
    <row r="34" spans="1:4" x14ac:dyDescent="0.2">
      <c r="A34" s="40" t="s">
        <v>100</v>
      </c>
      <c r="B34" s="140"/>
      <c r="C34" s="140"/>
      <c r="D34" s="140"/>
    </row>
    <row r="35" spans="1:4" x14ac:dyDescent="0.2">
      <c r="A35" s="40" t="s">
        <v>101</v>
      </c>
      <c r="B35" s="140"/>
      <c r="C35" s="140"/>
      <c r="D35" s="140"/>
    </row>
    <row r="36" spans="1:4" x14ac:dyDescent="0.2">
      <c r="A36" s="142" t="s">
        <v>102</v>
      </c>
      <c r="B36" s="140"/>
      <c r="C36" s="140"/>
      <c r="D36" s="140"/>
    </row>
    <row r="37" spans="1:4" x14ac:dyDescent="0.2">
      <c r="A37" s="135" t="s">
        <v>54</v>
      </c>
      <c r="B37" s="50">
        <f>SUM(B33:B36)</f>
        <v>0</v>
      </c>
      <c r="C37" s="50">
        <f>SUM(C33:C36)</f>
        <v>0</v>
      </c>
      <c r="D37" s="50">
        <f>SUM(D33:D36)</f>
        <v>0</v>
      </c>
    </row>
    <row r="38" spans="1:4" x14ac:dyDescent="0.2">
      <c r="A38" s="154" t="s">
        <v>107</v>
      </c>
      <c r="B38" s="50"/>
      <c r="C38" s="50"/>
      <c r="D38" s="50"/>
    </row>
    <row r="39" spans="1:4" x14ac:dyDescent="0.2">
      <c r="A39" s="40" t="s">
        <v>99</v>
      </c>
      <c r="B39" s="140"/>
      <c r="C39" s="140"/>
      <c r="D39" s="140"/>
    </row>
    <row r="40" spans="1:4" x14ac:dyDescent="0.2">
      <c r="A40" s="40" t="s">
        <v>100</v>
      </c>
      <c r="B40" s="140"/>
      <c r="C40" s="140"/>
      <c r="D40" s="140"/>
    </row>
    <row r="41" spans="1:4" x14ac:dyDescent="0.2">
      <c r="A41" s="40" t="s">
        <v>101</v>
      </c>
      <c r="B41" s="140"/>
      <c r="C41" s="140"/>
      <c r="D41" s="140"/>
    </row>
    <row r="42" spans="1:4" x14ac:dyDescent="0.2">
      <c r="A42" s="40" t="s">
        <v>102</v>
      </c>
      <c r="B42" s="140"/>
      <c r="C42" s="140"/>
      <c r="D42" s="140"/>
    </row>
    <row r="43" spans="1:4" x14ac:dyDescent="0.2">
      <c r="A43" s="135" t="s">
        <v>54</v>
      </c>
      <c r="B43" s="50">
        <f>SUM(B39:B42)</f>
        <v>0</v>
      </c>
      <c r="C43" s="50">
        <f>SUM(C39:C42)</f>
        <v>0</v>
      </c>
      <c r="D43" s="50">
        <f>SUM(D39:D42)</f>
        <v>0</v>
      </c>
    </row>
    <row r="44" spans="1:4" x14ac:dyDescent="0.2">
      <c r="A44" s="154" t="s">
        <v>108</v>
      </c>
      <c r="B44" s="50"/>
      <c r="C44" s="50"/>
      <c r="D44" s="50"/>
    </row>
    <row r="45" spans="1:4" x14ac:dyDescent="0.2">
      <c r="A45" s="40" t="s">
        <v>99</v>
      </c>
      <c r="B45" s="140"/>
      <c r="C45" s="140"/>
      <c r="D45" s="140"/>
    </row>
    <row r="46" spans="1:4" x14ac:dyDescent="0.2">
      <c r="A46" s="40" t="s">
        <v>100</v>
      </c>
      <c r="B46" s="140"/>
      <c r="C46" s="140"/>
      <c r="D46" s="140"/>
    </row>
    <row r="47" spans="1:4" x14ac:dyDescent="0.2">
      <c r="A47" s="40" t="s">
        <v>101</v>
      </c>
      <c r="B47" s="140"/>
      <c r="C47" s="140"/>
      <c r="D47" s="140"/>
    </row>
    <row r="48" spans="1:4" x14ac:dyDescent="0.2">
      <c r="A48" s="40" t="s">
        <v>102</v>
      </c>
      <c r="B48" s="140"/>
      <c r="C48" s="140"/>
      <c r="D48" s="140"/>
    </row>
    <row r="49" spans="1:4" x14ac:dyDescent="0.2">
      <c r="A49" s="135" t="s">
        <v>54</v>
      </c>
      <c r="B49" s="50">
        <f>SUM(B45:B48)</f>
        <v>0</v>
      </c>
      <c r="C49" s="50">
        <f>SUM(C45:C48)</f>
        <v>0</v>
      </c>
      <c r="D49" s="50">
        <f>SUM(D45:D48)</f>
        <v>0</v>
      </c>
    </row>
    <row r="50" spans="1:4" x14ac:dyDescent="0.2">
      <c r="A50" s="154" t="s">
        <v>109</v>
      </c>
      <c r="B50" s="50"/>
      <c r="C50" s="50"/>
      <c r="D50" s="50"/>
    </row>
    <row r="51" spans="1:4" x14ac:dyDescent="0.2">
      <c r="A51" s="40" t="s">
        <v>99</v>
      </c>
      <c r="B51" s="140"/>
      <c r="C51" s="140"/>
      <c r="D51" s="140"/>
    </row>
    <row r="52" spans="1:4" x14ac:dyDescent="0.2">
      <c r="A52" s="40" t="s">
        <v>100</v>
      </c>
      <c r="B52" s="140"/>
      <c r="C52" s="140"/>
      <c r="D52" s="140"/>
    </row>
    <row r="53" spans="1:4" x14ac:dyDescent="0.2">
      <c r="A53" s="40" t="s">
        <v>101</v>
      </c>
      <c r="B53" s="140"/>
      <c r="C53" s="140"/>
      <c r="D53" s="140"/>
    </row>
    <row r="54" spans="1:4" x14ac:dyDescent="0.2">
      <c r="A54" s="40" t="s">
        <v>102</v>
      </c>
      <c r="B54" s="140"/>
      <c r="C54" s="140"/>
      <c r="D54" s="140"/>
    </row>
    <row r="55" spans="1:4" x14ac:dyDescent="0.2">
      <c r="A55" s="135" t="s">
        <v>54</v>
      </c>
      <c r="B55" s="50">
        <f>SUM(B51:B54)</f>
        <v>0</v>
      </c>
      <c r="C55" s="50">
        <f>SUM(C51:C54)</f>
        <v>0</v>
      </c>
      <c r="D55" s="50">
        <f>SUM(D51:D54)</f>
        <v>0</v>
      </c>
    </row>
    <row r="56" spans="1:4" x14ac:dyDescent="0.2">
      <c r="A56" s="26"/>
      <c r="B56" s="50"/>
      <c r="C56" s="50"/>
      <c r="D56" s="50"/>
    </row>
    <row r="57" spans="1:4" x14ac:dyDescent="0.2">
      <c r="A57" s="135" t="s">
        <v>364</v>
      </c>
      <c r="B57" s="517">
        <f>B13+B19+B25+B31+B37+B43+B49+B55</f>
        <v>0</v>
      </c>
      <c r="C57" s="517">
        <f>C13+C19+C25+C31+C37+C43+C49+C55</f>
        <v>0</v>
      </c>
      <c r="D57" s="517">
        <f>D13+D19+D25+D31+D37+D43+D49+D55</f>
        <v>0</v>
      </c>
    </row>
    <row r="58" spans="1:4" x14ac:dyDescent="0.2">
      <c r="A58" s="26"/>
      <c r="B58" s="57"/>
      <c r="C58" s="57"/>
      <c r="D58" s="57"/>
    </row>
    <row r="59" spans="1:4" x14ac:dyDescent="0.2">
      <c r="A59" s="606" t="s">
        <v>359</v>
      </c>
      <c r="B59" s="606"/>
      <c r="C59" s="606"/>
      <c r="D59" s="606"/>
    </row>
    <row r="60" spans="1:4" x14ac:dyDescent="0.2">
      <c r="A60" s="26"/>
      <c r="B60" s="57"/>
      <c r="C60" s="57"/>
      <c r="D60" s="57"/>
    </row>
    <row r="61" spans="1:4" x14ac:dyDescent="0.2">
      <c r="A61" s="57">
        <f>inputPrYr!C3</f>
        <v>0</v>
      </c>
      <c r="B61" s="57"/>
      <c r="C61" s="25"/>
      <c r="D61" s="26">
        <f>D1</f>
        <v>2025</v>
      </c>
    </row>
    <row r="62" spans="1:4" x14ac:dyDescent="0.2">
      <c r="A62" s="26"/>
      <c r="B62" s="57"/>
      <c r="C62" s="57"/>
      <c r="D62" s="25"/>
    </row>
    <row r="63" spans="1:4" x14ac:dyDescent="0.2">
      <c r="A63" s="146" t="s">
        <v>181</v>
      </c>
      <c r="B63" s="155"/>
      <c r="C63" s="155"/>
      <c r="D63" s="155"/>
    </row>
    <row r="64" spans="1:4" x14ac:dyDescent="0.2">
      <c r="A64" s="26" t="s">
        <v>80</v>
      </c>
      <c r="B64" s="625" t="str">
        <f>CONCATENATE("Prior Year Actual for ",D61-2,"")</f>
        <v>Prior Year Actual for 2023</v>
      </c>
      <c r="C64" s="625" t="str">
        <f>CONCATENATE("Current Year Estimate for ",D61-1,"")</f>
        <v>Current Year Estimate for 2024</v>
      </c>
      <c r="D64" s="628" t="str">
        <f>CONCATENATE("Proposed Budget Year for ",D61,"")</f>
        <v>Proposed Budget Year for 2025</v>
      </c>
    </row>
    <row r="65" spans="1:4" x14ac:dyDescent="0.2">
      <c r="A65" s="44" t="s">
        <v>97</v>
      </c>
      <c r="B65" s="627"/>
      <c r="C65" s="627"/>
      <c r="D65" s="630"/>
    </row>
    <row r="66" spans="1:4" x14ac:dyDescent="0.2">
      <c r="A66" s="135" t="s">
        <v>93</v>
      </c>
      <c r="B66" s="50"/>
      <c r="C66" s="50"/>
      <c r="D66" s="50"/>
    </row>
    <row r="67" spans="1:4" x14ac:dyDescent="0.2">
      <c r="A67" s="154" t="s">
        <v>69</v>
      </c>
      <c r="B67" s="50"/>
      <c r="C67" s="50"/>
      <c r="D67" s="50"/>
    </row>
    <row r="68" spans="1:4" x14ac:dyDescent="0.2">
      <c r="A68" s="40" t="s">
        <v>99</v>
      </c>
      <c r="B68" s="140"/>
      <c r="C68" s="140"/>
      <c r="D68" s="140"/>
    </row>
    <row r="69" spans="1:4" x14ac:dyDescent="0.2">
      <c r="A69" s="40" t="s">
        <v>100</v>
      </c>
      <c r="B69" s="140"/>
      <c r="C69" s="140"/>
      <c r="D69" s="140"/>
    </row>
    <row r="70" spans="1:4" x14ac:dyDescent="0.2">
      <c r="A70" s="40" t="s">
        <v>101</v>
      </c>
      <c r="B70" s="140"/>
      <c r="C70" s="140"/>
      <c r="D70" s="140"/>
    </row>
    <row r="71" spans="1:4" x14ac:dyDescent="0.2">
      <c r="A71" s="40" t="s">
        <v>102</v>
      </c>
      <c r="B71" s="140"/>
      <c r="C71" s="140"/>
      <c r="D71" s="140"/>
    </row>
    <row r="72" spans="1:4" x14ac:dyDescent="0.2">
      <c r="A72" s="156" t="s">
        <v>54</v>
      </c>
      <c r="B72" s="50">
        <f>SUM(B68:B71)</f>
        <v>0</v>
      </c>
      <c r="C72" s="50">
        <f>SUM(C68:C71)</f>
        <v>0</v>
      </c>
      <c r="D72" s="50">
        <f>SUM(D68:D71)</f>
        <v>0</v>
      </c>
    </row>
    <row r="73" spans="1:4" x14ac:dyDescent="0.2">
      <c r="A73" s="154" t="s">
        <v>110</v>
      </c>
      <c r="B73" s="50"/>
      <c r="C73" s="50"/>
      <c r="D73" s="50"/>
    </row>
    <row r="74" spans="1:4" x14ac:dyDescent="0.2">
      <c r="A74" s="40" t="s">
        <v>99</v>
      </c>
      <c r="B74" s="140"/>
      <c r="C74" s="140"/>
      <c r="D74" s="140"/>
    </row>
    <row r="75" spans="1:4" x14ac:dyDescent="0.2">
      <c r="A75" s="40" t="s">
        <v>100</v>
      </c>
      <c r="B75" s="140"/>
      <c r="C75" s="140"/>
      <c r="D75" s="140"/>
    </row>
    <row r="76" spans="1:4" x14ac:dyDescent="0.2">
      <c r="A76" s="40" t="s">
        <v>101</v>
      </c>
      <c r="B76" s="140"/>
      <c r="C76" s="140"/>
      <c r="D76" s="140"/>
    </row>
    <row r="77" spans="1:4" x14ac:dyDescent="0.2">
      <c r="A77" s="40" t="s">
        <v>102</v>
      </c>
      <c r="B77" s="140"/>
      <c r="C77" s="140"/>
      <c r="D77" s="140"/>
    </row>
    <row r="78" spans="1:4" x14ac:dyDescent="0.2">
      <c r="A78" s="135" t="s">
        <v>54</v>
      </c>
      <c r="B78" s="50">
        <f>SUM(B74:B77)</f>
        <v>0</v>
      </c>
      <c r="C78" s="50">
        <f>SUM(C74:C77)</f>
        <v>0</v>
      </c>
      <c r="D78" s="50">
        <f>SUM(D74:D77)</f>
        <v>0</v>
      </c>
    </row>
    <row r="79" spans="1:4" x14ac:dyDescent="0.2">
      <c r="A79" s="154" t="s">
        <v>111</v>
      </c>
      <c r="B79" s="50"/>
      <c r="C79" s="50"/>
      <c r="D79" s="50"/>
    </row>
    <row r="80" spans="1:4" x14ac:dyDescent="0.2">
      <c r="A80" s="40" t="s">
        <v>99</v>
      </c>
      <c r="B80" s="140"/>
      <c r="C80" s="140"/>
      <c r="D80" s="140"/>
    </row>
    <row r="81" spans="1:4" x14ac:dyDescent="0.2">
      <c r="A81" s="40" t="s">
        <v>100</v>
      </c>
      <c r="B81" s="140"/>
      <c r="C81" s="140"/>
      <c r="D81" s="140"/>
    </row>
    <row r="82" spans="1:4" x14ac:dyDescent="0.2">
      <c r="A82" s="40" t="s">
        <v>101</v>
      </c>
      <c r="B82" s="140"/>
      <c r="C82" s="140"/>
      <c r="D82" s="140"/>
    </row>
    <row r="83" spans="1:4" x14ac:dyDescent="0.2">
      <c r="A83" s="40" t="s">
        <v>102</v>
      </c>
      <c r="B83" s="140"/>
      <c r="C83" s="140"/>
      <c r="D83" s="140"/>
    </row>
    <row r="84" spans="1:4" x14ac:dyDescent="0.2">
      <c r="A84" s="135" t="s">
        <v>54</v>
      </c>
      <c r="B84" s="50">
        <f>SUM(B80:B83)</f>
        <v>0</v>
      </c>
      <c r="C84" s="50">
        <f>SUM(C80:C83)</f>
        <v>0</v>
      </c>
      <c r="D84" s="50">
        <f>SUM(D80:D83)</f>
        <v>0</v>
      </c>
    </row>
    <row r="85" spans="1:4" x14ac:dyDescent="0.2">
      <c r="A85" s="154" t="s">
        <v>112</v>
      </c>
      <c r="B85" s="50"/>
      <c r="C85" s="50"/>
      <c r="D85" s="50"/>
    </row>
    <row r="86" spans="1:4" x14ac:dyDescent="0.2">
      <c r="A86" s="40" t="s">
        <v>113</v>
      </c>
      <c r="B86" s="140"/>
      <c r="C86" s="140"/>
      <c r="D86" s="140"/>
    </row>
    <row r="87" spans="1:4" x14ac:dyDescent="0.2">
      <c r="A87" s="40" t="s">
        <v>114</v>
      </c>
      <c r="B87" s="140"/>
      <c r="C87" s="140"/>
      <c r="D87" s="140"/>
    </row>
    <row r="88" spans="1:4" x14ac:dyDescent="0.2">
      <c r="A88" s="40" t="s">
        <v>115</v>
      </c>
      <c r="B88" s="140"/>
      <c r="C88" s="140"/>
      <c r="D88" s="140"/>
    </row>
    <row r="89" spans="1:4" x14ac:dyDescent="0.2">
      <c r="A89" s="131"/>
      <c r="B89" s="140"/>
      <c r="C89" s="140"/>
      <c r="D89" s="140"/>
    </row>
    <row r="90" spans="1:4" x14ac:dyDescent="0.2">
      <c r="A90" s="135" t="s">
        <v>54</v>
      </c>
      <c r="B90" s="50">
        <f>SUM(B86:B89)</f>
        <v>0</v>
      </c>
      <c r="C90" s="50">
        <f>SUM(C86:C89)</f>
        <v>0</v>
      </c>
      <c r="D90" s="50">
        <f>SUM(D86:D89)</f>
        <v>0</v>
      </c>
    </row>
    <row r="91" spans="1:4" x14ac:dyDescent="0.2">
      <c r="A91" s="154" t="s">
        <v>78</v>
      </c>
      <c r="B91" s="50"/>
      <c r="C91" s="50"/>
      <c r="D91" s="50"/>
    </row>
    <row r="92" spans="1:4" x14ac:dyDescent="0.2">
      <c r="A92" s="40" t="s">
        <v>99</v>
      </c>
      <c r="B92" s="140"/>
      <c r="C92" s="140"/>
      <c r="D92" s="140"/>
    </row>
    <row r="93" spans="1:4" x14ac:dyDescent="0.2">
      <c r="A93" s="40" t="s">
        <v>100</v>
      </c>
      <c r="B93" s="140"/>
      <c r="C93" s="140"/>
      <c r="D93" s="140"/>
    </row>
    <row r="94" spans="1:4" x14ac:dyDescent="0.2">
      <c r="A94" s="40" t="s">
        <v>101</v>
      </c>
      <c r="B94" s="140"/>
      <c r="C94" s="140"/>
      <c r="D94" s="140"/>
    </row>
    <row r="95" spans="1:4" x14ac:dyDescent="0.2">
      <c r="A95" s="40" t="s">
        <v>102</v>
      </c>
      <c r="B95" s="140"/>
      <c r="C95" s="140"/>
      <c r="D95" s="140"/>
    </row>
    <row r="96" spans="1:4" x14ac:dyDescent="0.2">
      <c r="A96" s="135" t="s">
        <v>54</v>
      </c>
      <c r="B96" s="50">
        <f>SUM(B92:B95)</f>
        <v>0</v>
      </c>
      <c r="C96" s="50">
        <f>SUM(C92:C95)</f>
        <v>0</v>
      </c>
      <c r="D96" s="50">
        <f>SUM(D92:D95)</f>
        <v>0</v>
      </c>
    </row>
    <row r="97" spans="1:4" x14ac:dyDescent="0.2">
      <c r="A97" s="154" t="s">
        <v>116</v>
      </c>
      <c r="B97" s="50"/>
      <c r="C97" s="50"/>
      <c r="D97" s="50"/>
    </row>
    <row r="98" spans="1:4" x14ac:dyDescent="0.2">
      <c r="A98" s="40" t="s">
        <v>99</v>
      </c>
      <c r="B98" s="140"/>
      <c r="C98" s="140"/>
      <c r="D98" s="140"/>
    </row>
    <row r="99" spans="1:4" x14ac:dyDescent="0.2">
      <c r="A99" s="40" t="s">
        <v>100</v>
      </c>
      <c r="B99" s="140"/>
      <c r="C99" s="140"/>
      <c r="D99" s="140"/>
    </row>
    <row r="100" spans="1:4" x14ac:dyDescent="0.2">
      <c r="A100" s="40" t="s">
        <v>101</v>
      </c>
      <c r="B100" s="140"/>
      <c r="C100" s="140"/>
      <c r="D100" s="140"/>
    </row>
    <row r="101" spans="1:4" x14ac:dyDescent="0.2">
      <c r="A101" s="40" t="s">
        <v>102</v>
      </c>
      <c r="B101" s="140"/>
      <c r="C101" s="140"/>
      <c r="D101" s="140"/>
    </row>
    <row r="102" spans="1:4" x14ac:dyDescent="0.2">
      <c r="A102" s="135" t="s">
        <v>54</v>
      </c>
      <c r="B102" s="50">
        <f>SUM(B98:B101)</f>
        <v>0</v>
      </c>
      <c r="C102" s="50">
        <f>SUM(C98:C101)</f>
        <v>0</v>
      </c>
      <c r="D102" s="50">
        <f>SUM(D98:D101)</f>
        <v>0</v>
      </c>
    </row>
    <row r="103" spans="1:4" x14ac:dyDescent="0.2">
      <c r="A103" s="154" t="s">
        <v>117</v>
      </c>
      <c r="B103" s="50"/>
      <c r="C103" s="50"/>
      <c r="D103" s="50"/>
    </row>
    <row r="104" spans="1:4" x14ac:dyDescent="0.2">
      <c r="A104" s="40" t="s">
        <v>99</v>
      </c>
      <c r="B104" s="140"/>
      <c r="C104" s="140"/>
      <c r="D104" s="140"/>
    </row>
    <row r="105" spans="1:4" x14ac:dyDescent="0.2">
      <c r="A105" s="40" t="s">
        <v>100</v>
      </c>
      <c r="B105" s="140"/>
      <c r="C105" s="140"/>
      <c r="D105" s="140"/>
    </row>
    <row r="106" spans="1:4" x14ac:dyDescent="0.2">
      <c r="A106" s="40" t="s">
        <v>101</v>
      </c>
      <c r="B106" s="140"/>
      <c r="C106" s="140"/>
      <c r="D106" s="140"/>
    </row>
    <row r="107" spans="1:4" x14ac:dyDescent="0.2">
      <c r="A107" s="40" t="s">
        <v>102</v>
      </c>
      <c r="B107" s="140"/>
      <c r="C107" s="140"/>
      <c r="D107" s="140"/>
    </row>
    <row r="108" spans="1:4" x14ac:dyDescent="0.2">
      <c r="A108" s="135" t="s">
        <v>54</v>
      </c>
      <c r="B108" s="50">
        <f>SUM(B104:B107)</f>
        <v>0</v>
      </c>
      <c r="C108" s="50">
        <f>SUM(C104:C107)</f>
        <v>0</v>
      </c>
      <c r="D108" s="50">
        <f>SUM(D104:D107)</f>
        <v>0</v>
      </c>
    </row>
    <row r="109" spans="1:4" x14ac:dyDescent="0.2">
      <c r="A109" s="154" t="s">
        <v>118</v>
      </c>
      <c r="B109" s="50"/>
      <c r="C109" s="50"/>
      <c r="D109" s="50"/>
    </row>
    <row r="110" spans="1:4" x14ac:dyDescent="0.2">
      <c r="A110" s="40" t="s">
        <v>99</v>
      </c>
      <c r="B110" s="140"/>
      <c r="C110" s="140"/>
      <c r="D110" s="140"/>
    </row>
    <row r="111" spans="1:4" x14ac:dyDescent="0.2">
      <c r="A111" s="40" t="s">
        <v>100</v>
      </c>
      <c r="B111" s="140"/>
      <c r="C111" s="140"/>
      <c r="D111" s="140"/>
    </row>
    <row r="112" spans="1:4" x14ac:dyDescent="0.2">
      <c r="A112" s="40" t="s">
        <v>101</v>
      </c>
      <c r="B112" s="140"/>
      <c r="C112" s="140"/>
      <c r="D112" s="140"/>
    </row>
    <row r="113" spans="1:4" x14ac:dyDescent="0.2">
      <c r="A113" s="40" t="s">
        <v>102</v>
      </c>
      <c r="B113" s="140"/>
      <c r="C113" s="140"/>
      <c r="D113" s="140"/>
    </row>
    <row r="114" spans="1:4" x14ac:dyDescent="0.2">
      <c r="A114" s="135" t="s">
        <v>54</v>
      </c>
      <c r="B114" s="50">
        <f>SUM(B110:B113)</f>
        <v>0</v>
      </c>
      <c r="C114" s="50">
        <f>SUM(C110:C113)</f>
        <v>0</v>
      </c>
      <c r="D114" s="50">
        <f>SUM(D110:D113)</f>
        <v>0</v>
      </c>
    </row>
    <row r="115" spans="1:4" x14ac:dyDescent="0.2">
      <c r="A115" s="26"/>
      <c r="B115" s="50"/>
      <c r="C115" s="50"/>
      <c r="D115" s="50"/>
    </row>
    <row r="116" spans="1:4" x14ac:dyDescent="0.2">
      <c r="A116" s="135" t="s">
        <v>363</v>
      </c>
      <c r="B116" s="517">
        <f>B72+B78+B84+B90+B96+B102+B108+B114</f>
        <v>0</v>
      </c>
      <c r="C116" s="517">
        <f>C72+C78+C84+C90+C96+C102+C108+C114</f>
        <v>0</v>
      </c>
      <c r="D116" s="517">
        <f>D72+D78+D84+D90+D96+D102+D108+D114</f>
        <v>0</v>
      </c>
    </row>
    <row r="117" spans="1:4" x14ac:dyDescent="0.2">
      <c r="A117" s="26"/>
      <c r="B117" s="57"/>
      <c r="C117" s="57"/>
      <c r="D117" s="57"/>
    </row>
    <row r="118" spans="1:4" x14ac:dyDescent="0.2">
      <c r="A118" s="606" t="s">
        <v>360</v>
      </c>
      <c r="B118" s="606"/>
      <c r="C118" s="606"/>
      <c r="D118" s="606"/>
    </row>
    <row r="119" spans="1:4" x14ac:dyDescent="0.2">
      <c r="A119" s="57">
        <f>inputPrYr!C3</f>
        <v>0</v>
      </c>
      <c r="B119" s="57"/>
      <c r="C119" s="25"/>
      <c r="D119" s="26">
        <f>D1</f>
        <v>2025</v>
      </c>
    </row>
    <row r="120" spans="1:4" x14ac:dyDescent="0.2">
      <c r="A120" s="26"/>
      <c r="B120" s="57"/>
      <c r="C120" s="57"/>
      <c r="D120" s="25"/>
    </row>
    <row r="121" spans="1:4" x14ac:dyDescent="0.2">
      <c r="A121" s="146" t="s">
        <v>181</v>
      </c>
      <c r="B121" s="155"/>
      <c r="C121" s="155"/>
      <c r="D121" s="155"/>
    </row>
    <row r="122" spans="1:4" x14ac:dyDescent="0.2">
      <c r="A122" s="26" t="s">
        <v>80</v>
      </c>
      <c r="B122" s="625" t="str">
        <f>CONCATENATE("Prior Year Actual for ",D119-2,"")</f>
        <v>Prior Year Actual for 2023</v>
      </c>
      <c r="C122" s="625" t="str">
        <f>CONCATENATE("Current Year Estimate for ",D119-1,"")</f>
        <v>Current Year Estimate for 2024</v>
      </c>
      <c r="D122" s="628" t="str">
        <f>CONCATENATE("Proposed Budget Year for ",D119,"")</f>
        <v>Proposed Budget Year for 2025</v>
      </c>
    </row>
    <row r="123" spans="1:4" x14ac:dyDescent="0.2">
      <c r="A123" s="44" t="s">
        <v>97</v>
      </c>
      <c r="B123" s="627"/>
      <c r="C123" s="627"/>
      <c r="D123" s="630"/>
    </row>
    <row r="124" spans="1:4" x14ac:dyDescent="0.2">
      <c r="A124" s="135" t="s">
        <v>93</v>
      </c>
      <c r="B124" s="50"/>
      <c r="C124" s="50"/>
      <c r="D124" s="50"/>
    </row>
    <row r="125" spans="1:4" x14ac:dyDescent="0.2">
      <c r="A125" s="154" t="s">
        <v>119</v>
      </c>
      <c r="B125" s="50"/>
      <c r="C125" s="50"/>
      <c r="D125" s="50"/>
    </row>
    <row r="126" spans="1:4" x14ac:dyDescent="0.2">
      <c r="A126" s="40" t="s">
        <v>120</v>
      </c>
      <c r="B126" s="140"/>
      <c r="C126" s="140"/>
      <c r="D126" s="140"/>
    </row>
    <row r="127" spans="1:4" x14ac:dyDescent="0.2">
      <c r="A127" s="40" t="s">
        <v>121</v>
      </c>
      <c r="B127" s="140"/>
      <c r="C127" s="140"/>
      <c r="D127" s="140"/>
    </row>
    <row r="128" spans="1:4" x14ac:dyDescent="0.2">
      <c r="A128" s="40" t="s">
        <v>122</v>
      </c>
      <c r="B128" s="140"/>
      <c r="C128" s="140"/>
      <c r="D128" s="140"/>
    </row>
    <row r="129" spans="1:4" x14ac:dyDescent="0.2">
      <c r="A129" s="40" t="s">
        <v>123</v>
      </c>
      <c r="B129" s="140"/>
      <c r="C129" s="140"/>
      <c r="D129" s="140"/>
    </row>
    <row r="130" spans="1:4" x14ac:dyDescent="0.2">
      <c r="A130" s="40" t="s">
        <v>124</v>
      </c>
      <c r="B130" s="140"/>
      <c r="C130" s="140"/>
      <c r="D130" s="140"/>
    </row>
    <row r="131" spans="1:4" x14ac:dyDescent="0.2">
      <c r="A131" s="40" t="s">
        <v>125</v>
      </c>
      <c r="B131" s="140"/>
      <c r="C131" s="140"/>
      <c r="D131" s="140"/>
    </row>
    <row r="132" spans="1:4" x14ac:dyDescent="0.2">
      <c r="A132" s="135" t="s">
        <v>54</v>
      </c>
      <c r="B132" s="50">
        <f>SUM(B126:B131)</f>
        <v>0</v>
      </c>
      <c r="C132" s="50">
        <f>SUM(C126:C131)</f>
        <v>0</v>
      </c>
      <c r="D132" s="50">
        <f>SUM(D126:D131)</f>
        <v>0</v>
      </c>
    </row>
    <row r="133" spans="1:4" x14ac:dyDescent="0.2">
      <c r="A133" s="154" t="s">
        <v>126</v>
      </c>
      <c r="B133" s="50"/>
      <c r="C133" s="50"/>
      <c r="D133" s="50"/>
    </row>
    <row r="134" spans="1:4" x14ac:dyDescent="0.2">
      <c r="A134" s="40" t="s">
        <v>99</v>
      </c>
      <c r="B134" s="140"/>
      <c r="C134" s="140"/>
      <c r="D134" s="140"/>
    </row>
    <row r="135" spans="1:4" x14ac:dyDescent="0.2">
      <c r="A135" s="40" t="s">
        <v>100</v>
      </c>
      <c r="B135" s="140"/>
      <c r="C135" s="140"/>
      <c r="D135" s="140"/>
    </row>
    <row r="136" spans="1:4" x14ac:dyDescent="0.2">
      <c r="A136" s="40" t="s">
        <v>101</v>
      </c>
      <c r="B136" s="140"/>
      <c r="C136" s="140"/>
      <c r="D136" s="140"/>
    </row>
    <row r="137" spans="1:4" x14ac:dyDescent="0.2">
      <c r="A137" s="40" t="s">
        <v>102</v>
      </c>
      <c r="B137" s="140"/>
      <c r="C137" s="140"/>
      <c r="D137" s="140"/>
    </row>
    <row r="138" spans="1:4" x14ac:dyDescent="0.2">
      <c r="A138" s="135" t="s">
        <v>54</v>
      </c>
      <c r="B138" s="50">
        <f>SUM(B134:B137)</f>
        <v>0</v>
      </c>
      <c r="C138" s="50">
        <f>SUM(C134:C137)</f>
        <v>0</v>
      </c>
      <c r="D138" s="50">
        <f>SUM(D134:D137)</f>
        <v>0</v>
      </c>
    </row>
    <row r="139" spans="1:4" x14ac:dyDescent="0.2">
      <c r="A139" s="154" t="s">
        <v>127</v>
      </c>
      <c r="B139" s="50"/>
      <c r="C139" s="50"/>
      <c r="D139" s="50"/>
    </row>
    <row r="140" spans="1:4" x14ac:dyDescent="0.2">
      <c r="A140" s="40" t="s">
        <v>99</v>
      </c>
      <c r="B140" s="140"/>
      <c r="C140" s="140"/>
      <c r="D140" s="140"/>
    </row>
    <row r="141" spans="1:4" x14ac:dyDescent="0.2">
      <c r="A141" s="40" t="s">
        <v>100</v>
      </c>
      <c r="B141" s="140"/>
      <c r="C141" s="140"/>
      <c r="D141" s="140"/>
    </row>
    <row r="142" spans="1:4" x14ac:dyDescent="0.2">
      <c r="A142" s="40" t="s">
        <v>101</v>
      </c>
      <c r="B142" s="140"/>
      <c r="C142" s="140"/>
      <c r="D142" s="140"/>
    </row>
    <row r="143" spans="1:4" x14ac:dyDescent="0.2">
      <c r="A143" s="40" t="s">
        <v>102</v>
      </c>
      <c r="B143" s="140"/>
      <c r="C143" s="140"/>
      <c r="D143" s="140"/>
    </row>
    <row r="144" spans="1:4" x14ac:dyDescent="0.2">
      <c r="A144" s="135" t="s">
        <v>54</v>
      </c>
      <c r="B144" s="50">
        <f>SUM(B140:B143)</f>
        <v>0</v>
      </c>
      <c r="C144" s="50">
        <f>SUM(C140:C143)</f>
        <v>0</v>
      </c>
      <c r="D144" s="50">
        <f>SUM(D140:D143)</f>
        <v>0</v>
      </c>
    </row>
    <row r="145" spans="1:4" x14ac:dyDescent="0.2">
      <c r="A145" s="154" t="s">
        <v>128</v>
      </c>
      <c r="B145" s="50"/>
      <c r="C145" s="50"/>
      <c r="D145" s="50"/>
    </row>
    <row r="146" spans="1:4" x14ac:dyDescent="0.2">
      <c r="A146" s="40" t="s">
        <v>99</v>
      </c>
      <c r="B146" s="140"/>
      <c r="C146" s="140"/>
      <c r="D146" s="140"/>
    </row>
    <row r="147" spans="1:4" x14ac:dyDescent="0.2">
      <c r="A147" s="40" t="s">
        <v>100</v>
      </c>
      <c r="B147" s="140"/>
      <c r="C147" s="140"/>
      <c r="D147" s="140"/>
    </row>
    <row r="148" spans="1:4" x14ac:dyDescent="0.2">
      <c r="A148" s="40" t="s">
        <v>101</v>
      </c>
      <c r="B148" s="140"/>
      <c r="C148" s="140"/>
      <c r="D148" s="140"/>
    </row>
    <row r="149" spans="1:4" x14ac:dyDescent="0.2">
      <c r="A149" s="40" t="s">
        <v>102</v>
      </c>
      <c r="B149" s="140"/>
      <c r="C149" s="140"/>
      <c r="D149" s="140"/>
    </row>
    <row r="150" spans="1:4" x14ac:dyDescent="0.2">
      <c r="A150" s="135" t="s">
        <v>54</v>
      </c>
      <c r="B150" s="50">
        <f>SUM(B146:B149)</f>
        <v>0</v>
      </c>
      <c r="C150" s="50">
        <f>SUM(C146:C149)</f>
        <v>0</v>
      </c>
      <c r="D150" s="50">
        <f>SUM(D146:D149)</f>
        <v>0</v>
      </c>
    </row>
    <row r="151" spans="1:4" x14ac:dyDescent="0.2">
      <c r="A151" s="154" t="s">
        <v>129</v>
      </c>
      <c r="B151" s="50"/>
      <c r="C151" s="50"/>
      <c r="D151" s="50"/>
    </row>
    <row r="152" spans="1:4" x14ac:dyDescent="0.2">
      <c r="A152" s="40" t="s">
        <v>99</v>
      </c>
      <c r="B152" s="140"/>
      <c r="C152" s="140"/>
      <c r="D152" s="140"/>
    </row>
    <row r="153" spans="1:4" x14ac:dyDescent="0.2">
      <c r="A153" s="40" t="s">
        <v>100</v>
      </c>
      <c r="B153" s="140"/>
      <c r="C153" s="140"/>
      <c r="D153" s="140"/>
    </row>
    <row r="154" spans="1:4" x14ac:dyDescent="0.2">
      <c r="A154" s="40" t="s">
        <v>101</v>
      </c>
      <c r="B154" s="140"/>
      <c r="C154" s="140"/>
      <c r="D154" s="140"/>
    </row>
    <row r="155" spans="1:4" x14ac:dyDescent="0.2">
      <c r="A155" s="40" t="s">
        <v>102</v>
      </c>
      <c r="B155" s="140"/>
      <c r="C155" s="140"/>
      <c r="D155" s="140"/>
    </row>
    <row r="156" spans="1:4" x14ac:dyDescent="0.2">
      <c r="A156" s="135" t="s">
        <v>54</v>
      </c>
      <c r="B156" s="50">
        <f>SUM(B152:B155)</f>
        <v>0</v>
      </c>
      <c r="C156" s="50">
        <f>SUM(C152:C155)</f>
        <v>0</v>
      </c>
      <c r="D156" s="50">
        <f>SUM(D152:D155)</f>
        <v>0</v>
      </c>
    </row>
    <row r="157" spans="1:4" x14ac:dyDescent="0.2">
      <c r="A157" s="154" t="s">
        <v>130</v>
      </c>
      <c r="B157" s="50"/>
      <c r="C157" s="50"/>
      <c r="D157" s="50"/>
    </row>
    <row r="158" spans="1:4" x14ac:dyDescent="0.2">
      <c r="A158" s="40" t="s">
        <v>99</v>
      </c>
      <c r="B158" s="140"/>
      <c r="C158" s="140"/>
      <c r="D158" s="140"/>
    </row>
    <row r="159" spans="1:4" x14ac:dyDescent="0.2">
      <c r="A159" s="40" t="s">
        <v>100</v>
      </c>
      <c r="B159" s="140"/>
      <c r="C159" s="140"/>
      <c r="D159" s="140"/>
    </row>
    <row r="160" spans="1:4" x14ac:dyDescent="0.2">
      <c r="A160" s="40" t="s">
        <v>101</v>
      </c>
      <c r="B160" s="140"/>
      <c r="C160" s="140"/>
      <c r="D160" s="140"/>
    </row>
    <row r="161" spans="1:4" x14ac:dyDescent="0.2">
      <c r="A161" s="40" t="s">
        <v>102</v>
      </c>
      <c r="B161" s="228"/>
      <c r="C161" s="228"/>
      <c r="D161" s="228"/>
    </row>
    <row r="162" spans="1:4" x14ac:dyDescent="0.2">
      <c r="A162" s="135" t="s">
        <v>54</v>
      </c>
      <c r="B162" s="50">
        <f>SUM(B158:B161)</f>
        <v>0</v>
      </c>
      <c r="C162" s="50">
        <f>SUM(C158:C161)</f>
        <v>0</v>
      </c>
      <c r="D162" s="50">
        <f>SUM(D158:D161)</f>
        <v>0</v>
      </c>
    </row>
    <row r="163" spans="1:4" x14ac:dyDescent="0.2">
      <c r="A163" s="154" t="s">
        <v>72</v>
      </c>
      <c r="B163" s="50"/>
      <c r="C163" s="50"/>
      <c r="D163" s="50"/>
    </row>
    <row r="164" spans="1:4" x14ac:dyDescent="0.2">
      <c r="A164" s="40" t="s">
        <v>99</v>
      </c>
      <c r="B164" s="140"/>
      <c r="C164" s="140"/>
      <c r="D164" s="140"/>
    </row>
    <row r="165" spans="1:4" x14ac:dyDescent="0.2">
      <c r="A165" s="40" t="s">
        <v>100</v>
      </c>
      <c r="B165" s="140"/>
      <c r="C165" s="140"/>
      <c r="D165" s="140"/>
    </row>
    <row r="166" spans="1:4" x14ac:dyDescent="0.2">
      <c r="A166" s="40" t="s">
        <v>101</v>
      </c>
      <c r="B166" s="140"/>
      <c r="C166" s="140"/>
      <c r="D166" s="140"/>
    </row>
    <row r="167" spans="1:4" x14ac:dyDescent="0.2">
      <c r="A167" s="40" t="s">
        <v>102</v>
      </c>
      <c r="B167" s="140"/>
      <c r="C167" s="140"/>
      <c r="D167" s="140"/>
    </row>
    <row r="168" spans="1:4" x14ac:dyDescent="0.2">
      <c r="A168" s="135" t="s">
        <v>54</v>
      </c>
      <c r="B168" s="50">
        <f>SUM(B164:B167)</f>
        <v>0</v>
      </c>
      <c r="C168" s="50">
        <f>SUM(C164:C167)</f>
        <v>0</v>
      </c>
      <c r="D168" s="50">
        <f>SUM(D164:D167)</f>
        <v>0</v>
      </c>
    </row>
    <row r="169" spans="1:4" x14ac:dyDescent="0.2">
      <c r="A169" s="154" t="s">
        <v>79</v>
      </c>
      <c r="B169" s="50"/>
      <c r="C169" s="50"/>
      <c r="D169" s="50"/>
    </row>
    <row r="170" spans="1:4" x14ac:dyDescent="0.2">
      <c r="A170" s="40" t="s">
        <v>99</v>
      </c>
      <c r="B170" s="140"/>
      <c r="C170" s="140"/>
      <c r="D170" s="140"/>
    </row>
    <row r="171" spans="1:4" x14ac:dyDescent="0.2">
      <c r="A171" s="40" t="s">
        <v>100</v>
      </c>
      <c r="B171" s="140"/>
      <c r="C171" s="140"/>
      <c r="D171" s="140"/>
    </row>
    <row r="172" spans="1:4" x14ac:dyDescent="0.2">
      <c r="A172" s="40" t="s">
        <v>101</v>
      </c>
      <c r="B172" s="140"/>
      <c r="C172" s="140"/>
      <c r="D172" s="140"/>
    </row>
    <row r="173" spans="1:4" x14ac:dyDescent="0.2">
      <c r="A173" s="40" t="s">
        <v>102</v>
      </c>
      <c r="B173" s="140"/>
      <c r="C173" s="140"/>
      <c r="D173" s="140"/>
    </row>
    <row r="174" spans="1:4" x14ac:dyDescent="0.2">
      <c r="A174" s="135" t="s">
        <v>54</v>
      </c>
      <c r="B174" s="50">
        <f>SUM(B170:B173)</f>
        <v>0</v>
      </c>
      <c r="C174" s="50">
        <f>SUM(C170:C173)</f>
        <v>0</v>
      </c>
      <c r="D174" s="50">
        <f>SUM(D170:D173)</f>
        <v>0</v>
      </c>
    </row>
    <row r="175" spans="1:4" x14ac:dyDescent="0.2">
      <c r="A175" s="135"/>
      <c r="B175" s="50"/>
      <c r="C175" s="50"/>
      <c r="D175" s="50"/>
    </row>
    <row r="176" spans="1:4" x14ac:dyDescent="0.2">
      <c r="A176" s="135" t="s">
        <v>365</v>
      </c>
      <c r="B176" s="517">
        <f>B132+B138+B144+B150+B156+B162+B168+B174</f>
        <v>0</v>
      </c>
      <c r="C176" s="517">
        <f>C132+C138+C144+C150+C156+C162+C168+C174</f>
        <v>0</v>
      </c>
      <c r="D176" s="517">
        <f>D132+D138+D144+D150+D156+D162+D168+D174</f>
        <v>0</v>
      </c>
    </row>
    <row r="177" spans="1:4" x14ac:dyDescent="0.2">
      <c r="A177" s="26"/>
      <c r="B177" s="57"/>
      <c r="C177" s="57"/>
      <c r="D177" s="57"/>
    </row>
    <row r="178" spans="1:4" x14ac:dyDescent="0.2">
      <c r="A178" s="606" t="s">
        <v>361</v>
      </c>
      <c r="B178" s="606"/>
      <c r="C178" s="606"/>
      <c r="D178" s="606"/>
    </row>
    <row r="179" spans="1:4" x14ac:dyDescent="0.2">
      <c r="A179" s="57">
        <f>inputPrYr!C3</f>
        <v>0</v>
      </c>
      <c r="B179" s="57"/>
      <c r="C179" s="25"/>
      <c r="D179" s="26">
        <f>D1</f>
        <v>2025</v>
      </c>
    </row>
    <row r="180" spans="1:4" x14ac:dyDescent="0.2">
      <c r="A180" s="26"/>
      <c r="B180" s="57"/>
      <c r="C180" s="57"/>
      <c r="D180" s="25"/>
    </row>
    <row r="181" spans="1:4" x14ac:dyDescent="0.2">
      <c r="A181" s="146" t="s">
        <v>181</v>
      </c>
      <c r="B181" s="155"/>
      <c r="C181" s="155"/>
      <c r="D181" s="155"/>
    </row>
    <row r="182" spans="1:4" x14ac:dyDescent="0.2">
      <c r="A182" s="26" t="s">
        <v>80</v>
      </c>
      <c r="B182" s="625" t="str">
        <f>CONCATENATE("Prior Year Actual for ",D179-2,"")</f>
        <v>Prior Year Actual for 2023</v>
      </c>
      <c r="C182" s="625" t="str">
        <f>CONCATENATE("Current Year Estimate for ",D179-1,"")</f>
        <v>Current Year Estimate for 2024</v>
      </c>
      <c r="D182" s="628" t="str">
        <f>CONCATENATE("Proposed Budget Year for ",D179,"")</f>
        <v>Proposed Budget Year for 2025</v>
      </c>
    </row>
    <row r="183" spans="1:4" x14ac:dyDescent="0.2">
      <c r="A183" s="44" t="s">
        <v>97</v>
      </c>
      <c r="B183" s="627"/>
      <c r="C183" s="627"/>
      <c r="D183" s="630"/>
    </row>
    <row r="184" spans="1:4" x14ac:dyDescent="0.2">
      <c r="A184" s="135" t="s">
        <v>93</v>
      </c>
      <c r="B184" s="50"/>
      <c r="C184" s="50"/>
      <c r="D184" s="50"/>
    </row>
    <row r="185" spans="1:4" x14ac:dyDescent="0.2">
      <c r="A185" s="154" t="s">
        <v>131</v>
      </c>
      <c r="B185" s="50"/>
      <c r="C185" s="50"/>
      <c r="D185" s="50"/>
    </row>
    <row r="186" spans="1:4" x14ac:dyDescent="0.2">
      <c r="A186" s="40" t="s">
        <v>99</v>
      </c>
      <c r="B186" s="140"/>
      <c r="C186" s="140"/>
      <c r="D186" s="140"/>
    </row>
    <row r="187" spans="1:4" x14ac:dyDescent="0.2">
      <c r="A187" s="40" t="s">
        <v>100</v>
      </c>
      <c r="B187" s="140"/>
      <c r="C187" s="140"/>
      <c r="D187" s="140"/>
    </row>
    <row r="188" spans="1:4" x14ac:dyDescent="0.2">
      <c r="A188" s="40" t="s">
        <v>101</v>
      </c>
      <c r="B188" s="140"/>
      <c r="C188" s="140"/>
      <c r="D188" s="140"/>
    </row>
    <row r="189" spans="1:4" x14ac:dyDescent="0.2">
      <c r="A189" s="40" t="s">
        <v>102</v>
      </c>
      <c r="B189" s="140"/>
      <c r="C189" s="140"/>
      <c r="D189" s="140"/>
    </row>
    <row r="190" spans="1:4" x14ac:dyDescent="0.2">
      <c r="A190" s="135" t="s">
        <v>54</v>
      </c>
      <c r="B190" s="50">
        <f>SUM(B186:B189)</f>
        <v>0</v>
      </c>
      <c r="C190" s="50">
        <f>SUM(C186:C189)</f>
        <v>0</v>
      </c>
      <c r="D190" s="50">
        <f>SUM(D186:D189)</f>
        <v>0</v>
      </c>
    </row>
    <row r="191" spans="1:4" x14ac:dyDescent="0.2">
      <c r="A191" s="154" t="s">
        <v>132</v>
      </c>
      <c r="B191" s="50"/>
      <c r="C191" s="50"/>
      <c r="D191" s="50"/>
    </row>
    <row r="192" spans="1:4" x14ac:dyDescent="0.2">
      <c r="A192" s="40" t="s">
        <v>99</v>
      </c>
      <c r="B192" s="140"/>
      <c r="C192" s="140"/>
      <c r="D192" s="140"/>
    </row>
    <row r="193" spans="1:4" x14ac:dyDescent="0.2">
      <c r="A193" s="40" t="s">
        <v>100</v>
      </c>
      <c r="B193" s="140"/>
      <c r="C193" s="140"/>
      <c r="D193" s="140"/>
    </row>
    <row r="194" spans="1:4" x14ac:dyDescent="0.2">
      <c r="A194" s="40" t="s">
        <v>101</v>
      </c>
      <c r="B194" s="140"/>
      <c r="C194" s="140"/>
      <c r="D194" s="140"/>
    </row>
    <row r="195" spans="1:4" x14ac:dyDescent="0.2">
      <c r="A195" s="40" t="s">
        <v>102</v>
      </c>
      <c r="B195" s="140"/>
      <c r="C195" s="140"/>
      <c r="D195" s="140"/>
    </row>
    <row r="196" spans="1:4" x14ac:dyDescent="0.2">
      <c r="A196" s="135" t="s">
        <v>54</v>
      </c>
      <c r="B196" s="50">
        <f>SUM(B192:B195)</f>
        <v>0</v>
      </c>
      <c r="C196" s="50">
        <f>SUM(C192:C195)</f>
        <v>0</v>
      </c>
      <c r="D196" s="50">
        <f>SUM(D192:D195)</f>
        <v>0</v>
      </c>
    </row>
    <row r="197" spans="1:4" x14ac:dyDescent="0.2">
      <c r="A197" s="154" t="s">
        <v>133</v>
      </c>
      <c r="B197" s="50"/>
      <c r="C197" s="50"/>
      <c r="D197" s="50"/>
    </row>
    <row r="198" spans="1:4" x14ac:dyDescent="0.2">
      <c r="A198" s="40" t="s">
        <v>99</v>
      </c>
      <c r="B198" s="140"/>
      <c r="C198" s="140"/>
      <c r="D198" s="140"/>
    </row>
    <row r="199" spans="1:4" x14ac:dyDescent="0.2">
      <c r="A199" s="40" t="s">
        <v>100</v>
      </c>
      <c r="B199" s="140"/>
      <c r="C199" s="140"/>
      <c r="D199" s="140"/>
    </row>
    <row r="200" spans="1:4" x14ac:dyDescent="0.2">
      <c r="A200" s="40" t="s">
        <v>101</v>
      </c>
      <c r="B200" s="140"/>
      <c r="C200" s="140"/>
      <c r="D200" s="140"/>
    </row>
    <row r="201" spans="1:4" x14ac:dyDescent="0.2">
      <c r="A201" s="40" t="s">
        <v>102</v>
      </c>
      <c r="B201" s="140"/>
      <c r="C201" s="140"/>
      <c r="D201" s="140"/>
    </row>
    <row r="202" spans="1:4" x14ac:dyDescent="0.2">
      <c r="A202" s="135" t="s">
        <v>54</v>
      </c>
      <c r="B202" s="50">
        <f>SUM(B198:B201)</f>
        <v>0</v>
      </c>
      <c r="C202" s="50">
        <f>SUM(C198:C201)</f>
        <v>0</v>
      </c>
      <c r="D202" s="50">
        <f>SUM(D198:D201)</f>
        <v>0</v>
      </c>
    </row>
    <row r="203" spans="1:4" x14ac:dyDescent="0.2">
      <c r="A203" s="154" t="s">
        <v>71</v>
      </c>
      <c r="B203" s="50"/>
      <c r="C203" s="50"/>
      <c r="D203" s="50"/>
    </row>
    <row r="204" spans="1:4" x14ac:dyDescent="0.2">
      <c r="A204" s="40" t="s">
        <v>99</v>
      </c>
      <c r="B204" s="140"/>
      <c r="C204" s="140"/>
      <c r="D204" s="140"/>
    </row>
    <row r="205" spans="1:4" x14ac:dyDescent="0.2">
      <c r="A205" s="40" t="s">
        <v>100</v>
      </c>
      <c r="B205" s="140"/>
      <c r="C205" s="140"/>
      <c r="D205" s="140"/>
    </row>
    <row r="206" spans="1:4" x14ac:dyDescent="0.2">
      <c r="A206" s="40" t="s">
        <v>101</v>
      </c>
      <c r="B206" s="140"/>
      <c r="C206" s="140"/>
      <c r="D206" s="140"/>
    </row>
    <row r="207" spans="1:4" x14ac:dyDescent="0.2">
      <c r="A207" s="40" t="s">
        <v>102</v>
      </c>
      <c r="B207" s="140"/>
      <c r="C207" s="140"/>
      <c r="D207" s="140"/>
    </row>
    <row r="208" spans="1:4" x14ac:dyDescent="0.2">
      <c r="A208" s="135" t="s">
        <v>54</v>
      </c>
      <c r="B208" s="50">
        <f>SUM(B204:B207)</f>
        <v>0</v>
      </c>
      <c r="C208" s="50">
        <f>SUM(C204:C207)</f>
        <v>0</v>
      </c>
      <c r="D208" s="50">
        <f>SUM(D204:D207)</f>
        <v>0</v>
      </c>
    </row>
    <row r="209" spans="1:4" x14ac:dyDescent="0.2">
      <c r="A209" s="154" t="s">
        <v>134</v>
      </c>
      <c r="B209" s="50"/>
      <c r="C209" s="50"/>
      <c r="D209" s="50"/>
    </row>
    <row r="210" spans="1:4" x14ac:dyDescent="0.2">
      <c r="A210" s="40" t="s">
        <v>99</v>
      </c>
      <c r="B210" s="140"/>
      <c r="C210" s="140"/>
      <c r="D210" s="140"/>
    </row>
    <row r="211" spans="1:4" x14ac:dyDescent="0.2">
      <c r="A211" s="40" t="s">
        <v>100</v>
      </c>
      <c r="B211" s="140"/>
      <c r="C211" s="140"/>
      <c r="D211" s="140"/>
    </row>
    <row r="212" spans="1:4" x14ac:dyDescent="0.2">
      <c r="A212" s="40" t="s">
        <v>101</v>
      </c>
      <c r="B212" s="140"/>
      <c r="C212" s="140"/>
      <c r="D212" s="140"/>
    </row>
    <row r="213" spans="1:4" x14ac:dyDescent="0.2">
      <c r="A213" s="40" t="s">
        <v>102</v>
      </c>
      <c r="B213" s="140"/>
      <c r="C213" s="140"/>
      <c r="D213" s="140"/>
    </row>
    <row r="214" spans="1:4" x14ac:dyDescent="0.2">
      <c r="A214" s="135" t="s">
        <v>54</v>
      </c>
      <c r="B214" s="50">
        <f>SUM(B210:B213)</f>
        <v>0</v>
      </c>
      <c r="C214" s="50">
        <f>SUM(C210:C213)</f>
        <v>0</v>
      </c>
      <c r="D214" s="50">
        <f>SUM(D210:D213)</f>
        <v>0</v>
      </c>
    </row>
    <row r="215" spans="1:4" x14ac:dyDescent="0.2">
      <c r="A215" s="154" t="s">
        <v>135</v>
      </c>
      <c r="B215" s="50"/>
      <c r="C215" s="50"/>
      <c r="D215" s="50"/>
    </row>
    <row r="216" spans="1:4" x14ac:dyDescent="0.2">
      <c r="A216" s="40" t="s">
        <v>99</v>
      </c>
      <c r="B216" s="140"/>
      <c r="C216" s="140"/>
      <c r="D216" s="140"/>
    </row>
    <row r="217" spans="1:4" x14ac:dyDescent="0.2">
      <c r="A217" s="40" t="s">
        <v>100</v>
      </c>
      <c r="B217" s="140"/>
      <c r="C217" s="140"/>
      <c r="D217" s="140"/>
    </row>
    <row r="218" spans="1:4" x14ac:dyDescent="0.2">
      <c r="A218" s="40" t="s">
        <v>101</v>
      </c>
      <c r="B218" s="140"/>
      <c r="C218" s="140"/>
      <c r="D218" s="140"/>
    </row>
    <row r="219" spans="1:4" x14ac:dyDescent="0.2">
      <c r="A219" s="40" t="s">
        <v>102</v>
      </c>
      <c r="B219" s="140"/>
      <c r="C219" s="140"/>
      <c r="D219" s="140"/>
    </row>
    <row r="220" spans="1:4" x14ac:dyDescent="0.2">
      <c r="A220" s="135" t="s">
        <v>54</v>
      </c>
      <c r="B220" s="50">
        <f>SUM(B216:B219)</f>
        <v>0</v>
      </c>
      <c r="C220" s="50">
        <f>SUM(C216:C219)</f>
        <v>0</v>
      </c>
      <c r="D220" s="50">
        <f>SUM(D216:D219)</f>
        <v>0</v>
      </c>
    </row>
    <row r="221" spans="1:4" x14ac:dyDescent="0.2">
      <c r="A221" s="154" t="s">
        <v>145</v>
      </c>
      <c r="B221" s="50"/>
      <c r="C221" s="50"/>
      <c r="D221" s="50"/>
    </row>
    <row r="222" spans="1:4" x14ac:dyDescent="0.2">
      <c r="A222" s="40" t="s">
        <v>100</v>
      </c>
      <c r="B222" s="140"/>
      <c r="C222" s="140"/>
      <c r="D222" s="140"/>
    </row>
    <row r="223" spans="1:4" x14ac:dyDescent="0.2">
      <c r="A223" s="135" t="s">
        <v>54</v>
      </c>
      <c r="B223" s="50">
        <f>B222</f>
        <v>0</v>
      </c>
      <c r="C223" s="50">
        <f>C222</f>
        <v>0</v>
      </c>
      <c r="D223" s="50">
        <f>D222</f>
        <v>0</v>
      </c>
    </row>
    <row r="224" spans="1:4" x14ac:dyDescent="0.2">
      <c r="A224" s="154" t="s">
        <v>136</v>
      </c>
      <c r="B224" s="50"/>
      <c r="C224" s="50"/>
      <c r="D224" s="50"/>
    </row>
    <row r="225" spans="1:4" x14ac:dyDescent="0.2">
      <c r="A225" s="40" t="s">
        <v>99</v>
      </c>
      <c r="B225" s="140"/>
      <c r="C225" s="140"/>
      <c r="D225" s="140"/>
    </row>
    <row r="226" spans="1:4" x14ac:dyDescent="0.2">
      <c r="A226" s="40" t="s">
        <v>100</v>
      </c>
      <c r="B226" s="140"/>
      <c r="C226" s="140"/>
      <c r="D226" s="140"/>
    </row>
    <row r="227" spans="1:4" x14ac:dyDescent="0.2">
      <c r="A227" s="40" t="s">
        <v>101</v>
      </c>
      <c r="B227" s="140"/>
      <c r="C227" s="140"/>
      <c r="D227" s="140"/>
    </row>
    <row r="228" spans="1:4" x14ac:dyDescent="0.2">
      <c r="A228" s="40" t="s">
        <v>102</v>
      </c>
      <c r="B228" s="140"/>
      <c r="C228" s="140"/>
      <c r="D228" s="140"/>
    </row>
    <row r="229" spans="1:4" x14ac:dyDescent="0.2">
      <c r="A229" s="135" t="s">
        <v>54</v>
      </c>
      <c r="B229" s="50">
        <f>SUM(B225:B228)</f>
        <v>0</v>
      </c>
      <c r="C229" s="50">
        <f>SUM(C225:C228)</f>
        <v>0</v>
      </c>
      <c r="D229" s="50">
        <f>SUM(D225:D228)</f>
        <v>0</v>
      </c>
    </row>
    <row r="230" spans="1:4" x14ac:dyDescent="0.2">
      <c r="A230" s="154" t="s">
        <v>137</v>
      </c>
      <c r="B230" s="50"/>
      <c r="C230" s="50"/>
      <c r="D230" s="50"/>
    </row>
    <row r="231" spans="1:4" x14ac:dyDescent="0.2">
      <c r="A231" s="40" t="s">
        <v>99</v>
      </c>
      <c r="B231" s="140"/>
      <c r="C231" s="140"/>
      <c r="D231" s="140"/>
    </row>
    <row r="232" spans="1:4" x14ac:dyDescent="0.2">
      <c r="A232" s="40" t="s">
        <v>100</v>
      </c>
      <c r="B232" s="140"/>
      <c r="C232" s="140"/>
      <c r="D232" s="140"/>
    </row>
    <row r="233" spans="1:4" x14ac:dyDescent="0.2">
      <c r="A233" s="40" t="s">
        <v>101</v>
      </c>
      <c r="B233" s="140"/>
      <c r="C233" s="140"/>
      <c r="D233" s="140"/>
    </row>
    <row r="234" spans="1:4" x14ac:dyDescent="0.2">
      <c r="A234" s="40" t="s">
        <v>102</v>
      </c>
      <c r="B234" s="140"/>
      <c r="C234" s="140"/>
      <c r="D234" s="140"/>
    </row>
    <row r="235" spans="1:4" x14ac:dyDescent="0.2">
      <c r="A235" s="135" t="s">
        <v>54</v>
      </c>
      <c r="B235" s="50">
        <f>SUM(B231:B234)</f>
        <v>0</v>
      </c>
      <c r="C235" s="50">
        <f>SUM(C231:C234)</f>
        <v>0</v>
      </c>
      <c r="D235" s="50">
        <f>SUM(D231:D234)</f>
        <v>0</v>
      </c>
    </row>
    <row r="236" spans="1:4" x14ac:dyDescent="0.2">
      <c r="A236" s="135"/>
      <c r="B236" s="50"/>
      <c r="C236" s="50"/>
      <c r="D236" s="50"/>
    </row>
    <row r="237" spans="1:4" x14ac:dyDescent="0.2">
      <c r="A237" s="135" t="s">
        <v>563</v>
      </c>
      <c r="B237" s="517">
        <f>B190+B196+B202+B208+B214+B220+B222+B229+B235</f>
        <v>0</v>
      </c>
      <c r="C237" s="517">
        <f>C190+C196+C202+C208+C214+C220+C222+C229+C235</f>
        <v>0</v>
      </c>
      <c r="D237" s="517">
        <f>D190+D196+D202+D208+D214+D220+D222+D229+D235</f>
        <v>0</v>
      </c>
    </row>
    <row r="238" spans="1:4" x14ac:dyDescent="0.2">
      <c r="A238" s="26"/>
      <c r="B238" s="57"/>
      <c r="C238" s="57"/>
      <c r="D238" s="57"/>
    </row>
    <row r="239" spans="1:4" x14ac:dyDescent="0.2">
      <c r="A239" s="606" t="s">
        <v>362</v>
      </c>
      <c r="B239" s="606"/>
      <c r="C239" s="606"/>
      <c r="D239" s="606"/>
    </row>
    <row r="240" spans="1:4" x14ac:dyDescent="0.2">
      <c r="A240" s="57">
        <f>inputPrYr!C3</f>
        <v>0</v>
      </c>
      <c r="B240" s="57"/>
      <c r="C240" s="25"/>
      <c r="D240" s="26">
        <f>D1</f>
        <v>2025</v>
      </c>
    </row>
    <row r="241" spans="1:4" x14ac:dyDescent="0.2">
      <c r="A241" s="26"/>
      <c r="B241" s="57"/>
      <c r="C241" s="57"/>
      <c r="D241" s="25"/>
    </row>
    <row r="242" spans="1:4" x14ac:dyDescent="0.2">
      <c r="A242" s="146" t="s">
        <v>181</v>
      </c>
      <c r="B242" s="155"/>
      <c r="C242" s="155"/>
      <c r="D242" s="155"/>
    </row>
    <row r="243" spans="1:4" x14ac:dyDescent="0.2">
      <c r="A243" s="26" t="s">
        <v>80</v>
      </c>
      <c r="B243" s="625" t="str">
        <f>CONCATENATE("Prior Year Actual for ",D240-2,"")</f>
        <v>Prior Year Actual for 2023</v>
      </c>
      <c r="C243" s="625" t="str">
        <f>CONCATENATE("Current Year Estimate for ",D240-1,"")</f>
        <v>Current Year Estimate for 2024</v>
      </c>
      <c r="D243" s="628" t="str">
        <f>CONCATENATE("Proposed Budget Year for ",D240,"")</f>
        <v>Proposed Budget Year for 2025</v>
      </c>
    </row>
    <row r="244" spans="1:4" x14ac:dyDescent="0.2">
      <c r="A244" s="44" t="s">
        <v>97</v>
      </c>
      <c r="B244" s="627"/>
      <c r="C244" s="627"/>
      <c r="D244" s="630"/>
    </row>
    <row r="245" spans="1:4" x14ac:dyDescent="0.2">
      <c r="A245" s="103" t="s">
        <v>93</v>
      </c>
      <c r="B245" s="50"/>
      <c r="C245" s="50"/>
      <c r="D245" s="50"/>
    </row>
    <row r="246" spans="1:4" x14ac:dyDescent="0.2">
      <c r="A246" s="154" t="s">
        <v>138</v>
      </c>
      <c r="B246" s="50"/>
      <c r="C246" s="50"/>
      <c r="D246" s="50"/>
    </row>
    <row r="247" spans="1:4" x14ac:dyDescent="0.2">
      <c r="A247" s="40" t="s">
        <v>99</v>
      </c>
      <c r="B247" s="140"/>
      <c r="C247" s="140"/>
      <c r="D247" s="140"/>
    </row>
    <row r="248" spans="1:4" x14ac:dyDescent="0.2">
      <c r="A248" s="40" t="s">
        <v>100</v>
      </c>
      <c r="B248" s="140"/>
      <c r="C248" s="140"/>
      <c r="D248" s="140"/>
    </row>
    <row r="249" spans="1:4" x14ac:dyDescent="0.2">
      <c r="A249" s="40" t="s">
        <v>101</v>
      </c>
      <c r="B249" s="140"/>
      <c r="C249" s="140"/>
      <c r="D249" s="140"/>
    </row>
    <row r="250" spans="1:4" x14ac:dyDescent="0.2">
      <c r="A250" s="40" t="s">
        <v>102</v>
      </c>
      <c r="B250" s="140"/>
      <c r="C250" s="140"/>
      <c r="D250" s="140"/>
    </row>
    <row r="251" spans="1:4" x14ac:dyDescent="0.2">
      <c r="A251" s="135" t="s">
        <v>54</v>
      </c>
      <c r="B251" s="50">
        <f>SUM(B247:B250)</f>
        <v>0</v>
      </c>
      <c r="C251" s="50">
        <f>SUM(C247:C250)</f>
        <v>0</v>
      </c>
      <c r="D251" s="50">
        <f>SUM(D247:D250)</f>
        <v>0</v>
      </c>
    </row>
    <row r="252" spans="1:4" x14ac:dyDescent="0.2">
      <c r="A252" s="154" t="s">
        <v>139</v>
      </c>
      <c r="B252" s="50"/>
      <c r="C252" s="50"/>
      <c r="D252" s="50"/>
    </row>
    <row r="253" spans="1:4" x14ac:dyDescent="0.2">
      <c r="A253" s="40" t="s">
        <v>99</v>
      </c>
      <c r="B253" s="140"/>
      <c r="C253" s="140"/>
      <c r="D253" s="140"/>
    </row>
    <row r="254" spans="1:4" x14ac:dyDescent="0.2">
      <c r="A254" s="40" t="s">
        <v>100</v>
      </c>
      <c r="B254" s="140"/>
      <c r="C254" s="140"/>
      <c r="D254" s="140"/>
    </row>
    <row r="255" spans="1:4" x14ac:dyDescent="0.2">
      <c r="A255" s="40" t="s">
        <v>101</v>
      </c>
      <c r="B255" s="140"/>
      <c r="C255" s="140"/>
      <c r="D255" s="140"/>
    </row>
    <row r="256" spans="1:4" x14ac:dyDescent="0.2">
      <c r="A256" s="40" t="s">
        <v>102</v>
      </c>
      <c r="B256" s="140"/>
      <c r="C256" s="140"/>
      <c r="D256" s="140"/>
    </row>
    <row r="257" spans="1:4" x14ac:dyDescent="0.2">
      <c r="A257" s="135" t="s">
        <v>54</v>
      </c>
      <c r="B257" s="50">
        <f>SUM(B253:B256)</f>
        <v>0</v>
      </c>
      <c r="C257" s="50">
        <f>SUM(C253:C256)</f>
        <v>0</v>
      </c>
      <c r="D257" s="50">
        <f>SUM(D253:D256)</f>
        <v>0</v>
      </c>
    </row>
    <row r="258" spans="1:4" x14ac:dyDescent="0.2">
      <c r="A258" s="154" t="s">
        <v>140</v>
      </c>
      <c r="B258" s="50"/>
      <c r="C258" s="50"/>
      <c r="D258" s="50"/>
    </row>
    <row r="259" spans="1:4" x14ac:dyDescent="0.2">
      <c r="A259" s="40" t="s">
        <v>99</v>
      </c>
      <c r="B259" s="140"/>
      <c r="C259" s="140"/>
      <c r="D259" s="140"/>
    </row>
    <row r="260" spans="1:4" x14ac:dyDescent="0.2">
      <c r="A260" s="40" t="s">
        <v>100</v>
      </c>
      <c r="B260" s="140"/>
      <c r="C260" s="140"/>
      <c r="D260" s="140"/>
    </row>
    <row r="261" spans="1:4" x14ac:dyDescent="0.2">
      <c r="A261" s="40" t="s">
        <v>101</v>
      </c>
      <c r="B261" s="140"/>
      <c r="C261" s="140"/>
      <c r="D261" s="140"/>
    </row>
    <row r="262" spans="1:4" x14ac:dyDescent="0.2">
      <c r="A262" s="40" t="s">
        <v>102</v>
      </c>
      <c r="B262" s="140"/>
      <c r="C262" s="140"/>
      <c r="D262" s="140"/>
    </row>
    <row r="263" spans="1:4" x14ac:dyDescent="0.2">
      <c r="A263" s="135" t="s">
        <v>54</v>
      </c>
      <c r="B263" s="50">
        <f>SUM(B259:B262)</f>
        <v>0</v>
      </c>
      <c r="C263" s="50">
        <f>SUM(C259:C262)</f>
        <v>0</v>
      </c>
      <c r="D263" s="50">
        <f>SUM(D259:D262)</f>
        <v>0</v>
      </c>
    </row>
    <row r="264" spans="1:4" x14ac:dyDescent="0.2">
      <c r="A264" s="154" t="s">
        <v>141</v>
      </c>
      <c r="B264" s="50"/>
      <c r="C264" s="50"/>
      <c r="D264" s="50"/>
    </row>
    <row r="265" spans="1:4" x14ac:dyDescent="0.2">
      <c r="A265" s="40" t="s">
        <v>99</v>
      </c>
      <c r="B265" s="140"/>
      <c r="C265" s="140"/>
      <c r="D265" s="140"/>
    </row>
    <row r="266" spans="1:4" x14ac:dyDescent="0.2">
      <c r="A266" s="40" t="s">
        <v>100</v>
      </c>
      <c r="B266" s="140"/>
      <c r="C266" s="140"/>
      <c r="D266" s="140"/>
    </row>
    <row r="267" spans="1:4" x14ac:dyDescent="0.2">
      <c r="A267" s="40" t="s">
        <v>101</v>
      </c>
      <c r="B267" s="140"/>
      <c r="C267" s="140"/>
      <c r="D267" s="140"/>
    </row>
    <row r="268" spans="1:4" x14ac:dyDescent="0.2">
      <c r="A268" s="40" t="s">
        <v>102</v>
      </c>
      <c r="B268" s="140"/>
      <c r="C268" s="140"/>
      <c r="D268" s="140"/>
    </row>
    <row r="269" spans="1:4" x14ac:dyDescent="0.2">
      <c r="A269" s="135" t="s">
        <v>54</v>
      </c>
      <c r="B269" s="50">
        <f>SUM(B265:B268)</f>
        <v>0</v>
      </c>
      <c r="C269" s="50">
        <f>SUM(C265:C268)</f>
        <v>0</v>
      </c>
      <c r="D269" s="50">
        <f>SUM(D265:D268)</f>
        <v>0</v>
      </c>
    </row>
    <row r="270" spans="1:4" x14ac:dyDescent="0.2">
      <c r="A270" s="154" t="s">
        <v>142</v>
      </c>
      <c r="B270" s="50"/>
      <c r="C270" s="50"/>
      <c r="D270" s="50"/>
    </row>
    <row r="271" spans="1:4" x14ac:dyDescent="0.2">
      <c r="A271" s="40" t="s">
        <v>100</v>
      </c>
      <c r="B271" s="140"/>
      <c r="C271" s="140"/>
      <c r="D271" s="140"/>
    </row>
    <row r="272" spans="1:4" x14ac:dyDescent="0.2">
      <c r="A272" s="40" t="s">
        <v>143</v>
      </c>
      <c r="B272" s="140"/>
      <c r="C272" s="140"/>
      <c r="D272" s="140"/>
    </row>
    <row r="273" spans="1:4" x14ac:dyDescent="0.2">
      <c r="A273" s="135" t="s">
        <v>54</v>
      </c>
      <c r="B273" s="50">
        <f>SUM(B271:B272)</f>
        <v>0</v>
      </c>
      <c r="C273" s="50">
        <f>SUM(C271:C272)</f>
        <v>0</v>
      </c>
      <c r="D273" s="50">
        <f>SUM(D271:D272)</f>
        <v>0</v>
      </c>
    </row>
    <row r="274" spans="1:4" x14ac:dyDescent="0.2">
      <c r="A274" s="154" t="s">
        <v>144</v>
      </c>
      <c r="B274" s="50"/>
      <c r="C274" s="50"/>
      <c r="D274" s="50"/>
    </row>
    <row r="275" spans="1:4" x14ac:dyDescent="0.2">
      <c r="A275" s="40" t="s">
        <v>99</v>
      </c>
      <c r="B275" s="140"/>
      <c r="C275" s="140"/>
      <c r="D275" s="140"/>
    </row>
    <row r="276" spans="1:4" x14ac:dyDescent="0.2">
      <c r="A276" s="40" t="s">
        <v>100</v>
      </c>
      <c r="B276" s="140"/>
      <c r="C276" s="140"/>
      <c r="D276" s="140"/>
    </row>
    <row r="277" spans="1:4" x14ac:dyDescent="0.2">
      <c r="A277" s="40" t="s">
        <v>101</v>
      </c>
      <c r="B277" s="140"/>
      <c r="C277" s="140"/>
      <c r="D277" s="140"/>
    </row>
    <row r="278" spans="1:4" x14ac:dyDescent="0.2">
      <c r="A278" s="40" t="s">
        <v>102</v>
      </c>
      <c r="B278" s="140"/>
      <c r="C278" s="140"/>
      <c r="D278" s="140"/>
    </row>
    <row r="279" spans="1:4" x14ac:dyDescent="0.2">
      <c r="A279" s="135" t="s">
        <v>54</v>
      </c>
      <c r="B279" s="50">
        <f>SUM(B275:B278)</f>
        <v>0</v>
      </c>
      <c r="C279" s="50">
        <f>SUM(C275:C278)</f>
        <v>0</v>
      </c>
      <c r="D279" s="50">
        <f>SUM(D275:D278)</f>
        <v>0</v>
      </c>
    </row>
    <row r="280" spans="1:4" x14ac:dyDescent="0.2">
      <c r="A280" s="154" t="s">
        <v>145</v>
      </c>
      <c r="B280" s="50"/>
      <c r="C280" s="50"/>
      <c r="D280" s="50"/>
    </row>
    <row r="281" spans="1:4" x14ac:dyDescent="0.2">
      <c r="A281" s="40" t="s">
        <v>99</v>
      </c>
      <c r="B281" s="140"/>
      <c r="C281" s="140"/>
      <c r="D281" s="140"/>
    </row>
    <row r="282" spans="1:4" x14ac:dyDescent="0.2">
      <c r="A282" s="40" t="s">
        <v>100</v>
      </c>
      <c r="B282" s="140"/>
      <c r="C282" s="140"/>
      <c r="D282" s="140"/>
    </row>
    <row r="283" spans="1:4" x14ac:dyDescent="0.2">
      <c r="A283" s="40" t="s">
        <v>101</v>
      </c>
      <c r="B283" s="140"/>
      <c r="C283" s="140"/>
      <c r="D283" s="140"/>
    </row>
    <row r="284" spans="1:4" x14ac:dyDescent="0.2">
      <c r="A284" s="40" t="s">
        <v>102</v>
      </c>
      <c r="B284" s="140"/>
      <c r="C284" s="140"/>
      <c r="D284" s="140"/>
    </row>
    <row r="285" spans="1:4" x14ac:dyDescent="0.2">
      <c r="A285" s="135" t="s">
        <v>54</v>
      </c>
      <c r="B285" s="50">
        <f>SUM(B281:B284)</f>
        <v>0</v>
      </c>
      <c r="C285" s="50">
        <f>SUM(C281:C284)</f>
        <v>0</v>
      </c>
      <c r="D285" s="50">
        <f>SUM(D281:D284)</f>
        <v>0</v>
      </c>
    </row>
    <row r="286" spans="1:4" x14ac:dyDescent="0.2">
      <c r="A286" s="135"/>
      <c r="B286" s="50"/>
      <c r="C286" s="50"/>
      <c r="D286" s="50"/>
    </row>
    <row r="287" spans="1:4" x14ac:dyDescent="0.2">
      <c r="A287" s="135" t="s">
        <v>367</v>
      </c>
      <c r="B287" s="50">
        <f>B251+B257+B263+B269+B273+B279+B285</f>
        <v>0</v>
      </c>
      <c r="C287" s="50">
        <f>C251+C257+C263+C269+C273+C279+C285</f>
        <v>0</v>
      </c>
      <c r="D287" s="50">
        <f>D251+D257+D263+D269+D273+D279+D285</f>
        <v>0</v>
      </c>
    </row>
    <row r="288" spans="1:4" x14ac:dyDescent="0.2">
      <c r="A288" s="135"/>
      <c r="B288" s="50"/>
      <c r="C288" s="50"/>
      <c r="D288" s="50"/>
    </row>
    <row r="289" spans="1:4" x14ac:dyDescent="0.2">
      <c r="A289" s="135" t="s">
        <v>364</v>
      </c>
      <c r="B289" s="50">
        <f>B57</f>
        <v>0</v>
      </c>
      <c r="C289" s="50">
        <f>C57</f>
        <v>0</v>
      </c>
      <c r="D289" s="50">
        <f>D57</f>
        <v>0</v>
      </c>
    </row>
    <row r="290" spans="1:4" x14ac:dyDescent="0.2">
      <c r="A290" s="26"/>
      <c r="B290" s="50"/>
      <c r="C290" s="50"/>
      <c r="D290" s="50"/>
    </row>
    <row r="291" spans="1:4" x14ac:dyDescent="0.2">
      <c r="A291" s="135" t="s">
        <v>363</v>
      </c>
      <c r="B291" s="50">
        <f>B116</f>
        <v>0</v>
      </c>
      <c r="C291" s="50">
        <f>C116</f>
        <v>0</v>
      </c>
      <c r="D291" s="50">
        <f>D116</f>
        <v>0</v>
      </c>
    </row>
    <row r="292" spans="1:4" x14ac:dyDescent="0.2">
      <c r="A292" s="26"/>
      <c r="B292" s="50"/>
      <c r="C292" s="50"/>
      <c r="D292" s="50"/>
    </row>
    <row r="293" spans="1:4" x14ac:dyDescent="0.2">
      <c r="A293" s="135" t="s">
        <v>365</v>
      </c>
      <c r="B293" s="50">
        <f>B176</f>
        <v>0</v>
      </c>
      <c r="C293" s="50">
        <f>C176</f>
        <v>0</v>
      </c>
      <c r="D293" s="50">
        <f>D176</f>
        <v>0</v>
      </c>
    </row>
    <row r="294" spans="1:4" x14ac:dyDescent="0.2">
      <c r="A294" s="26"/>
      <c r="B294" s="50"/>
      <c r="C294" s="50"/>
      <c r="D294" s="50"/>
    </row>
    <row r="295" spans="1:4" x14ac:dyDescent="0.2">
      <c r="A295" s="135" t="s">
        <v>366</v>
      </c>
      <c r="B295" s="50">
        <f>B237</f>
        <v>0</v>
      </c>
      <c r="C295" s="50">
        <f>C237</f>
        <v>0</v>
      </c>
      <c r="D295" s="50">
        <f>D237</f>
        <v>0</v>
      </c>
    </row>
    <row r="296" spans="1:4" x14ac:dyDescent="0.2">
      <c r="A296" s="26"/>
      <c r="B296" s="50"/>
      <c r="C296" s="50"/>
      <c r="D296" s="50"/>
    </row>
    <row r="297" spans="1:4" ht="16.5" thickBot="1" x14ac:dyDescent="0.25">
      <c r="A297" s="103" t="s">
        <v>28</v>
      </c>
      <c r="B297" s="157">
        <f>SUM(B287:B296)</f>
        <v>0</v>
      </c>
      <c r="C297" s="157">
        <f>SUM(C287:C296)</f>
        <v>0</v>
      </c>
      <c r="D297" s="157">
        <f>SUM(D287:D296)</f>
        <v>0</v>
      </c>
    </row>
    <row r="298" spans="1:4" ht="16.5" thickTop="1" x14ac:dyDescent="0.2">
      <c r="A298" s="135"/>
      <c r="B298" s="135"/>
      <c r="C298" s="135"/>
      <c r="D298" s="135"/>
    </row>
    <row r="299" spans="1:4" x14ac:dyDescent="0.2">
      <c r="A299" s="158" t="s">
        <v>29</v>
      </c>
      <c r="B299" s="159"/>
      <c r="C299" s="159"/>
      <c r="D299" s="159"/>
    </row>
    <row r="300" spans="1:4" x14ac:dyDescent="0.2">
      <c r="A300" s="606" t="s">
        <v>368</v>
      </c>
      <c r="B300" s="606"/>
      <c r="C300" s="606"/>
      <c r="D300" s="606"/>
    </row>
    <row r="301" spans="1:4" x14ac:dyDescent="0.2">
      <c r="B301" s="160"/>
      <c r="C301" s="160"/>
      <c r="D301" s="160"/>
    </row>
    <row r="302" spans="1:4" x14ac:dyDescent="0.2">
      <c r="B302" s="160"/>
      <c r="C302" s="160"/>
      <c r="D302" s="160"/>
    </row>
    <row r="303" spans="1:4" x14ac:dyDescent="0.2">
      <c r="B303" s="160"/>
      <c r="C303" s="160"/>
      <c r="D303" s="160"/>
    </row>
    <row r="304" spans="1:4" x14ac:dyDescent="0.2">
      <c r="B304" s="160"/>
      <c r="C304" s="160"/>
      <c r="D304" s="160"/>
    </row>
    <row r="305" spans="2:4" x14ac:dyDescent="0.2">
      <c r="B305" s="160"/>
      <c r="C305" s="160"/>
      <c r="D305" s="160"/>
    </row>
    <row r="306" spans="2:4" x14ac:dyDescent="0.2">
      <c r="B306" s="160"/>
      <c r="C306" s="160"/>
      <c r="D306" s="160"/>
    </row>
    <row r="307" spans="2:4" x14ac:dyDescent="0.2">
      <c r="B307" s="160"/>
      <c r="C307" s="160"/>
      <c r="D307" s="160"/>
    </row>
    <row r="308" spans="2:4" x14ac:dyDescent="0.2">
      <c r="B308" s="160"/>
      <c r="C308" s="160"/>
      <c r="D308" s="160"/>
    </row>
    <row r="309" spans="2:4" x14ac:dyDescent="0.2">
      <c r="B309" s="160"/>
      <c r="C309" s="160"/>
      <c r="D309" s="160"/>
    </row>
    <row r="310" spans="2:4" x14ac:dyDescent="0.2">
      <c r="B310" s="160"/>
      <c r="C310" s="160"/>
      <c r="D310" s="160"/>
    </row>
    <row r="311" spans="2:4" x14ac:dyDescent="0.2">
      <c r="B311" s="160"/>
      <c r="C311" s="160"/>
      <c r="D311" s="160"/>
    </row>
    <row r="312" spans="2:4" x14ac:dyDescent="0.2">
      <c r="B312" s="160"/>
      <c r="C312" s="160"/>
      <c r="D312" s="160"/>
    </row>
    <row r="313" spans="2:4" x14ac:dyDescent="0.2">
      <c r="B313" s="160"/>
      <c r="C313" s="160"/>
      <c r="D313" s="160"/>
    </row>
    <row r="314" spans="2:4" x14ac:dyDescent="0.2">
      <c r="B314" s="160"/>
      <c r="C314" s="160"/>
      <c r="D314" s="160"/>
    </row>
    <row r="315" spans="2:4" x14ac:dyDescent="0.2">
      <c r="B315" s="160"/>
      <c r="C315" s="160"/>
      <c r="D315" s="160"/>
    </row>
    <row r="316" spans="2:4" x14ac:dyDescent="0.2">
      <c r="B316" s="160"/>
      <c r="C316" s="160"/>
      <c r="D316" s="160"/>
    </row>
    <row r="317" spans="2:4" x14ac:dyDescent="0.2">
      <c r="B317" s="160"/>
      <c r="C317" s="160"/>
      <c r="D317" s="160"/>
    </row>
    <row r="318" spans="2:4" x14ac:dyDescent="0.2">
      <c r="B318" s="160"/>
      <c r="C318" s="160"/>
      <c r="D318" s="160"/>
    </row>
    <row r="319" spans="2:4" x14ac:dyDescent="0.2">
      <c r="B319" s="160"/>
      <c r="C319" s="160"/>
      <c r="D319" s="160"/>
    </row>
    <row r="320" spans="2:4" x14ac:dyDescent="0.2">
      <c r="B320" s="160"/>
      <c r="C320" s="160"/>
      <c r="D320" s="160"/>
    </row>
    <row r="321" spans="2:4" x14ac:dyDescent="0.2">
      <c r="B321" s="160"/>
      <c r="C321" s="160"/>
      <c r="D321" s="160"/>
    </row>
    <row r="322" spans="2:4" x14ac:dyDescent="0.2">
      <c r="B322" s="160"/>
      <c r="C322" s="160"/>
      <c r="D322" s="160"/>
    </row>
    <row r="323" spans="2:4" x14ac:dyDescent="0.2">
      <c r="B323" s="160"/>
      <c r="C323" s="160"/>
      <c r="D323" s="160"/>
    </row>
    <row r="324" spans="2:4" x14ac:dyDescent="0.2">
      <c r="B324" s="160"/>
      <c r="C324" s="160"/>
      <c r="D324" s="160"/>
    </row>
    <row r="325" spans="2:4" x14ac:dyDescent="0.2">
      <c r="B325" s="160"/>
      <c r="C325" s="160"/>
      <c r="D325" s="160"/>
    </row>
    <row r="326" spans="2:4" x14ac:dyDescent="0.2">
      <c r="B326" s="160"/>
      <c r="C326" s="160"/>
      <c r="D326" s="160"/>
    </row>
    <row r="327" spans="2:4" x14ac:dyDescent="0.2">
      <c r="B327" s="160"/>
      <c r="C327" s="160"/>
      <c r="D327" s="160"/>
    </row>
    <row r="328" spans="2:4" x14ac:dyDescent="0.2">
      <c r="B328" s="160"/>
      <c r="C328" s="160"/>
      <c r="D328" s="160"/>
    </row>
    <row r="329" spans="2:4" x14ac:dyDescent="0.2">
      <c r="B329" s="160"/>
      <c r="C329" s="160"/>
      <c r="D329" s="160"/>
    </row>
    <row r="330" spans="2:4" x14ac:dyDescent="0.2">
      <c r="B330" s="160"/>
      <c r="C330" s="160"/>
      <c r="D330" s="160"/>
    </row>
    <row r="331" spans="2:4" x14ac:dyDescent="0.2">
      <c r="B331" s="160"/>
      <c r="C331" s="160"/>
      <c r="D331" s="160"/>
    </row>
    <row r="332" spans="2:4" x14ac:dyDescent="0.2">
      <c r="B332" s="160"/>
      <c r="C332" s="160"/>
      <c r="D332" s="160"/>
    </row>
    <row r="333" spans="2:4" x14ac:dyDescent="0.2">
      <c r="B333" s="160"/>
      <c r="C333" s="160"/>
      <c r="D333" s="160"/>
    </row>
    <row r="334" spans="2:4" x14ac:dyDescent="0.2">
      <c r="B334" s="160"/>
      <c r="C334" s="160"/>
      <c r="D334" s="160"/>
    </row>
    <row r="335" spans="2:4" x14ac:dyDescent="0.2">
      <c r="B335" s="160"/>
      <c r="C335" s="160"/>
      <c r="D335" s="160"/>
    </row>
    <row r="336" spans="2:4" x14ac:dyDescent="0.2">
      <c r="B336" s="160"/>
      <c r="C336" s="160"/>
      <c r="D336" s="160"/>
    </row>
    <row r="337" spans="2:4" x14ac:dyDescent="0.2">
      <c r="B337" s="160"/>
      <c r="C337" s="160"/>
      <c r="D337" s="160"/>
    </row>
    <row r="338" spans="2:4" x14ac:dyDescent="0.2">
      <c r="B338" s="160"/>
      <c r="C338" s="160"/>
      <c r="D338" s="160"/>
    </row>
    <row r="339" spans="2:4" x14ac:dyDescent="0.2">
      <c r="B339" s="160"/>
      <c r="C339" s="160"/>
      <c r="D339" s="160"/>
    </row>
    <row r="340" spans="2:4" x14ac:dyDescent="0.2">
      <c r="B340" s="160"/>
      <c r="C340" s="160"/>
      <c r="D340" s="160"/>
    </row>
    <row r="341" spans="2:4" x14ac:dyDescent="0.2">
      <c r="B341" s="160"/>
      <c r="C341" s="160"/>
      <c r="D341" s="160"/>
    </row>
    <row r="342" spans="2:4" x14ac:dyDescent="0.2">
      <c r="B342" s="160"/>
      <c r="C342" s="160"/>
      <c r="D342" s="160"/>
    </row>
    <row r="343" spans="2:4" x14ac:dyDescent="0.2">
      <c r="B343" s="160"/>
      <c r="C343" s="160"/>
      <c r="D343" s="160"/>
    </row>
    <row r="344" spans="2:4" x14ac:dyDescent="0.2">
      <c r="B344" s="160"/>
      <c r="C344" s="160"/>
      <c r="D344" s="160"/>
    </row>
    <row r="345" spans="2:4" x14ac:dyDescent="0.2">
      <c r="B345" s="160"/>
      <c r="C345" s="160"/>
      <c r="D345" s="160"/>
    </row>
    <row r="346" spans="2:4" x14ac:dyDescent="0.2">
      <c r="B346" s="160"/>
      <c r="C346" s="160"/>
      <c r="D346" s="160"/>
    </row>
    <row r="347" spans="2:4" x14ac:dyDescent="0.2">
      <c r="B347" s="160"/>
      <c r="C347" s="160"/>
      <c r="D347" s="160"/>
    </row>
    <row r="348" spans="2:4" x14ac:dyDescent="0.2">
      <c r="B348" s="160"/>
      <c r="C348" s="160"/>
      <c r="D348" s="160"/>
    </row>
    <row r="349" spans="2:4" x14ac:dyDescent="0.2">
      <c r="B349" s="160"/>
      <c r="C349" s="160"/>
      <c r="D349" s="160"/>
    </row>
    <row r="350" spans="2:4" x14ac:dyDescent="0.2">
      <c r="B350" s="160"/>
      <c r="C350" s="160"/>
      <c r="D350" s="160"/>
    </row>
    <row r="351" spans="2:4" x14ac:dyDescent="0.2">
      <c r="B351" s="160"/>
      <c r="C351" s="160"/>
      <c r="D351" s="160"/>
    </row>
    <row r="352" spans="2:4" x14ac:dyDescent="0.2">
      <c r="B352" s="160"/>
      <c r="C352" s="160"/>
      <c r="D352" s="160"/>
    </row>
    <row r="353" spans="2:4" x14ac:dyDescent="0.2">
      <c r="B353" s="160"/>
      <c r="C353" s="160"/>
      <c r="D353" s="160"/>
    </row>
    <row r="354" spans="2:4" x14ac:dyDescent="0.2">
      <c r="B354" s="160"/>
      <c r="C354" s="160"/>
      <c r="D354" s="160"/>
    </row>
    <row r="355" spans="2:4" x14ac:dyDescent="0.2">
      <c r="B355" s="160"/>
      <c r="C355" s="160"/>
      <c r="D355" s="160"/>
    </row>
    <row r="356" spans="2:4" x14ac:dyDescent="0.2">
      <c r="B356" s="160"/>
      <c r="C356" s="160"/>
      <c r="D356" s="160"/>
    </row>
    <row r="357" spans="2:4" x14ac:dyDescent="0.2">
      <c r="B357" s="160"/>
      <c r="C357" s="160"/>
      <c r="D357" s="160"/>
    </row>
    <row r="358" spans="2:4" x14ac:dyDescent="0.2">
      <c r="B358" s="160"/>
      <c r="C358" s="160"/>
      <c r="D358" s="160"/>
    </row>
    <row r="359" spans="2:4" x14ac:dyDescent="0.2">
      <c r="B359" s="160"/>
      <c r="C359" s="160"/>
      <c r="D359" s="160"/>
    </row>
    <row r="360" spans="2:4" x14ac:dyDescent="0.2">
      <c r="B360" s="160"/>
      <c r="C360" s="160"/>
      <c r="D360" s="160"/>
    </row>
    <row r="361" spans="2:4" x14ac:dyDescent="0.2">
      <c r="B361" s="160"/>
      <c r="C361" s="160"/>
      <c r="D361" s="160"/>
    </row>
    <row r="362" spans="2:4" x14ac:dyDescent="0.2">
      <c r="B362" s="160"/>
      <c r="C362" s="160"/>
      <c r="D362" s="160"/>
    </row>
    <row r="363" spans="2:4" x14ac:dyDescent="0.2">
      <c r="B363" s="160"/>
      <c r="C363" s="160"/>
      <c r="D363" s="160"/>
    </row>
    <row r="364" spans="2:4" x14ac:dyDescent="0.2">
      <c r="B364" s="160"/>
      <c r="C364" s="160"/>
      <c r="D364" s="160"/>
    </row>
    <row r="365" spans="2:4" x14ac:dyDescent="0.2">
      <c r="B365" s="160"/>
      <c r="C365" s="160"/>
      <c r="D365" s="160"/>
    </row>
    <row r="366" spans="2:4" x14ac:dyDescent="0.2">
      <c r="B366" s="160"/>
      <c r="C366" s="160"/>
      <c r="D366" s="160"/>
    </row>
    <row r="367" spans="2:4" x14ac:dyDescent="0.2">
      <c r="B367" s="160"/>
      <c r="C367" s="160"/>
      <c r="D367" s="160"/>
    </row>
    <row r="368" spans="2:4" x14ac:dyDescent="0.2">
      <c r="B368" s="160"/>
      <c r="C368" s="160"/>
      <c r="D368" s="160"/>
    </row>
    <row r="369" spans="2:4" x14ac:dyDescent="0.2">
      <c r="B369" s="160"/>
      <c r="C369" s="160"/>
      <c r="D369" s="160"/>
    </row>
    <row r="370" spans="2:4" x14ac:dyDescent="0.2">
      <c r="B370" s="160"/>
      <c r="C370" s="160"/>
      <c r="D370" s="160"/>
    </row>
    <row r="371" spans="2:4" x14ac:dyDescent="0.2">
      <c r="B371" s="160"/>
      <c r="C371" s="160"/>
      <c r="D371" s="160"/>
    </row>
    <row r="372" spans="2:4" x14ac:dyDescent="0.2">
      <c r="B372" s="160"/>
      <c r="C372" s="160"/>
      <c r="D372" s="160"/>
    </row>
    <row r="373" spans="2:4" x14ac:dyDescent="0.2">
      <c r="B373" s="160"/>
      <c r="C373" s="160"/>
      <c r="D373" s="160"/>
    </row>
    <row r="374" spans="2:4" x14ac:dyDescent="0.2">
      <c r="B374" s="160"/>
      <c r="C374" s="160"/>
      <c r="D374" s="160"/>
    </row>
    <row r="375" spans="2:4" x14ac:dyDescent="0.2">
      <c r="B375" s="160"/>
      <c r="C375" s="160"/>
      <c r="D375" s="160"/>
    </row>
    <row r="376" spans="2:4" x14ac:dyDescent="0.2">
      <c r="B376" s="160"/>
      <c r="C376" s="160"/>
      <c r="D376" s="160"/>
    </row>
    <row r="377" spans="2:4" x14ac:dyDescent="0.2">
      <c r="B377" s="160"/>
      <c r="C377" s="160"/>
      <c r="D377" s="160"/>
    </row>
    <row r="378" spans="2:4" x14ac:dyDescent="0.2">
      <c r="B378" s="160"/>
      <c r="C378" s="160"/>
      <c r="D378" s="160"/>
    </row>
    <row r="379" spans="2:4" x14ac:dyDescent="0.2">
      <c r="B379" s="160"/>
      <c r="C379" s="160"/>
      <c r="D379" s="160"/>
    </row>
    <row r="380" spans="2:4" x14ac:dyDescent="0.2">
      <c r="B380" s="160"/>
      <c r="C380" s="160"/>
      <c r="D380" s="160"/>
    </row>
    <row r="381" spans="2:4" x14ac:dyDescent="0.2">
      <c r="B381" s="160"/>
      <c r="C381" s="160"/>
      <c r="D381" s="160"/>
    </row>
    <row r="382" spans="2:4" x14ac:dyDescent="0.2">
      <c r="B382" s="160"/>
      <c r="C382" s="160"/>
      <c r="D382" s="160"/>
    </row>
    <row r="383" spans="2:4" x14ac:dyDescent="0.2">
      <c r="B383" s="160"/>
      <c r="C383" s="160"/>
      <c r="D383" s="160"/>
    </row>
    <row r="384" spans="2:4" x14ac:dyDescent="0.2">
      <c r="B384" s="160"/>
      <c r="C384" s="160"/>
      <c r="D384" s="160"/>
    </row>
    <row r="385" spans="2:4" x14ac:dyDescent="0.2">
      <c r="B385" s="160"/>
      <c r="C385" s="160"/>
      <c r="D385" s="160"/>
    </row>
    <row r="386" spans="2:4" x14ac:dyDescent="0.2">
      <c r="B386" s="160"/>
      <c r="C386" s="160"/>
      <c r="D386" s="160"/>
    </row>
    <row r="387" spans="2:4" x14ac:dyDescent="0.2">
      <c r="B387" s="160"/>
      <c r="C387" s="160"/>
      <c r="D387" s="160"/>
    </row>
    <row r="388" spans="2:4" x14ac:dyDescent="0.2">
      <c r="B388" s="160"/>
      <c r="C388" s="160"/>
      <c r="D388" s="160"/>
    </row>
    <row r="389" spans="2:4" x14ac:dyDescent="0.2">
      <c r="B389" s="160"/>
      <c r="C389" s="160"/>
      <c r="D389" s="160"/>
    </row>
    <row r="390" spans="2:4" x14ac:dyDescent="0.2">
      <c r="B390" s="160"/>
      <c r="C390" s="160"/>
      <c r="D390" s="160"/>
    </row>
    <row r="391" spans="2:4" x14ac:dyDescent="0.2">
      <c r="B391" s="160"/>
      <c r="C391" s="160"/>
      <c r="D391" s="160"/>
    </row>
    <row r="392" spans="2:4" x14ac:dyDescent="0.2">
      <c r="B392" s="160"/>
      <c r="C392" s="160"/>
      <c r="D392" s="160"/>
    </row>
    <row r="393" spans="2:4" x14ac:dyDescent="0.2">
      <c r="B393" s="160"/>
      <c r="C393" s="160"/>
      <c r="D393" s="160"/>
    </row>
    <row r="394" spans="2:4" x14ac:dyDescent="0.2">
      <c r="B394" s="160"/>
      <c r="C394" s="160"/>
      <c r="D394" s="160"/>
    </row>
    <row r="395" spans="2:4" x14ac:dyDescent="0.2">
      <c r="B395" s="160"/>
      <c r="C395" s="160"/>
      <c r="D395" s="160"/>
    </row>
    <row r="396" spans="2:4" x14ac:dyDescent="0.2">
      <c r="B396" s="160"/>
      <c r="C396" s="160"/>
      <c r="D396" s="160"/>
    </row>
    <row r="397" spans="2:4" x14ac:dyDescent="0.2">
      <c r="B397" s="160"/>
      <c r="C397" s="160"/>
      <c r="D397" s="160"/>
    </row>
    <row r="398" spans="2:4" x14ac:dyDescent="0.2">
      <c r="B398" s="160"/>
      <c r="C398" s="160"/>
      <c r="D398" s="160"/>
    </row>
    <row r="399" spans="2:4" x14ac:dyDescent="0.2">
      <c r="B399" s="160"/>
      <c r="C399" s="160"/>
      <c r="D399" s="160"/>
    </row>
    <row r="400" spans="2:4" x14ac:dyDescent="0.2">
      <c r="B400" s="160"/>
      <c r="C400" s="160"/>
      <c r="D400" s="160"/>
    </row>
    <row r="401" spans="2:4" x14ac:dyDescent="0.2">
      <c r="B401" s="160"/>
      <c r="C401" s="160"/>
      <c r="D401" s="160"/>
    </row>
    <row r="402" spans="2:4" x14ac:dyDescent="0.2">
      <c r="B402" s="160"/>
      <c r="C402" s="160"/>
      <c r="D402" s="160"/>
    </row>
    <row r="403" spans="2:4" x14ac:dyDescent="0.2">
      <c r="B403" s="160"/>
      <c r="C403" s="160"/>
      <c r="D403" s="160"/>
    </row>
  </sheetData>
  <sheetProtection sheet="1" objects="1" scenarios="1"/>
  <mergeCells count="20">
    <mergeCell ref="B4:B5"/>
    <mergeCell ref="C4:C5"/>
    <mergeCell ref="D4:D5"/>
    <mergeCell ref="B64:B65"/>
    <mergeCell ref="C64:C65"/>
    <mergeCell ref="D64:D65"/>
    <mergeCell ref="A300:D300"/>
    <mergeCell ref="A59:D59"/>
    <mergeCell ref="A118:D118"/>
    <mergeCell ref="A178:D178"/>
    <mergeCell ref="A239:D239"/>
    <mergeCell ref="B122:B123"/>
    <mergeCell ref="C122:C123"/>
    <mergeCell ref="D122:D123"/>
    <mergeCell ref="B182:B183"/>
    <mergeCell ref="C182:C183"/>
    <mergeCell ref="D182:D183"/>
    <mergeCell ref="B243:B244"/>
    <mergeCell ref="C243:C244"/>
    <mergeCell ref="D243:D244"/>
  </mergeCells>
  <phoneticPr fontId="0" type="noConversion"/>
  <pageMargins left="1.1200000000000001" right="0.5" top="0.74" bottom="0.34" header="0.5" footer="0"/>
  <pageSetup scale="71" orientation="portrait" blackAndWhite="1" horizontalDpi="120" verticalDpi="144" r:id="rId1"/>
  <headerFooter alignWithMargins="0">
    <oddHeader xml:space="preserve">&amp;RState of Kansas
County
</oddHeader>
  </headerFooter>
  <rowBreaks count="4" manualBreakCount="4">
    <brk id="59" max="16383" man="1"/>
    <brk id="118" max="3" man="1"/>
    <brk id="178" max="16383" man="1"/>
    <brk id="23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7">
    <tabColor rgb="FF00B0F0"/>
    <pageSetUpPr fitToPage="1"/>
  </sheetPr>
  <dimension ref="B1:K77"/>
  <sheetViews>
    <sheetView zoomScaleNormal="100" workbookViewId="0">
      <selection activeCell="B50" sqref="B50"/>
    </sheetView>
  </sheetViews>
  <sheetFormatPr defaultRowHeight="15.75" x14ac:dyDescent="0.2"/>
  <cols>
    <col min="1" max="1" width="2.44140625" style="56" customWidth="1"/>
    <col min="2" max="2" width="31.109375" style="56" customWidth="1"/>
    <col min="3" max="4" width="16.21875" style="56" customWidth="1"/>
    <col min="5" max="5" width="16.33203125" style="56" customWidth="1"/>
    <col min="6" max="6" width="7.44140625" style="56" customWidth="1"/>
    <col min="7" max="7" width="10.21875" style="56" customWidth="1"/>
    <col min="8" max="8" width="8.88671875" style="56"/>
    <col min="9" max="9" width="5.88671875" style="56" customWidth="1"/>
    <col min="10" max="10" width="10" style="56" customWidth="1"/>
    <col min="11" max="16384" width="8.88671875" style="56"/>
  </cols>
  <sheetData>
    <row r="1" spans="2:5" x14ac:dyDescent="0.2">
      <c r="B1" s="57">
        <f>inputPrYr!C3</f>
        <v>0</v>
      </c>
      <c r="C1" s="26"/>
      <c r="D1" s="26"/>
      <c r="E1" s="98">
        <f>inputPrYr!$C$5</f>
        <v>2025</v>
      </c>
    </row>
    <row r="2" spans="2:5" x14ac:dyDescent="0.2">
      <c r="B2" s="26"/>
      <c r="C2" s="26"/>
      <c r="D2" s="26"/>
      <c r="E2" s="90"/>
    </row>
    <row r="3" spans="2:5" x14ac:dyDescent="0.2">
      <c r="B3" s="64" t="s">
        <v>185</v>
      </c>
      <c r="C3" s="161"/>
      <c r="D3" s="161"/>
      <c r="E3" s="162"/>
    </row>
    <row r="4" spans="2:5" x14ac:dyDescent="0.2">
      <c r="B4" s="26"/>
      <c r="C4" s="155"/>
      <c r="D4" s="155"/>
      <c r="E4" s="155"/>
    </row>
    <row r="5" spans="2:5" x14ac:dyDescent="0.2">
      <c r="B5" s="25" t="s">
        <v>80</v>
      </c>
      <c r="C5" s="339" t="s">
        <v>319</v>
      </c>
      <c r="D5" s="340" t="s">
        <v>320</v>
      </c>
      <c r="E5" s="80" t="s">
        <v>321</v>
      </c>
    </row>
    <row r="6" spans="2:5" x14ac:dyDescent="0.2">
      <c r="B6" s="248" t="str">
        <f>inputPrYr!B18</f>
        <v>Debt Service</v>
      </c>
      <c r="C6" s="231" t="str">
        <f>CONCATENATE("Actual for ",E1-2,"")</f>
        <v>Actual for 2023</v>
      </c>
      <c r="D6" s="231" t="str">
        <f>CONCATENATE("Estimate for ",E1-1,"")</f>
        <v>Estimate for 2024</v>
      </c>
      <c r="E6" s="136" t="str">
        <f>CONCATENATE("Year for ",E1,"")</f>
        <v>Year for 2025</v>
      </c>
    </row>
    <row r="7" spans="2:5" x14ac:dyDescent="0.2">
      <c r="B7" s="60" t="s">
        <v>195</v>
      </c>
      <c r="C7" s="234"/>
      <c r="D7" s="236">
        <f>C53</f>
        <v>0</v>
      </c>
      <c r="E7" s="163">
        <f>D53</f>
        <v>0</v>
      </c>
    </row>
    <row r="8" spans="2:5" x14ac:dyDescent="0.2">
      <c r="B8" s="164" t="s">
        <v>197</v>
      </c>
      <c r="C8" s="235"/>
      <c r="D8" s="236"/>
      <c r="E8" s="163"/>
    </row>
    <row r="9" spans="2:5" x14ac:dyDescent="0.2">
      <c r="B9" s="60" t="s">
        <v>81</v>
      </c>
      <c r="C9" s="229"/>
      <c r="D9" s="233">
        <f>IF(inputPrYr!H18&gt;0,inputPrYr!H18,inputPrYr!E18)</f>
        <v>0</v>
      </c>
      <c r="E9" s="165" t="s">
        <v>66</v>
      </c>
    </row>
    <row r="10" spans="2:5" x14ac:dyDescent="0.2">
      <c r="B10" s="60" t="s">
        <v>82</v>
      </c>
      <c r="C10" s="229"/>
      <c r="D10" s="229"/>
      <c r="E10" s="166"/>
    </row>
    <row r="11" spans="2:5" x14ac:dyDescent="0.2">
      <c r="B11" s="60" t="s">
        <v>83</v>
      </c>
      <c r="C11" s="229"/>
      <c r="D11" s="229"/>
      <c r="E11" s="167" t="str">
        <f>Mvalloc!D8</f>
        <v xml:space="preserve"> </v>
      </c>
    </row>
    <row r="12" spans="2:5" x14ac:dyDescent="0.2">
      <c r="B12" s="60" t="s">
        <v>84</v>
      </c>
      <c r="C12" s="229"/>
      <c r="D12" s="229"/>
      <c r="E12" s="167" t="str">
        <f>Mvalloc!E8</f>
        <v xml:space="preserve"> </v>
      </c>
    </row>
    <row r="13" spans="2:5" x14ac:dyDescent="0.2">
      <c r="B13" s="137" t="s">
        <v>190</v>
      </c>
      <c r="C13" s="229"/>
      <c r="D13" s="229"/>
      <c r="E13" s="167" t="str">
        <f>Mvalloc!F8</f>
        <v xml:space="preserve"> </v>
      </c>
    </row>
    <row r="14" spans="2:5" x14ac:dyDescent="0.2">
      <c r="B14" s="137" t="s">
        <v>348</v>
      </c>
      <c r="C14" s="229"/>
      <c r="D14" s="229"/>
      <c r="E14" s="167" t="str">
        <f>Mvalloc!G8</f>
        <v xml:space="preserve"> </v>
      </c>
    </row>
    <row r="15" spans="2:5" x14ac:dyDescent="0.2">
      <c r="B15" s="137" t="s">
        <v>349</v>
      </c>
      <c r="C15" s="229"/>
      <c r="D15" s="229"/>
      <c r="E15" s="167" t="str">
        <f>Mvalloc!H8</f>
        <v xml:space="preserve"> </v>
      </c>
    </row>
    <row r="16" spans="2:5" x14ac:dyDescent="0.2">
      <c r="B16" s="142"/>
      <c r="C16" s="229"/>
      <c r="D16" s="229"/>
      <c r="E16" s="168"/>
    </row>
    <row r="17" spans="2:10" x14ac:dyDescent="0.2">
      <c r="B17" s="142"/>
      <c r="C17" s="229"/>
      <c r="D17" s="229"/>
      <c r="E17" s="166"/>
    </row>
    <row r="18" spans="2:10" x14ac:dyDescent="0.2">
      <c r="B18" s="142"/>
      <c r="C18" s="229"/>
      <c r="D18" s="229"/>
      <c r="E18" s="166"/>
    </row>
    <row r="19" spans="2:10" x14ac:dyDescent="0.2">
      <c r="B19" s="142"/>
      <c r="C19" s="229"/>
      <c r="D19" s="229"/>
      <c r="E19" s="166"/>
    </row>
    <row r="20" spans="2:10" x14ac:dyDescent="0.2">
      <c r="B20" s="142"/>
      <c r="C20" s="229"/>
      <c r="D20" s="229"/>
      <c r="E20" s="166"/>
    </row>
    <row r="21" spans="2:10" x14ac:dyDescent="0.2">
      <c r="B21" s="142"/>
      <c r="C21" s="229"/>
      <c r="D21" s="229"/>
      <c r="E21" s="166"/>
    </row>
    <row r="22" spans="2:10" x14ac:dyDescent="0.2">
      <c r="B22" s="142"/>
      <c r="C22" s="229"/>
      <c r="D22" s="229"/>
      <c r="E22" s="166"/>
    </row>
    <row r="23" spans="2:10" x14ac:dyDescent="0.2">
      <c r="B23" s="142"/>
      <c r="C23" s="229"/>
      <c r="D23" s="229"/>
      <c r="E23" s="166"/>
    </row>
    <row r="24" spans="2:10" x14ac:dyDescent="0.2">
      <c r="B24" s="142" t="s">
        <v>210</v>
      </c>
      <c r="C24" s="229"/>
      <c r="D24" s="229"/>
      <c r="E24" s="166"/>
    </row>
    <row r="25" spans="2:10" x14ac:dyDescent="0.2">
      <c r="B25" s="169" t="s">
        <v>88</v>
      </c>
      <c r="C25" s="229"/>
      <c r="D25" s="229"/>
      <c r="E25" s="166"/>
    </row>
    <row r="26" spans="2:10" x14ac:dyDescent="0.2">
      <c r="B26" s="143" t="s">
        <v>40</v>
      </c>
      <c r="C26" s="229"/>
      <c r="D26" s="229"/>
      <c r="E26" s="163">
        <f>'NR Rebate'!E7*-1</f>
        <v>0</v>
      </c>
    </row>
    <row r="27" spans="2:10" x14ac:dyDescent="0.2">
      <c r="B27" s="143" t="s">
        <v>38</v>
      </c>
      <c r="C27" s="229"/>
      <c r="D27" s="229"/>
      <c r="E27" s="166"/>
      <c r="G27" s="646" t="str">
        <f>CONCATENATE("Desired Carryover Into ",E1+1,"")</f>
        <v>Desired Carryover Into 2026</v>
      </c>
      <c r="H27" s="647"/>
      <c r="I27" s="647"/>
      <c r="J27" s="648"/>
    </row>
    <row r="28" spans="2:10" x14ac:dyDescent="0.2">
      <c r="B28" s="143" t="s">
        <v>39</v>
      </c>
      <c r="C28" s="230" t="str">
        <f>IF(C29*0.1&lt;C27,"Exceed 10% Rule","")</f>
        <v/>
      </c>
      <c r="D28" s="230" t="str">
        <f>IF(D29*0.1&lt;D27,"Exceed 10% Rule","")</f>
        <v/>
      </c>
      <c r="E28" s="170" t="str">
        <f>IF(E29*0.1+E59&lt;E27,"Exceed 10% Rule","")</f>
        <v/>
      </c>
      <c r="G28" s="298"/>
      <c r="H28" s="299"/>
      <c r="I28" s="300"/>
      <c r="J28" s="301"/>
    </row>
    <row r="29" spans="2:10" x14ac:dyDescent="0.2">
      <c r="B29" s="145" t="s">
        <v>89</v>
      </c>
      <c r="C29" s="516">
        <f>SUM(C9:C27)</f>
        <v>0</v>
      </c>
      <c r="D29" s="516">
        <f>SUM(D9:D27)</f>
        <v>0</v>
      </c>
      <c r="E29" s="516">
        <f>SUM(E9:E27)</f>
        <v>0</v>
      </c>
      <c r="G29" s="302" t="s">
        <v>297</v>
      </c>
      <c r="H29" s="300"/>
      <c r="I29" s="300"/>
      <c r="J29" s="303">
        <v>0</v>
      </c>
    </row>
    <row r="30" spans="2:10" x14ac:dyDescent="0.2">
      <c r="B30" s="145" t="s">
        <v>90</v>
      </c>
      <c r="C30" s="516">
        <f>C7+C29</f>
        <v>0</v>
      </c>
      <c r="D30" s="516">
        <f>D7+D29</f>
        <v>0</v>
      </c>
      <c r="E30" s="516">
        <f>E7+E29</f>
        <v>0</v>
      </c>
      <c r="G30" s="298" t="s">
        <v>298</v>
      </c>
      <c r="H30" s="299"/>
      <c r="I30" s="299"/>
      <c r="J30" s="304" t="str">
        <f>IF(J29=0,"",ROUND((J29+E59-G42)/inputOth!E6*1000,3)-G47)</f>
        <v/>
      </c>
    </row>
    <row r="31" spans="2:10" x14ac:dyDescent="0.2">
      <c r="B31" s="164" t="s">
        <v>93</v>
      </c>
      <c r="C31" s="235"/>
      <c r="D31" s="235"/>
      <c r="E31" s="167"/>
      <c r="G31" s="305" t="str">
        <f>CONCATENATE("",E1," Tot Exp/Non-Appr Must Be:")</f>
        <v>2025 Tot Exp/Non-Appr Must Be:</v>
      </c>
      <c r="H31" s="306"/>
      <c r="I31" s="307"/>
      <c r="J31" s="308">
        <f>IF(J29&gt;0,IF(E56&lt;E30,IF(J29=G42,E56,((J29-G42)*(1-D58))+E30),E56+(J29-G42)),0)</f>
        <v>0</v>
      </c>
    </row>
    <row r="32" spans="2:10" x14ac:dyDescent="0.2">
      <c r="B32" s="150"/>
      <c r="C32" s="229"/>
      <c r="D32" s="229"/>
      <c r="E32" s="166"/>
      <c r="G32" s="309" t="s">
        <v>318</v>
      </c>
      <c r="H32" s="310"/>
      <c r="I32" s="310"/>
      <c r="J32" s="311">
        <f>IF(J29&gt;0,J31-E56,0)</f>
        <v>0</v>
      </c>
    </row>
    <row r="33" spans="2:11" x14ac:dyDescent="0.2">
      <c r="B33" s="150"/>
      <c r="C33" s="229"/>
      <c r="D33" s="229"/>
      <c r="E33" s="166"/>
    </row>
    <row r="34" spans="2:11" x14ac:dyDescent="0.2">
      <c r="B34" s="150"/>
      <c r="C34" s="229"/>
      <c r="D34" s="229"/>
      <c r="E34" s="166"/>
      <c r="G34" s="640" t="str">
        <f>CONCATENATE("Projected Carryover Into ",E1+1,"")</f>
        <v>Projected Carryover Into 2026</v>
      </c>
      <c r="H34" s="647"/>
      <c r="I34" s="647"/>
      <c r="J34" s="648"/>
    </row>
    <row r="35" spans="2:11" x14ac:dyDescent="0.2">
      <c r="B35" s="150"/>
      <c r="C35" s="229"/>
      <c r="D35" s="229"/>
      <c r="E35" s="166"/>
      <c r="G35" s="240"/>
      <c r="H35" s="261"/>
      <c r="I35" s="261"/>
      <c r="J35" s="312"/>
    </row>
    <row r="36" spans="2:11" x14ac:dyDescent="0.2">
      <c r="B36" s="150"/>
      <c r="C36" s="229"/>
      <c r="D36" s="229"/>
      <c r="E36" s="166"/>
      <c r="G36" s="264">
        <f>D53</f>
        <v>0</v>
      </c>
      <c r="H36" s="263" t="str">
        <f>CONCATENATE("",E1-1," Ending Cash Balance (est.)")</f>
        <v>2024 Ending Cash Balance (est.)</v>
      </c>
      <c r="I36" s="262"/>
      <c r="J36" s="313"/>
    </row>
    <row r="37" spans="2:11" x14ac:dyDescent="0.2">
      <c r="B37" s="150"/>
      <c r="C37" s="229"/>
      <c r="D37" s="229"/>
      <c r="E37" s="166"/>
      <c r="G37" s="264">
        <f>E29</f>
        <v>0</v>
      </c>
      <c r="H37" s="261" t="str">
        <f>CONCATENATE("",E1," Non-AV Receipts (est.)")</f>
        <v>2025 Non-AV Receipts (est.)</v>
      </c>
      <c r="I37" s="261"/>
      <c r="J37" s="312"/>
    </row>
    <row r="38" spans="2:11" x14ac:dyDescent="0.2">
      <c r="B38" s="150"/>
      <c r="C38" s="229"/>
      <c r="D38" s="229"/>
      <c r="E38" s="166"/>
      <c r="G38" s="260">
        <f>IF(E58&gt;0,E57,E59)</f>
        <v>0</v>
      </c>
      <c r="H38" s="261" t="str">
        <f>CONCATENATE("",E1," Ad Valorem Tax (est.)")</f>
        <v>2025 Ad Valorem Tax (est.)</v>
      </c>
      <c r="I38" s="261"/>
      <c r="J38" s="312"/>
      <c r="K38" s="314" t="str">
        <f>IF(G38=E59,"","Note: Does not include Delinquent Taxes")</f>
        <v/>
      </c>
    </row>
    <row r="39" spans="2:11" x14ac:dyDescent="0.2">
      <c r="B39" s="150"/>
      <c r="C39" s="229"/>
      <c r="D39" s="229"/>
      <c r="E39" s="166"/>
      <c r="G39" s="264">
        <f>SUM(G36:G38)</f>
        <v>0</v>
      </c>
      <c r="H39" s="261" t="str">
        <f>CONCATENATE("Total ",E1," Resources Available")</f>
        <v>Total 2025 Resources Available</v>
      </c>
      <c r="I39" s="262"/>
      <c r="J39" s="313"/>
    </row>
    <row r="40" spans="2:11" x14ac:dyDescent="0.2">
      <c r="B40" s="150"/>
      <c r="C40" s="229"/>
      <c r="D40" s="229"/>
      <c r="E40" s="166"/>
      <c r="G40" s="259"/>
      <c r="H40" s="261"/>
      <c r="I40" s="261"/>
      <c r="J40" s="312"/>
    </row>
    <row r="41" spans="2:11" x14ac:dyDescent="0.2">
      <c r="B41" s="150"/>
      <c r="C41" s="229"/>
      <c r="D41" s="229"/>
      <c r="E41" s="166"/>
      <c r="G41" s="260">
        <f>C52</f>
        <v>0</v>
      </c>
      <c r="H41" s="261" t="str">
        <f>CONCATENATE("Less ",E1-2," Expenditures")</f>
        <v>Less 2023 Expenditures</v>
      </c>
      <c r="I41" s="261"/>
      <c r="J41" s="312"/>
    </row>
    <row r="42" spans="2:11" x14ac:dyDescent="0.2">
      <c r="B42" s="150"/>
      <c r="C42" s="229"/>
      <c r="D42" s="229"/>
      <c r="E42" s="166"/>
      <c r="G42" s="336">
        <f>G39-G41</f>
        <v>0</v>
      </c>
      <c r="H42" s="239" t="str">
        <f>CONCATENATE("Projected ",E1+1," carryover (est.)")</f>
        <v>Projected 2026 carryover (est.)</v>
      </c>
      <c r="I42" s="242"/>
      <c r="J42" s="315"/>
    </row>
    <row r="43" spans="2:11" x14ac:dyDescent="0.2">
      <c r="B43" s="150"/>
      <c r="C43" s="229"/>
      <c r="D43" s="229"/>
      <c r="E43" s="166"/>
    </row>
    <row r="44" spans="2:11" x14ac:dyDescent="0.2">
      <c r="B44" s="150"/>
      <c r="C44" s="229"/>
      <c r="D44" s="229"/>
      <c r="E44" s="166"/>
      <c r="G44" s="649" t="s">
        <v>558</v>
      </c>
      <c r="H44" s="650"/>
      <c r="I44" s="650"/>
      <c r="J44" s="651"/>
    </row>
    <row r="45" spans="2:11" x14ac:dyDescent="0.2">
      <c r="B45" s="150"/>
      <c r="C45" s="229"/>
      <c r="D45" s="229"/>
      <c r="E45" s="166"/>
      <c r="G45" s="652"/>
      <c r="H45" s="653"/>
      <c r="I45" s="653"/>
      <c r="J45" s="654"/>
    </row>
    <row r="46" spans="2:11" x14ac:dyDescent="0.2">
      <c r="B46" s="150"/>
      <c r="C46" s="229"/>
      <c r="D46" s="229"/>
      <c r="E46" s="166"/>
      <c r="G46" s="509" t="str">
        <f>'Budget Hearing Notice'!H17</f>
        <v xml:space="preserve">  </v>
      </c>
      <c r="H46" s="316" t="str">
        <f>CONCATENATE("",E1," Estimated Fund Mill Rate")</f>
        <v>2025 Estimated Fund Mill Rate</v>
      </c>
      <c r="I46" s="510"/>
      <c r="J46" s="511"/>
    </row>
    <row r="47" spans="2:11" x14ac:dyDescent="0.2">
      <c r="B47" s="150"/>
      <c r="C47" s="229"/>
      <c r="D47" s="229"/>
      <c r="E47" s="166"/>
      <c r="G47" s="512" t="str">
        <f>'Budget Hearing Notice'!E17</f>
        <v xml:space="preserve">  </v>
      </c>
      <c r="H47" s="316" t="str">
        <f>CONCATENATE("",E1-1," Fund Mill Rate")</f>
        <v>2024 Fund Mill Rate</v>
      </c>
      <c r="I47" s="510"/>
      <c r="J47" s="511"/>
    </row>
    <row r="48" spans="2:11" x14ac:dyDescent="0.2">
      <c r="B48" s="150"/>
      <c r="C48" s="229"/>
      <c r="D48" s="229"/>
      <c r="E48" s="166"/>
      <c r="G48" s="513">
        <f>'Budget Hearing Notice'!H62</f>
        <v>0</v>
      </c>
      <c r="H48" s="514" t="s">
        <v>559</v>
      </c>
      <c r="I48" s="510"/>
      <c r="J48" s="511"/>
    </row>
    <row r="49" spans="2:10" x14ac:dyDescent="0.2">
      <c r="B49" s="143" t="str">
        <f>CONCATENATE("Cash Reserve (",E1," column)")</f>
        <v>Cash Reserve (2025 column)</v>
      </c>
      <c r="C49" s="229"/>
      <c r="D49" s="229"/>
      <c r="E49" s="166"/>
      <c r="G49" s="509">
        <f>'Budget Hearing Notice'!H61</f>
        <v>0</v>
      </c>
      <c r="H49" s="316" t="str">
        <f>CONCATENATE(E1," Estimated Total Mill Rate")</f>
        <v>2025 Estimated Total Mill Rate</v>
      </c>
      <c r="I49" s="510"/>
      <c r="J49" s="511"/>
    </row>
    <row r="50" spans="2:10" x14ac:dyDescent="0.2">
      <c r="B50" s="143" t="s">
        <v>38</v>
      </c>
      <c r="C50" s="229"/>
      <c r="D50" s="229"/>
      <c r="E50" s="166"/>
      <c r="G50" s="515">
        <f>'Budget Hearing Notice'!E61</f>
        <v>0</v>
      </c>
      <c r="H50" s="316" t="str">
        <f>CONCATENATE(E1-1," Total Mill Rate")</f>
        <v>2024 Total Mill Rate</v>
      </c>
      <c r="I50" s="510"/>
      <c r="J50" s="511"/>
    </row>
    <row r="51" spans="2:10" x14ac:dyDescent="0.2">
      <c r="B51" s="143" t="s">
        <v>41</v>
      </c>
      <c r="C51" s="230" t="str">
        <f>IF(C52*0.1&lt;C50,"Exceed 10% Rule","")</f>
        <v/>
      </c>
      <c r="D51" s="230" t="str">
        <f>IF(D52*0.1&lt;D50,"Exceed 10% Rule","")</f>
        <v/>
      </c>
      <c r="E51" s="170" t="str">
        <f>IF(E52*0.1&lt;E50,"Exceed 10% Rule","")</f>
        <v/>
      </c>
      <c r="G51" s="327"/>
      <c r="H51" s="299"/>
      <c r="I51" s="299"/>
      <c r="J51" s="329"/>
    </row>
    <row r="52" spans="2:10" x14ac:dyDescent="0.2">
      <c r="B52" s="145" t="s">
        <v>94</v>
      </c>
      <c r="C52" s="516">
        <f>SUM(C32:C50)</f>
        <v>0</v>
      </c>
      <c r="D52" s="516">
        <f>SUM(D32:D50)</f>
        <v>0</v>
      </c>
      <c r="E52" s="516">
        <f>SUM(E32:E50)</f>
        <v>0</v>
      </c>
      <c r="G52" s="655" t="s">
        <v>560</v>
      </c>
      <c r="H52" s="656"/>
      <c r="I52" s="656"/>
      <c r="J52" s="659" t="str">
        <f>IF(G49&gt;G48, "Yes", "No")</f>
        <v>No</v>
      </c>
    </row>
    <row r="53" spans="2:10" x14ac:dyDescent="0.2">
      <c r="B53" s="60" t="s">
        <v>196</v>
      </c>
      <c r="C53" s="163">
        <f>C30-C52</f>
        <v>0</v>
      </c>
      <c r="D53" s="163">
        <f>D30-D52</f>
        <v>0</v>
      </c>
      <c r="E53" s="165" t="s">
        <v>66</v>
      </c>
      <c r="G53" s="657"/>
      <c r="H53" s="658"/>
      <c r="I53" s="658"/>
      <c r="J53" s="660"/>
    </row>
    <row r="54" spans="2:10" x14ac:dyDescent="0.2">
      <c r="B54" s="135" t="str">
        <f>CONCATENATE("",E1-2,"/",E1-1,"/",E1," Budget Authority Amount:")</f>
        <v>2023/2024/2025 Budget Authority Amount:</v>
      </c>
      <c r="C54" s="167">
        <f>inputOth!B34</f>
        <v>0</v>
      </c>
      <c r="D54" s="167">
        <f>inputPrYr!D18</f>
        <v>0</v>
      </c>
      <c r="E54" s="106">
        <f>E52</f>
        <v>0</v>
      </c>
      <c r="F54" s="151"/>
      <c r="G54" s="661" t="str">
        <f>IF(J52="Yes", "Follow procedure prescribed by KSA 79-2988 to exceed the Revenue Neutral Rate.", " ")</f>
        <v xml:space="preserve"> </v>
      </c>
      <c r="H54" s="661"/>
      <c r="I54" s="661"/>
      <c r="J54" s="661"/>
    </row>
    <row r="55" spans="2:10" x14ac:dyDescent="0.2">
      <c r="B55" s="125"/>
      <c r="C55" s="636" t="s">
        <v>294</v>
      </c>
      <c r="D55" s="637"/>
      <c r="E55" s="42"/>
      <c r="F55" s="238" t="str">
        <f>IF(E52/0.95-E52&lt;E55,"Exceeds 5%","")</f>
        <v/>
      </c>
      <c r="G55" s="662"/>
      <c r="H55" s="662"/>
      <c r="I55" s="662"/>
      <c r="J55" s="662"/>
    </row>
    <row r="56" spans="2:10" x14ac:dyDescent="0.2">
      <c r="B56" s="266" t="str">
        <f>CONCATENATE(C76,"     ",D76)</f>
        <v xml:space="preserve">     </v>
      </c>
      <c r="C56" s="638" t="s">
        <v>295</v>
      </c>
      <c r="D56" s="639"/>
      <c r="E56" s="106">
        <f>E52+E55</f>
        <v>0</v>
      </c>
      <c r="G56" s="662"/>
      <c r="H56" s="662"/>
      <c r="I56" s="662"/>
      <c r="J56" s="662"/>
    </row>
    <row r="57" spans="2:10" x14ac:dyDescent="0.2">
      <c r="B57" s="266" t="str">
        <f>CONCATENATE(C77,"     ",D77)</f>
        <v xml:space="preserve">     </v>
      </c>
      <c r="C57" s="152"/>
      <c r="D57" s="90" t="s">
        <v>95</v>
      </c>
      <c r="E57" s="163">
        <f>IF(E56-E30&gt;0,E56-E30,0)</f>
        <v>0</v>
      </c>
    </row>
    <row r="58" spans="2:10" x14ac:dyDescent="0.2">
      <c r="B58" s="90"/>
      <c r="C58" s="265" t="s">
        <v>296</v>
      </c>
      <c r="D58" s="297">
        <f>inputOth!$E$26</f>
        <v>0</v>
      </c>
      <c r="E58" s="106">
        <f>ROUND(IF(D58&gt;0,(E57*D58),0),0)</f>
        <v>0</v>
      </c>
    </row>
    <row r="59" spans="2:10" x14ac:dyDescent="0.2">
      <c r="B59" s="26"/>
      <c r="C59" s="644" t="str">
        <f>CONCATENATE("Amount of  ",$E$1-1," Ad Valorem Tax")</f>
        <v>Amount of  2024 Ad Valorem Tax</v>
      </c>
      <c r="D59" s="663"/>
      <c r="E59" s="163">
        <f>E57+E58</f>
        <v>0</v>
      </c>
    </row>
    <row r="60" spans="2:10" x14ac:dyDescent="0.2">
      <c r="B60" s="26"/>
      <c r="C60" s="125"/>
      <c r="D60" s="26"/>
      <c r="E60" s="26"/>
    </row>
    <row r="61" spans="2:10" x14ac:dyDescent="0.2">
      <c r="B61" s="423" t="s">
        <v>354</v>
      </c>
      <c r="C61" s="402"/>
      <c r="D61" s="347"/>
      <c r="E61" s="397"/>
    </row>
    <row r="62" spans="2:10" x14ac:dyDescent="0.2">
      <c r="B62" s="404"/>
      <c r="C62" s="26"/>
      <c r="D62" s="26"/>
      <c r="E62" s="312"/>
    </row>
    <row r="63" spans="2:10" x14ac:dyDescent="0.2">
      <c r="B63" s="405"/>
      <c r="C63" s="44"/>
      <c r="D63" s="44"/>
      <c r="E63" s="47"/>
    </row>
    <row r="64" spans="2:10" x14ac:dyDescent="0.2">
      <c r="B64" s="90"/>
      <c r="C64" s="26"/>
      <c r="D64" s="26"/>
      <c r="E64" s="26"/>
    </row>
    <row r="65" spans="2:5" x14ac:dyDescent="0.2">
      <c r="B65" s="125" t="s">
        <v>146</v>
      </c>
      <c r="C65" s="368"/>
      <c r="D65" s="26"/>
      <c r="E65" s="26"/>
    </row>
    <row r="72" spans="2:5" hidden="1" x14ac:dyDescent="0.2"/>
    <row r="73" spans="2:5" hidden="1" x14ac:dyDescent="0.2"/>
    <row r="76" spans="2:5" x14ac:dyDescent="0.2">
      <c r="C76" s="56" t="str">
        <f>IF(C52&gt;C54,"SeeTab A","")</f>
        <v/>
      </c>
      <c r="D76" s="56" t="str">
        <f>IF(D52&gt;D54,"See Tab C","")</f>
        <v/>
      </c>
    </row>
    <row r="77" spans="2:5" x14ac:dyDescent="0.2">
      <c r="C77" s="56" t="str">
        <f>IF(C53&lt;0,"See Tab B","")</f>
        <v/>
      </c>
      <c r="D77" s="56" t="str">
        <f>IF(D53&lt;0,"See Tab D","")</f>
        <v/>
      </c>
    </row>
  </sheetData>
  <sheetProtection sheet="1" objects="1" scenarios="1"/>
  <mergeCells count="9">
    <mergeCell ref="C55:D55"/>
    <mergeCell ref="C56:D56"/>
    <mergeCell ref="C59:D59"/>
    <mergeCell ref="G27:J27"/>
    <mergeCell ref="G34:J34"/>
    <mergeCell ref="G44:J45"/>
    <mergeCell ref="G52:I53"/>
    <mergeCell ref="J52:J53"/>
    <mergeCell ref="G54:J56"/>
  </mergeCells>
  <phoneticPr fontId="7" type="noConversion"/>
  <conditionalFormatting sqref="C27">
    <cfRule type="cellIs" dxfId="365" priority="12" stopIfTrue="1" operator="greaterThan">
      <formula>$C$29*0.1</formula>
    </cfRule>
  </conditionalFormatting>
  <conditionalFormatting sqref="C50">
    <cfRule type="cellIs" dxfId="364" priority="15" stopIfTrue="1" operator="greaterThan">
      <formula>$C$52*0.1</formula>
    </cfRule>
  </conditionalFormatting>
  <conditionalFormatting sqref="C52:D52">
    <cfRule type="cellIs" dxfId="363" priority="3" stopIfTrue="1" operator="greaterThan">
      <formula>$C$54</formula>
    </cfRule>
  </conditionalFormatting>
  <conditionalFormatting sqref="C53:D53">
    <cfRule type="cellIs" dxfId="362" priority="1" stopIfTrue="1" operator="lessThan">
      <formula>0</formula>
    </cfRule>
  </conditionalFormatting>
  <conditionalFormatting sqref="D27">
    <cfRule type="cellIs" dxfId="361" priority="13" stopIfTrue="1" operator="greaterThan">
      <formula>$D$29*0.1</formula>
    </cfRule>
  </conditionalFormatting>
  <conditionalFormatting sqref="D50">
    <cfRule type="cellIs" dxfId="360" priority="16" stopIfTrue="1" operator="greaterThan">
      <formula>$D$52*0.1</formula>
    </cfRule>
  </conditionalFormatting>
  <conditionalFormatting sqref="E27">
    <cfRule type="cellIs" dxfId="359" priority="14" stopIfTrue="1" operator="greaterThan">
      <formula>$E$29*0.1+E59</formula>
    </cfRule>
  </conditionalFormatting>
  <conditionalFormatting sqref="E50">
    <cfRule type="cellIs" dxfId="358" priority="7" stopIfTrue="1" operator="greaterThan">
      <formula>$E$52*0.1</formula>
    </cfRule>
  </conditionalFormatting>
  <conditionalFormatting sqref="E55">
    <cfRule type="cellIs" dxfId="357" priority="8" stopIfTrue="1" operator="greaterThan">
      <formula>$E$52/0.95-$E$52</formula>
    </cfRule>
  </conditionalFormatting>
  <conditionalFormatting sqref="J52">
    <cfRule type="containsText" dxfId="356" priority="5" operator="containsText" text="Yes">
      <formula>NOT(ISERROR(SEARCH("Yes",J52)))</formula>
    </cfRule>
  </conditionalFormatting>
  <pageMargins left="0.75" right="0.75" top="1" bottom="1" header="0.5" footer="0.5"/>
  <pageSetup scale="76" orientation="portrait" blackAndWhite="1" r:id="rId1"/>
  <headerFooter alignWithMargins="0">
    <oddHeader>&amp;RState of Kansas
County</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8">
    <tabColor rgb="FF00B0F0"/>
  </sheetPr>
  <dimension ref="B1:K126"/>
  <sheetViews>
    <sheetView zoomScaleNormal="100" workbookViewId="0">
      <selection activeCell="C101" sqref="C101:E101"/>
    </sheetView>
  </sheetViews>
  <sheetFormatPr defaultRowHeight="15.75" x14ac:dyDescent="0.2"/>
  <cols>
    <col min="1" max="1" width="2.44140625" style="23" customWidth="1"/>
    <col min="2" max="2" width="31.109375" style="23" customWidth="1"/>
    <col min="3" max="4" width="15.77734375" style="23" customWidth="1"/>
    <col min="5" max="5" width="16.21875" style="23" customWidth="1"/>
    <col min="6" max="6" width="7.44140625" style="23" customWidth="1"/>
    <col min="7" max="7" width="10.21875" style="23" customWidth="1"/>
    <col min="8" max="8" width="8.88671875" style="23"/>
    <col min="9" max="9" width="5.77734375" style="23" customWidth="1"/>
    <col min="10" max="10" width="10" style="23" customWidth="1"/>
    <col min="11" max="16384" width="8.88671875" style="23"/>
  </cols>
  <sheetData>
    <row r="1" spans="2:5" x14ac:dyDescent="0.2">
      <c r="B1" s="57">
        <f>inputPrYr!C3</f>
        <v>0</v>
      </c>
      <c r="C1" s="26"/>
      <c r="D1" s="26"/>
      <c r="E1" s="125">
        <f>inputPrYr!C5</f>
        <v>2025</v>
      </c>
    </row>
    <row r="2" spans="2:5" x14ac:dyDescent="0.2">
      <c r="B2" s="26"/>
      <c r="C2" s="26"/>
      <c r="D2" s="26"/>
      <c r="E2" s="90"/>
    </row>
    <row r="3" spans="2:5" x14ac:dyDescent="0.2">
      <c r="B3" s="64" t="s">
        <v>185</v>
      </c>
      <c r="C3" s="26"/>
      <c r="D3" s="26"/>
      <c r="E3" s="134"/>
    </row>
    <row r="4" spans="2:5" x14ac:dyDescent="0.2">
      <c r="B4" s="135" t="s">
        <v>80</v>
      </c>
      <c r="C4" s="339" t="s">
        <v>319</v>
      </c>
      <c r="D4" s="340" t="s">
        <v>320</v>
      </c>
      <c r="E4" s="80" t="s">
        <v>321</v>
      </c>
    </row>
    <row r="5" spans="2:5" x14ac:dyDescent="0.2">
      <c r="B5" s="248" t="str">
        <f>inputPrYr!B19</f>
        <v>Road &amp; Bridge</v>
      </c>
      <c r="C5" s="231" t="str">
        <f>CONCATENATE("Actual for ",E1-2,"")</f>
        <v>Actual for 2023</v>
      </c>
      <c r="D5" s="231" t="str">
        <f>CONCATENATE("Estimate for ",E1-1,"")</f>
        <v>Estimate for 2024</v>
      </c>
      <c r="E5" s="136" t="str">
        <f>CONCATENATE("Year for ",E1,"")</f>
        <v>Year for 2025</v>
      </c>
    </row>
    <row r="6" spans="2:5" x14ac:dyDescent="0.2">
      <c r="B6" s="137" t="s">
        <v>195</v>
      </c>
      <c r="C6" s="229"/>
      <c r="D6" s="232">
        <f>C104</f>
        <v>0</v>
      </c>
      <c r="E6" s="106">
        <f>D104</f>
        <v>0</v>
      </c>
    </row>
    <row r="7" spans="2:5" x14ac:dyDescent="0.2">
      <c r="B7" s="128" t="s">
        <v>197</v>
      </c>
      <c r="C7" s="139"/>
      <c r="D7" s="139"/>
      <c r="E7" s="50"/>
    </row>
    <row r="8" spans="2:5" x14ac:dyDescent="0.2">
      <c r="B8" s="137" t="s">
        <v>81</v>
      </c>
      <c r="C8" s="229"/>
      <c r="D8" s="232">
        <f>IF(inputPrYr!H19&gt;0,inputPrYr!H19,inputPrYr!E19)</f>
        <v>0</v>
      </c>
      <c r="E8" s="86" t="s">
        <v>66</v>
      </c>
    </row>
    <row r="9" spans="2:5" x14ac:dyDescent="0.2">
      <c r="B9" s="137" t="s">
        <v>82</v>
      </c>
      <c r="C9" s="229"/>
      <c r="D9" s="229"/>
      <c r="E9" s="140"/>
    </row>
    <row r="10" spans="2:5" x14ac:dyDescent="0.2">
      <c r="B10" s="137" t="s">
        <v>83</v>
      </c>
      <c r="C10" s="229"/>
      <c r="D10" s="229"/>
      <c r="E10" s="50" t="str">
        <f>Mvalloc!D9</f>
        <v xml:space="preserve"> </v>
      </c>
    </row>
    <row r="11" spans="2:5" x14ac:dyDescent="0.2">
      <c r="B11" s="137" t="s">
        <v>84</v>
      </c>
      <c r="C11" s="229"/>
      <c r="D11" s="229"/>
      <c r="E11" s="50" t="str">
        <f>Mvalloc!E9</f>
        <v xml:space="preserve"> </v>
      </c>
    </row>
    <row r="12" spans="2:5" x14ac:dyDescent="0.2">
      <c r="B12" s="139" t="s">
        <v>190</v>
      </c>
      <c r="C12" s="229"/>
      <c r="D12" s="229"/>
      <c r="E12" s="50" t="str">
        <f>Mvalloc!F9</f>
        <v xml:space="preserve"> </v>
      </c>
    </row>
    <row r="13" spans="2:5" x14ac:dyDescent="0.2">
      <c r="B13" s="137" t="s">
        <v>348</v>
      </c>
      <c r="C13" s="229"/>
      <c r="D13" s="229"/>
      <c r="E13" s="50" t="str">
        <f>Mvalloc!G9</f>
        <v xml:space="preserve"> </v>
      </c>
    </row>
    <row r="14" spans="2:5" x14ac:dyDescent="0.2">
      <c r="B14" s="137" t="s">
        <v>349</v>
      </c>
      <c r="C14" s="229"/>
      <c r="D14" s="229"/>
      <c r="E14" s="50" t="str">
        <f>Mvalloc!H9</f>
        <v xml:space="preserve"> </v>
      </c>
    </row>
    <row r="15" spans="2:5" x14ac:dyDescent="0.2">
      <c r="B15" s="172" t="s">
        <v>6</v>
      </c>
      <c r="C15" s="229"/>
      <c r="D15" s="229"/>
      <c r="E15" s="59"/>
    </row>
    <row r="16" spans="2:5" x14ac:dyDescent="0.2">
      <c r="B16" s="172" t="s">
        <v>7</v>
      </c>
      <c r="C16" s="229"/>
      <c r="D16" s="229"/>
      <c r="E16" s="59"/>
    </row>
    <row r="17" spans="2:5" x14ac:dyDescent="0.2">
      <c r="B17" s="172"/>
      <c r="C17" s="229"/>
      <c r="D17" s="229"/>
      <c r="E17" s="59"/>
    </row>
    <row r="18" spans="2:5" x14ac:dyDescent="0.2">
      <c r="B18" s="173"/>
      <c r="C18" s="229"/>
      <c r="D18" s="229"/>
      <c r="E18" s="59"/>
    </row>
    <row r="19" spans="2:5" x14ac:dyDescent="0.2">
      <c r="B19" s="142"/>
      <c r="C19" s="229"/>
      <c r="D19" s="229"/>
      <c r="E19" s="140"/>
    </row>
    <row r="20" spans="2:5" x14ac:dyDescent="0.2">
      <c r="B20" s="142"/>
      <c r="C20" s="229"/>
      <c r="D20" s="229"/>
      <c r="E20" s="140"/>
    </row>
    <row r="21" spans="2:5" x14ac:dyDescent="0.2">
      <c r="B21" s="141"/>
      <c r="C21" s="229"/>
      <c r="D21" s="229"/>
      <c r="E21" s="140"/>
    </row>
    <row r="22" spans="2:5" x14ac:dyDescent="0.2">
      <c r="B22" s="141"/>
      <c r="C22" s="229"/>
      <c r="D22" s="229"/>
      <c r="E22" s="140"/>
    </row>
    <row r="23" spans="2:5" x14ac:dyDescent="0.2">
      <c r="B23" s="141"/>
      <c r="C23" s="229"/>
      <c r="D23" s="229"/>
      <c r="E23" s="140"/>
    </row>
    <row r="24" spans="2:5" x14ac:dyDescent="0.2">
      <c r="B24" s="141"/>
      <c r="C24" s="229"/>
      <c r="D24" s="229"/>
      <c r="E24" s="140"/>
    </row>
    <row r="25" spans="2:5" x14ac:dyDescent="0.2">
      <c r="B25" s="141"/>
      <c r="C25" s="229"/>
      <c r="D25" s="229"/>
      <c r="E25" s="140"/>
    </row>
    <row r="26" spans="2:5" x14ac:dyDescent="0.2">
      <c r="B26" s="141"/>
      <c r="C26" s="229"/>
      <c r="D26" s="229"/>
      <c r="E26" s="140"/>
    </row>
    <row r="27" spans="2:5" x14ac:dyDescent="0.2">
      <c r="B27" s="141"/>
      <c r="C27" s="229"/>
      <c r="D27" s="229"/>
      <c r="E27" s="140"/>
    </row>
    <row r="28" spans="2:5" x14ac:dyDescent="0.2">
      <c r="B28" s="141"/>
      <c r="C28" s="229"/>
      <c r="D28" s="229"/>
      <c r="E28" s="140"/>
    </row>
    <row r="29" spans="2:5" x14ac:dyDescent="0.2">
      <c r="B29" s="141"/>
      <c r="C29" s="229"/>
      <c r="D29" s="229"/>
      <c r="E29" s="140"/>
    </row>
    <row r="30" spans="2:5" x14ac:dyDescent="0.2">
      <c r="B30" s="141"/>
      <c r="C30" s="229"/>
      <c r="D30" s="229"/>
      <c r="E30" s="140"/>
    </row>
    <row r="31" spans="2:5" x14ac:dyDescent="0.2">
      <c r="B31" s="141"/>
      <c r="C31" s="229"/>
      <c r="D31" s="229"/>
      <c r="E31" s="140"/>
    </row>
    <row r="32" spans="2:5" x14ac:dyDescent="0.2">
      <c r="B32" s="141"/>
      <c r="C32" s="229"/>
      <c r="D32" s="229"/>
      <c r="E32" s="140"/>
    </row>
    <row r="33" spans="2:5" x14ac:dyDescent="0.2">
      <c r="B33" s="141"/>
      <c r="C33" s="229"/>
      <c r="D33" s="229"/>
      <c r="E33" s="140"/>
    </row>
    <row r="34" spans="2:5" x14ac:dyDescent="0.2">
      <c r="B34" s="141"/>
      <c r="C34" s="229"/>
      <c r="D34" s="229"/>
      <c r="E34" s="140"/>
    </row>
    <row r="35" spans="2:5" x14ac:dyDescent="0.2">
      <c r="B35" s="141"/>
      <c r="C35" s="229"/>
      <c r="D35" s="229"/>
      <c r="E35" s="140"/>
    </row>
    <row r="36" spans="2:5" x14ac:dyDescent="0.2">
      <c r="B36" s="141"/>
      <c r="C36" s="229"/>
      <c r="D36" s="229"/>
      <c r="E36" s="140"/>
    </row>
    <row r="37" spans="2:5" x14ac:dyDescent="0.2">
      <c r="B37" s="141"/>
      <c r="C37" s="229"/>
      <c r="D37" s="229"/>
      <c r="E37" s="140"/>
    </row>
    <row r="38" spans="2:5" x14ac:dyDescent="0.2">
      <c r="B38" s="141"/>
      <c r="C38" s="229"/>
      <c r="D38" s="229"/>
      <c r="E38" s="140"/>
    </row>
    <row r="39" spans="2:5" x14ac:dyDescent="0.2">
      <c r="B39" s="141"/>
      <c r="C39" s="229"/>
      <c r="D39" s="229"/>
      <c r="E39" s="140"/>
    </row>
    <row r="40" spans="2:5" x14ac:dyDescent="0.2">
      <c r="B40" s="141"/>
      <c r="C40" s="229"/>
      <c r="D40" s="229"/>
      <c r="E40" s="140"/>
    </row>
    <row r="41" spans="2:5" x14ac:dyDescent="0.2">
      <c r="B41" s="141"/>
      <c r="C41" s="229"/>
      <c r="D41" s="229"/>
      <c r="E41" s="140"/>
    </row>
    <row r="42" spans="2:5" x14ac:dyDescent="0.2">
      <c r="B42" s="141"/>
      <c r="C42" s="229"/>
      <c r="D42" s="229"/>
      <c r="E42" s="140"/>
    </row>
    <row r="43" spans="2:5" x14ac:dyDescent="0.2">
      <c r="B43" s="141"/>
      <c r="C43" s="229"/>
      <c r="D43" s="229"/>
      <c r="E43" s="140"/>
    </row>
    <row r="44" spans="2:5" x14ac:dyDescent="0.2">
      <c r="B44" s="141"/>
      <c r="C44" s="229"/>
      <c r="D44" s="229"/>
      <c r="E44" s="140"/>
    </row>
    <row r="45" spans="2:5" x14ac:dyDescent="0.2">
      <c r="B45" s="141"/>
      <c r="C45" s="229"/>
      <c r="D45" s="229"/>
      <c r="E45" s="140"/>
    </row>
    <row r="46" spans="2:5" x14ac:dyDescent="0.2">
      <c r="B46" s="141"/>
      <c r="C46" s="229"/>
      <c r="D46" s="229"/>
      <c r="E46" s="140"/>
    </row>
    <row r="47" spans="2:5" x14ac:dyDescent="0.2">
      <c r="B47" s="141"/>
      <c r="C47" s="229"/>
      <c r="D47" s="229"/>
      <c r="E47" s="140"/>
    </row>
    <row r="48" spans="2:5" x14ac:dyDescent="0.2">
      <c r="B48" s="141"/>
      <c r="C48" s="229"/>
      <c r="D48" s="229"/>
      <c r="E48" s="140"/>
    </row>
    <row r="49" spans="2:5" x14ac:dyDescent="0.2">
      <c r="B49" s="141"/>
      <c r="C49" s="229"/>
      <c r="D49" s="229"/>
      <c r="E49" s="140"/>
    </row>
    <row r="50" spans="2:5" x14ac:dyDescent="0.2">
      <c r="B50" s="142" t="s">
        <v>88</v>
      </c>
      <c r="C50" s="229"/>
      <c r="D50" s="229"/>
      <c r="E50" s="140"/>
    </row>
    <row r="51" spans="2:5" x14ac:dyDescent="0.2">
      <c r="B51" s="143" t="s">
        <v>40</v>
      </c>
      <c r="C51" s="229"/>
      <c r="D51" s="229"/>
      <c r="E51" s="106">
        <f>'NR Rebate'!E8*-1</f>
        <v>0</v>
      </c>
    </row>
    <row r="52" spans="2:5" x14ac:dyDescent="0.2">
      <c r="B52" s="143" t="s">
        <v>38</v>
      </c>
      <c r="C52" s="229"/>
      <c r="D52" s="229"/>
      <c r="E52" s="140"/>
    </row>
    <row r="53" spans="2:5" x14ac:dyDescent="0.2">
      <c r="B53" s="143" t="s">
        <v>291</v>
      </c>
      <c r="C53" s="230" t="str">
        <f>IF(C54*0.1&lt;C52,"Exceed 10% Rule","")</f>
        <v/>
      </c>
      <c r="D53" s="230" t="str">
        <f>IF(D54*0.1&lt;D52,"Exceed 10% Rule","")</f>
        <v/>
      </c>
      <c r="E53" s="170" t="str">
        <f>IF(E54*0.1+E110&lt;E52,"Exceed 10% Rule","")</f>
        <v/>
      </c>
    </row>
    <row r="54" spans="2:5" x14ac:dyDescent="0.2">
      <c r="B54" s="145" t="s">
        <v>89</v>
      </c>
      <c r="C54" s="463">
        <f>SUM(C8:C52)</f>
        <v>0</v>
      </c>
      <c r="D54" s="463">
        <f>SUM(D8:D52)</f>
        <v>0</v>
      </c>
      <c r="E54" s="463">
        <f>SUM(E9:E52)</f>
        <v>0</v>
      </c>
    </row>
    <row r="55" spans="2:5" x14ac:dyDescent="0.2">
      <c r="B55" s="145" t="s">
        <v>90</v>
      </c>
      <c r="C55" s="463">
        <f>C6+C54</f>
        <v>0</v>
      </c>
      <c r="D55" s="463">
        <f>D6+D54</f>
        <v>0</v>
      </c>
      <c r="E55" s="463">
        <f>E6+E54</f>
        <v>0</v>
      </c>
    </row>
    <row r="56" spans="2:5" x14ac:dyDescent="0.2">
      <c r="B56" s="26"/>
      <c r="C56" s="57"/>
      <c r="D56" s="57"/>
      <c r="E56" s="57"/>
    </row>
    <row r="57" spans="2:5" x14ac:dyDescent="0.2">
      <c r="B57" s="125" t="s">
        <v>146</v>
      </c>
      <c r="C57" s="368"/>
      <c r="D57" s="31"/>
      <c r="E57" s="31"/>
    </row>
    <row r="58" spans="2:5" x14ac:dyDescent="0.2">
      <c r="B58" s="31"/>
      <c r="C58" s="31"/>
      <c r="D58" s="31"/>
      <c r="E58" s="31"/>
    </row>
    <row r="59" spans="2:5" x14ac:dyDescent="0.2">
      <c r="B59" s="57">
        <f>inputPrYr!C3</f>
        <v>0</v>
      </c>
      <c r="C59" s="57"/>
      <c r="D59" s="57"/>
      <c r="E59" s="125">
        <f>inputPrYr!C5</f>
        <v>2025</v>
      </c>
    </row>
    <row r="60" spans="2:5" x14ac:dyDescent="0.2">
      <c r="B60" s="26"/>
      <c r="C60" s="57"/>
      <c r="D60" s="57"/>
      <c r="E60" s="90"/>
    </row>
    <row r="61" spans="2:5" x14ac:dyDescent="0.2">
      <c r="B61" s="146" t="s">
        <v>183</v>
      </c>
      <c r="C61" s="147"/>
      <c r="D61" s="147"/>
      <c r="E61" s="147"/>
    </row>
    <row r="62" spans="2:5" x14ac:dyDescent="0.2">
      <c r="B62" s="26" t="s">
        <v>80</v>
      </c>
      <c r="C62" s="339" t="s">
        <v>319</v>
      </c>
      <c r="D62" s="340" t="s">
        <v>320</v>
      </c>
      <c r="E62" s="80" t="s">
        <v>321</v>
      </c>
    </row>
    <row r="63" spans="2:5" x14ac:dyDescent="0.2">
      <c r="B63" s="65" t="str">
        <f>B5</f>
        <v>Road &amp; Bridge</v>
      </c>
      <c r="C63" s="231" t="str">
        <f>CONCATENATE("Actual for ",E59-2,"")</f>
        <v>Actual for 2023</v>
      </c>
      <c r="D63" s="231" t="str">
        <f>CONCATENATE("Estimate for ",E59-1,"")</f>
        <v>Estimate for 2024</v>
      </c>
      <c r="E63" s="136" t="str">
        <f>CONCATENATE("Year for ",E59,"")</f>
        <v>Year for 2025</v>
      </c>
    </row>
    <row r="64" spans="2:5" x14ac:dyDescent="0.2">
      <c r="B64" s="145" t="s">
        <v>90</v>
      </c>
      <c r="C64" s="232">
        <f>C55</f>
        <v>0</v>
      </c>
      <c r="D64" s="232">
        <f>D55</f>
        <v>0</v>
      </c>
      <c r="E64" s="106">
        <f>E55</f>
        <v>0</v>
      </c>
    </row>
    <row r="65" spans="2:10" x14ac:dyDescent="0.2">
      <c r="B65" s="137" t="s">
        <v>8</v>
      </c>
      <c r="C65" s="139"/>
      <c r="D65" s="139"/>
      <c r="E65" s="50"/>
    </row>
    <row r="66" spans="2:10" x14ac:dyDescent="0.2">
      <c r="B66" s="139" t="str">
        <f>IF(('Road &amp; Bridge Detail'!$A7&gt;" "),('Road &amp; Bridge Detail'!$A7)," ")</f>
        <v xml:space="preserve"> </v>
      </c>
      <c r="C66" s="232">
        <f>'Road &amp; Bridge Detail'!$B12</f>
        <v>0</v>
      </c>
      <c r="D66" s="232">
        <f>'Road &amp; Bridge Detail'!$C12</f>
        <v>0</v>
      </c>
      <c r="E66" s="106">
        <f>'Road &amp; Bridge Detail'!$D12</f>
        <v>0</v>
      </c>
    </row>
    <row r="67" spans="2:10" x14ac:dyDescent="0.2">
      <c r="B67" s="139" t="str">
        <f>IF(('Road &amp; Bridge Detail'!$A13&gt;" "),('Road &amp; Bridge Detail'!$A13)," ")</f>
        <v xml:space="preserve"> </v>
      </c>
      <c r="C67" s="232">
        <f>'Road &amp; Bridge Detail'!$B18</f>
        <v>0</v>
      </c>
      <c r="D67" s="232">
        <f>'Road &amp; Bridge Detail'!$C18</f>
        <v>0</v>
      </c>
      <c r="E67" s="106">
        <f>'Road &amp; Bridge Detail'!$D18</f>
        <v>0</v>
      </c>
    </row>
    <row r="68" spans="2:10" x14ac:dyDescent="0.2">
      <c r="B68" s="139" t="str">
        <f>IF(('Road &amp; Bridge Detail'!$A19&gt;" "),('Road &amp; Bridge Detail'!$A19)," ")</f>
        <v xml:space="preserve"> </v>
      </c>
      <c r="C68" s="232">
        <f>'Road &amp; Bridge Detail'!$B24</f>
        <v>0</v>
      </c>
      <c r="D68" s="232">
        <f>'Road &amp; Bridge Detail'!$C24</f>
        <v>0</v>
      </c>
      <c r="E68" s="106">
        <f>'Road &amp; Bridge Detail'!$D24</f>
        <v>0</v>
      </c>
    </row>
    <row r="69" spans="2:10" x14ac:dyDescent="0.2">
      <c r="B69" s="139" t="str">
        <f>IF(('Road &amp; Bridge Detail'!$A25&gt;" "),('Road &amp; Bridge Detail'!$A25)," ")</f>
        <v xml:space="preserve"> </v>
      </c>
      <c r="C69" s="232">
        <f>'Road &amp; Bridge Detail'!$B30</f>
        <v>0</v>
      </c>
      <c r="D69" s="232">
        <f>'Road &amp; Bridge Detail'!$C30</f>
        <v>0</v>
      </c>
      <c r="E69" s="106">
        <f>'Road &amp; Bridge Detail'!$D30</f>
        <v>0</v>
      </c>
    </row>
    <row r="70" spans="2:10" x14ac:dyDescent="0.2">
      <c r="B70" s="139" t="str">
        <f>IF(('Road &amp; Bridge Detail'!$A31&gt;" "),('Road &amp; Bridge Detail'!$A31)," ")</f>
        <v xml:space="preserve"> </v>
      </c>
      <c r="C70" s="232">
        <f>'Road &amp; Bridge Detail'!$B36</f>
        <v>0</v>
      </c>
      <c r="D70" s="232">
        <f>'Road &amp; Bridge Detail'!$C36</f>
        <v>0</v>
      </c>
      <c r="E70" s="106">
        <f>'Road &amp; Bridge Detail'!$D36</f>
        <v>0</v>
      </c>
    </row>
    <row r="71" spans="2:10" x14ac:dyDescent="0.2">
      <c r="B71" s="139" t="str">
        <f>IF(('Road &amp; Bridge Detail'!$A37&gt;" "),('Road &amp; Bridge Detail'!$A37)," ")</f>
        <v xml:space="preserve"> </v>
      </c>
      <c r="C71" s="232">
        <f>'Road &amp; Bridge Detail'!$B42</f>
        <v>0</v>
      </c>
      <c r="D71" s="232">
        <f>'Road &amp; Bridge Detail'!$C42</f>
        <v>0</v>
      </c>
      <c r="E71" s="106">
        <f>'Road &amp; Bridge Detail'!$D42</f>
        <v>0</v>
      </c>
    </row>
    <row r="72" spans="2:10" x14ac:dyDescent="0.2">
      <c r="B72" s="148" t="s">
        <v>27</v>
      </c>
      <c r="C72" s="249">
        <f>SUM(C66:C71)</f>
        <v>0</v>
      </c>
      <c r="D72" s="249">
        <f>SUM(D66:D71)</f>
        <v>0</v>
      </c>
      <c r="E72" s="171">
        <f>SUM(E66:E71)</f>
        <v>0</v>
      </c>
    </row>
    <row r="73" spans="2:10" x14ac:dyDescent="0.2">
      <c r="B73" s="175"/>
      <c r="C73" s="229"/>
      <c r="D73" s="229"/>
      <c r="E73" s="59"/>
    </row>
    <row r="74" spans="2:10" x14ac:dyDescent="0.2">
      <c r="B74" s="175"/>
      <c r="C74" s="229"/>
      <c r="D74" s="229"/>
      <c r="E74" s="59"/>
    </row>
    <row r="75" spans="2:10" x14ac:dyDescent="0.2">
      <c r="B75" s="175"/>
      <c r="C75" s="229"/>
      <c r="D75" s="229"/>
      <c r="E75" s="59"/>
    </row>
    <row r="76" spans="2:10" x14ac:dyDescent="0.2">
      <c r="B76" s="175"/>
      <c r="C76" s="229"/>
      <c r="D76" s="229"/>
      <c r="E76" s="59"/>
    </row>
    <row r="77" spans="2:10" x14ac:dyDescent="0.2">
      <c r="B77" s="175"/>
      <c r="C77" s="229"/>
      <c r="D77" s="229"/>
      <c r="E77" s="59"/>
      <c r="G77" s="646" t="str">
        <f>CONCATENATE("Desired Carryover Into ",E1+1,"")</f>
        <v>Desired Carryover Into 2026</v>
      </c>
      <c r="H77" s="647"/>
      <c r="I77" s="647"/>
      <c r="J77" s="648"/>
    </row>
    <row r="78" spans="2:10" x14ac:dyDescent="0.2">
      <c r="B78" s="175"/>
      <c r="C78" s="229"/>
      <c r="D78" s="229"/>
      <c r="E78" s="59"/>
      <c r="G78" s="298"/>
      <c r="H78" s="299"/>
      <c r="I78" s="300"/>
      <c r="J78" s="301"/>
    </row>
    <row r="79" spans="2:10" x14ac:dyDescent="0.2">
      <c r="B79" s="175"/>
      <c r="C79" s="229"/>
      <c r="D79" s="229"/>
      <c r="E79" s="59"/>
      <c r="G79" s="302" t="s">
        <v>297</v>
      </c>
      <c r="H79" s="300"/>
      <c r="I79" s="300"/>
      <c r="J79" s="303">
        <v>0</v>
      </c>
    </row>
    <row r="80" spans="2:10" x14ac:dyDescent="0.2">
      <c r="B80" s="175"/>
      <c r="C80" s="229"/>
      <c r="D80" s="229"/>
      <c r="E80" s="59"/>
      <c r="G80" s="298" t="s">
        <v>298</v>
      </c>
      <c r="H80" s="299"/>
      <c r="I80" s="299"/>
      <c r="J80" s="304" t="str">
        <f>IF(J79=0,"",ROUND((J79+E110-G92)/inputOth!E6*1000,3)-G97)</f>
        <v/>
      </c>
    </row>
    <row r="81" spans="2:11" x14ac:dyDescent="0.2">
      <c r="B81" s="175"/>
      <c r="C81" s="229"/>
      <c r="D81" s="229"/>
      <c r="E81" s="59"/>
      <c r="G81" s="305" t="str">
        <f>CONCATENATE("",E1," Tot Exp/Non-Appr Must Be:")</f>
        <v>2025 Tot Exp/Non-Appr Must Be:</v>
      </c>
      <c r="H81" s="306"/>
      <c r="I81" s="307"/>
      <c r="J81" s="308">
        <f>IF(J79&gt;0,IF(E107&lt;E55,IF(J79=G92,E107,((J79-G92)*(1-D109))+E55),E107+(J79-G92)),0)</f>
        <v>0</v>
      </c>
    </row>
    <row r="82" spans="2:11" x14ac:dyDescent="0.2">
      <c r="B82" s="175"/>
      <c r="C82" s="229"/>
      <c r="D82" s="229"/>
      <c r="E82" s="59"/>
      <c r="G82" s="309" t="s">
        <v>318</v>
      </c>
      <c r="H82" s="310"/>
      <c r="I82" s="310"/>
      <c r="J82" s="311">
        <f>IF(J79&gt;0,J81-E107,0)</f>
        <v>0</v>
      </c>
    </row>
    <row r="83" spans="2:11" x14ac:dyDescent="0.2">
      <c r="B83" s="175"/>
      <c r="C83" s="229"/>
      <c r="D83" s="229"/>
      <c r="E83" s="59"/>
    </row>
    <row r="84" spans="2:11" x14ac:dyDescent="0.2">
      <c r="B84" s="175"/>
      <c r="C84" s="229"/>
      <c r="D84" s="229"/>
      <c r="E84" s="59"/>
      <c r="G84" s="640" t="str">
        <f>CONCATENATE("Projected Carryover Into ",E1+1,"")</f>
        <v>Projected Carryover Into 2026</v>
      </c>
      <c r="H84" s="641"/>
      <c r="I84" s="641"/>
      <c r="J84" s="642"/>
    </row>
    <row r="85" spans="2:11" x14ac:dyDescent="0.2">
      <c r="B85" s="175"/>
      <c r="C85" s="229"/>
      <c r="D85" s="229"/>
      <c r="E85" s="59"/>
      <c r="G85" s="270"/>
      <c r="H85" s="269"/>
      <c r="I85" s="269"/>
      <c r="J85" s="271"/>
    </row>
    <row r="86" spans="2:11" x14ac:dyDescent="0.2">
      <c r="B86" s="175"/>
      <c r="C86" s="229"/>
      <c r="D86" s="229"/>
      <c r="E86" s="59"/>
      <c r="G86" s="264">
        <f>D104</f>
        <v>0</v>
      </c>
      <c r="H86" s="263" t="str">
        <f>CONCATENATE("",E1-1," Ending Cash Balance (est.)")</f>
        <v>2024 Ending Cash Balance (est.)</v>
      </c>
      <c r="I86" s="262"/>
      <c r="J86" s="271"/>
    </row>
    <row r="87" spans="2:11" x14ac:dyDescent="0.2">
      <c r="B87" s="175"/>
      <c r="C87" s="229"/>
      <c r="D87" s="229"/>
      <c r="E87" s="59"/>
      <c r="G87" s="264">
        <f>E54</f>
        <v>0</v>
      </c>
      <c r="H87" s="261" t="str">
        <f>CONCATENATE("",E1," Non-AV Receipts (est.)")</f>
        <v>2025 Non-AV Receipts (est.)</v>
      </c>
      <c r="I87" s="262"/>
      <c r="J87" s="271"/>
    </row>
    <row r="88" spans="2:11" x14ac:dyDescent="0.2">
      <c r="B88" s="175"/>
      <c r="C88" s="229"/>
      <c r="D88" s="229"/>
      <c r="E88" s="59"/>
      <c r="G88" s="260">
        <f>IF(E109&gt;0,E108,E110)</f>
        <v>0</v>
      </c>
      <c r="H88" s="261" t="str">
        <f>CONCATENATE("",E1," Ad Valorem Tax (est.)")</f>
        <v>2025 Ad Valorem Tax (est.)</v>
      </c>
      <c r="I88" s="262"/>
      <c r="J88" s="271"/>
      <c r="K88" s="314" t="str">
        <f>IF(G88=E110,"","Note: Does not include Delinquent Taxes")</f>
        <v/>
      </c>
    </row>
    <row r="89" spans="2:11" x14ac:dyDescent="0.2">
      <c r="B89" s="175"/>
      <c r="C89" s="229"/>
      <c r="D89" s="229"/>
      <c r="E89" s="59"/>
      <c r="G89" s="264">
        <f>SUM(G86:G88)</f>
        <v>0</v>
      </c>
      <c r="H89" s="261" t="str">
        <f>CONCATENATE("Total ",E1," Resources Available")</f>
        <v>Total 2025 Resources Available</v>
      </c>
      <c r="I89" s="262"/>
      <c r="J89" s="271"/>
    </row>
    <row r="90" spans="2:11" x14ac:dyDescent="0.2">
      <c r="B90" s="175"/>
      <c r="C90" s="229"/>
      <c r="D90" s="229"/>
      <c r="E90" s="59"/>
      <c r="G90" s="259"/>
      <c r="H90" s="261"/>
      <c r="I90" s="261"/>
      <c r="J90" s="271"/>
    </row>
    <row r="91" spans="2:11" x14ac:dyDescent="0.2">
      <c r="B91" s="175"/>
      <c r="C91" s="229"/>
      <c r="D91" s="229"/>
      <c r="E91" s="59"/>
      <c r="G91" s="260">
        <f>C103*0.05+C103</f>
        <v>0</v>
      </c>
      <c r="H91" s="261" t="str">
        <f>CONCATENATE("Less ",E1-2," Expenditures + 5%")</f>
        <v>Less 2023 Expenditures + 5%</v>
      </c>
      <c r="I91" s="262"/>
      <c r="J91" s="271"/>
    </row>
    <row r="92" spans="2:11" x14ac:dyDescent="0.2">
      <c r="B92" s="175"/>
      <c r="C92" s="229"/>
      <c r="D92" s="229"/>
      <c r="E92" s="59"/>
      <c r="G92" s="258">
        <f>G89-G91</f>
        <v>0</v>
      </c>
      <c r="H92" s="257" t="str">
        <f>CONCATENATE("Projected ",E1," Carryover (est.)")</f>
        <v>Projected 2025 Carryover (est.)</v>
      </c>
      <c r="I92" s="242"/>
      <c r="J92" s="241"/>
    </row>
    <row r="93" spans="2:11" x14ac:dyDescent="0.2">
      <c r="B93" s="175"/>
      <c r="C93" s="229"/>
      <c r="D93" s="229"/>
      <c r="E93" s="59"/>
    </row>
    <row r="94" spans="2:11" x14ac:dyDescent="0.2">
      <c r="B94" s="175"/>
      <c r="C94" s="229"/>
      <c r="D94" s="229"/>
      <c r="E94" s="59"/>
      <c r="G94" s="649" t="s">
        <v>558</v>
      </c>
      <c r="H94" s="650"/>
      <c r="I94" s="650"/>
      <c r="J94" s="651"/>
    </row>
    <row r="95" spans="2:11" x14ac:dyDescent="0.2">
      <c r="B95" s="175"/>
      <c r="C95" s="229"/>
      <c r="D95" s="229"/>
      <c r="E95" s="59"/>
      <c r="G95" s="652"/>
      <c r="H95" s="653"/>
      <c r="I95" s="653"/>
      <c r="J95" s="654"/>
    </row>
    <row r="96" spans="2:11" x14ac:dyDescent="0.2">
      <c r="B96" s="175"/>
      <c r="C96" s="229"/>
      <c r="D96" s="229"/>
      <c r="E96" s="59"/>
      <c r="G96" s="509" t="str">
        <f>'Budget Hearing Notice'!H18</f>
        <v xml:space="preserve">  </v>
      </c>
      <c r="H96" s="316" t="str">
        <f>CONCATENATE("",2023," Estimated Fund Mill Rate")</f>
        <v>2023 Estimated Fund Mill Rate</v>
      </c>
      <c r="I96" s="510"/>
      <c r="J96" s="511"/>
    </row>
    <row r="97" spans="2:10" x14ac:dyDescent="0.2">
      <c r="B97" s="175"/>
      <c r="C97" s="229"/>
      <c r="D97" s="229"/>
      <c r="E97" s="59"/>
      <c r="G97" s="512" t="str">
        <f>'Budget Hearing Notice'!E18</f>
        <v xml:space="preserve">  </v>
      </c>
      <c r="H97" s="316" t="str">
        <f>CONCATENATE("",2023-1," Fund Mill Rate")</f>
        <v>2022 Fund Mill Rate</v>
      </c>
      <c r="I97" s="510"/>
      <c r="J97" s="511"/>
    </row>
    <row r="98" spans="2:10" x14ac:dyDescent="0.2">
      <c r="B98" s="175"/>
      <c r="C98" s="229"/>
      <c r="D98" s="229"/>
      <c r="E98" s="59"/>
      <c r="G98" s="513">
        <f>'Budget Hearing Notice'!H62</f>
        <v>0</v>
      </c>
      <c r="H98" s="514" t="s">
        <v>559</v>
      </c>
      <c r="I98" s="510"/>
      <c r="J98" s="511"/>
    </row>
    <row r="99" spans="2:10" x14ac:dyDescent="0.2">
      <c r="B99" s="175"/>
      <c r="C99" s="229"/>
      <c r="D99" s="229"/>
      <c r="E99" s="59"/>
      <c r="G99" s="509">
        <f>'Budget Hearing Notice'!H61</f>
        <v>0</v>
      </c>
      <c r="H99" s="316" t="str">
        <f>CONCATENATE(2023," Estimated Total Mill Rate")</f>
        <v>2023 Estimated Total Mill Rate</v>
      </c>
      <c r="I99" s="510"/>
      <c r="J99" s="511"/>
    </row>
    <row r="100" spans="2:10" x14ac:dyDescent="0.2">
      <c r="B100" s="143" t="str">
        <f>CONCATENATE("Cash Reserve (",E1," column)")</f>
        <v>Cash Reserve (2025 column)</v>
      </c>
      <c r="C100" s="229"/>
      <c r="D100" s="229"/>
      <c r="E100" s="140"/>
      <c r="G100" s="515">
        <f>'Budget Hearing Notice'!E61</f>
        <v>0</v>
      </c>
      <c r="H100" s="316" t="str">
        <f>CONCATENATE(2023-1," Total Mill Rate")</f>
        <v>2022 Total Mill Rate</v>
      </c>
      <c r="I100" s="510"/>
      <c r="J100" s="511"/>
    </row>
    <row r="101" spans="2:10" x14ac:dyDescent="0.2">
      <c r="B101" s="143" t="s">
        <v>38</v>
      </c>
      <c r="C101" s="229"/>
      <c r="D101" s="229"/>
      <c r="E101" s="140"/>
      <c r="G101" s="327"/>
      <c r="H101" s="299"/>
      <c r="I101" s="299"/>
      <c r="J101" s="329"/>
    </row>
    <row r="102" spans="2:10" x14ac:dyDescent="0.2">
      <c r="B102" s="143" t="s">
        <v>290</v>
      </c>
      <c r="C102" s="230" t="str">
        <f>IF(C103*0.1&lt;C101,"Exceed 10% Rule","")</f>
        <v/>
      </c>
      <c r="D102" s="230" t="str">
        <f>IF(D103*0.1&lt;D101,"Exceed 10% Rule","")</f>
        <v/>
      </c>
      <c r="E102" s="170" t="str">
        <f>IF(E103*0.1&lt;E101,"Exceed 10% Rule","")</f>
        <v/>
      </c>
      <c r="G102" s="655" t="s">
        <v>560</v>
      </c>
      <c r="H102" s="656"/>
      <c r="I102" s="656"/>
      <c r="J102" s="659" t="str">
        <f>IF(G99&gt;G98, "Yes", "No")</f>
        <v>No</v>
      </c>
    </row>
    <row r="103" spans="2:10" x14ac:dyDescent="0.2">
      <c r="B103" s="145" t="s">
        <v>94</v>
      </c>
      <c r="C103" s="463">
        <f>SUM(C72:C101)</f>
        <v>0</v>
      </c>
      <c r="D103" s="463">
        <f>SUM(D72:D101)</f>
        <v>0</v>
      </c>
      <c r="E103" s="463">
        <f>SUM(E72:E101)</f>
        <v>0</v>
      </c>
      <c r="G103" s="657"/>
      <c r="H103" s="658"/>
      <c r="I103" s="658"/>
      <c r="J103" s="660"/>
    </row>
    <row r="104" spans="2:10" x14ac:dyDescent="0.2">
      <c r="B104" s="60" t="s">
        <v>196</v>
      </c>
      <c r="C104" s="106">
        <f>C55-C103</f>
        <v>0</v>
      </c>
      <c r="D104" s="106">
        <f>D55-D103</f>
        <v>0</v>
      </c>
      <c r="E104" s="86" t="s">
        <v>66</v>
      </c>
      <c r="G104" s="661" t="str">
        <f>IF(J102="Yes", "Follow procedure prescribed by KSA 79-2988 to exceed the Revenue Neutral Rate.", " ")</f>
        <v xml:space="preserve"> </v>
      </c>
      <c r="H104" s="661"/>
      <c r="I104" s="661"/>
      <c r="J104" s="661"/>
    </row>
    <row r="105" spans="2:10" x14ac:dyDescent="0.2">
      <c r="B105" s="135" t="str">
        <f>CONCATENATE("",E1-2,"/",E1-1,"/",E1," Budget Authority Amount:")</f>
        <v>2023/2024/2025 Budget Authority Amount:</v>
      </c>
      <c r="C105" s="167">
        <f>inputOth!$B35</f>
        <v>0</v>
      </c>
      <c r="D105" s="167">
        <f>inputPrYr!D19</f>
        <v>0</v>
      </c>
      <c r="E105" s="106">
        <f>E103</f>
        <v>0</v>
      </c>
      <c r="F105" s="151"/>
      <c r="G105" s="662"/>
      <c r="H105" s="662"/>
      <c r="I105" s="662"/>
      <c r="J105" s="662"/>
    </row>
    <row r="106" spans="2:10" x14ac:dyDescent="0.2">
      <c r="B106" s="125"/>
      <c r="C106" s="636" t="s">
        <v>294</v>
      </c>
      <c r="D106" s="637"/>
      <c r="E106" s="42"/>
      <c r="F106" s="238" t="str">
        <f>IF(E103/0.95-E103&lt;E106,"Exceeds 5%","")</f>
        <v/>
      </c>
      <c r="G106" s="662"/>
      <c r="H106" s="662"/>
      <c r="I106" s="662"/>
      <c r="J106" s="662"/>
    </row>
    <row r="107" spans="2:10" x14ac:dyDescent="0.2">
      <c r="B107" s="266" t="str">
        <f>CONCATENATE(C125,"     ",D125)</f>
        <v xml:space="preserve">     </v>
      </c>
      <c r="C107" s="638" t="s">
        <v>295</v>
      </c>
      <c r="D107" s="639"/>
      <c r="E107" s="106">
        <f>E103+E106</f>
        <v>0</v>
      </c>
    </row>
    <row r="108" spans="2:10" x14ac:dyDescent="0.2">
      <c r="B108" s="266" t="str">
        <f>CONCATENATE(C126,"     ",D126)</f>
        <v xml:space="preserve">     </v>
      </c>
      <c r="C108" s="152"/>
      <c r="D108" s="90" t="s">
        <v>95</v>
      </c>
      <c r="E108" s="106">
        <f>IF(E107-E55&gt;0,E107-E55,0)</f>
        <v>0</v>
      </c>
    </row>
    <row r="109" spans="2:10" x14ac:dyDescent="0.2">
      <c r="B109" s="125"/>
      <c r="C109" s="265" t="s">
        <v>296</v>
      </c>
      <c r="D109" s="297">
        <f>inputOth!$E$26</f>
        <v>0</v>
      </c>
      <c r="E109" s="106">
        <f>IF(D109&gt;0,(E108*D109),0)</f>
        <v>0</v>
      </c>
    </row>
    <row r="110" spans="2:10" x14ac:dyDescent="0.2">
      <c r="B110" s="26"/>
      <c r="C110" s="644" t="str">
        <f>CONCATENATE("Amount of  ",$E$1-1," Ad Valorem Tax")</f>
        <v>Amount of  2024 Ad Valorem Tax</v>
      </c>
      <c r="D110" s="663"/>
      <c r="E110" s="106">
        <f>E108+E109</f>
        <v>0</v>
      </c>
    </row>
    <row r="111" spans="2:10" x14ac:dyDescent="0.2">
      <c r="B111" s="26"/>
      <c r="C111" s="125"/>
      <c r="D111" s="26"/>
      <c r="E111" s="26"/>
    </row>
    <row r="112" spans="2:10" x14ac:dyDescent="0.2">
      <c r="B112" s="423" t="s">
        <v>354</v>
      </c>
      <c r="C112" s="402"/>
      <c r="D112" s="406"/>
      <c r="E112" s="407"/>
    </row>
    <row r="113" spans="2:5" x14ac:dyDescent="0.2">
      <c r="B113" s="126"/>
      <c r="C113" s="125"/>
      <c r="D113" s="26"/>
      <c r="E113" s="312"/>
    </row>
    <row r="114" spans="2:5" x14ac:dyDescent="0.2">
      <c r="B114" s="403"/>
      <c r="C114" s="408"/>
      <c r="D114" s="44"/>
      <c r="E114" s="47"/>
    </row>
    <row r="115" spans="2:5" x14ac:dyDescent="0.2">
      <c r="B115" s="26"/>
      <c r="C115" s="26"/>
      <c r="D115" s="26"/>
      <c r="E115" s="26"/>
    </row>
    <row r="116" spans="2:5" x14ac:dyDescent="0.2">
      <c r="B116" s="31"/>
      <c r="C116" s="31" t="str">
        <f>CONCATENATE("Page No. ",C57,"a")</f>
        <v>Page No. a</v>
      </c>
      <c r="D116" s="174"/>
      <c r="E116" s="174"/>
    </row>
    <row r="121" spans="2:5" hidden="1" x14ac:dyDescent="0.2"/>
    <row r="122" spans="2:5" hidden="1" x14ac:dyDescent="0.2"/>
    <row r="125" spans="2:5" x14ac:dyDescent="0.2">
      <c r="C125" s="23" t="str">
        <f>IF(C103&gt;C105,"See Tab A","")</f>
        <v/>
      </c>
      <c r="D125" s="23" t="str">
        <f>IF(D103&gt;D105,"See Tab C","")</f>
        <v/>
      </c>
    </row>
    <row r="126" spans="2:5" x14ac:dyDescent="0.2">
      <c r="C126" s="23" t="str">
        <f>IF(C104&lt;0,"See Tab B","")</f>
        <v/>
      </c>
      <c r="D126" s="23" t="str">
        <f>IF(D104&lt;0,"See Tab D","")</f>
        <v/>
      </c>
    </row>
  </sheetData>
  <sheetProtection sheet="1" objects="1" scenarios="1"/>
  <mergeCells count="9">
    <mergeCell ref="C106:D106"/>
    <mergeCell ref="C107:D107"/>
    <mergeCell ref="C110:D110"/>
    <mergeCell ref="G77:J77"/>
    <mergeCell ref="G84:J84"/>
    <mergeCell ref="G94:J95"/>
    <mergeCell ref="G102:I103"/>
    <mergeCell ref="J102:J103"/>
    <mergeCell ref="G104:J106"/>
  </mergeCells>
  <phoneticPr fontId="7" type="noConversion"/>
  <conditionalFormatting sqref="C52">
    <cfRule type="cellIs" dxfId="355" priority="9" stopIfTrue="1" operator="greaterThan">
      <formula>$C$54*0.1</formula>
    </cfRule>
  </conditionalFormatting>
  <conditionalFormatting sqref="C101">
    <cfRule type="cellIs" dxfId="354" priority="12" stopIfTrue="1" operator="greaterThan">
      <formula>$C$103*0.1</formula>
    </cfRule>
  </conditionalFormatting>
  <conditionalFormatting sqref="C103">
    <cfRule type="cellIs" dxfId="353" priority="4" stopIfTrue="1" operator="greaterThan">
      <formula>$C$105</formula>
    </cfRule>
  </conditionalFormatting>
  <conditionalFormatting sqref="C104:D104">
    <cfRule type="cellIs" dxfId="352" priority="1" stopIfTrue="1" operator="lessThan">
      <formula>0</formula>
    </cfRule>
  </conditionalFormatting>
  <conditionalFormatting sqref="D52">
    <cfRule type="cellIs" dxfId="351" priority="10" stopIfTrue="1" operator="greaterThan">
      <formula>$D$54*0.1</formula>
    </cfRule>
  </conditionalFormatting>
  <conditionalFormatting sqref="D101">
    <cfRule type="cellIs" dxfId="350" priority="13" stopIfTrue="1" operator="greaterThan">
      <formula>$D$103*0.1</formula>
    </cfRule>
  </conditionalFormatting>
  <conditionalFormatting sqref="D103">
    <cfRule type="cellIs" dxfId="349" priority="3" stopIfTrue="1" operator="greaterThan">
      <formula>$D$105</formula>
    </cfRule>
  </conditionalFormatting>
  <conditionalFormatting sqref="E52">
    <cfRule type="cellIs" dxfId="348" priority="11" stopIfTrue="1" operator="greaterThan">
      <formula>$E$54*0.1+E110</formula>
    </cfRule>
  </conditionalFormatting>
  <conditionalFormatting sqref="E101">
    <cfRule type="cellIs" dxfId="347" priority="7" stopIfTrue="1" operator="greaterThan">
      <formula>$E$103*0.1</formula>
    </cfRule>
  </conditionalFormatting>
  <conditionalFormatting sqref="E106">
    <cfRule type="cellIs" dxfId="346" priority="8" stopIfTrue="1" operator="greaterThan">
      <formula>$E$103/0.95-$E$103</formula>
    </cfRule>
  </conditionalFormatting>
  <conditionalFormatting sqref="J102">
    <cfRule type="containsText" dxfId="345" priority="5" operator="containsText" text="Yes">
      <formula>NOT(ISERROR(SEARCH("Yes",J102)))</formula>
    </cfRule>
  </conditionalFormatting>
  <pageMargins left="0.75" right="0.75" top="1" bottom="0.5" header="0.5" footer="0.5"/>
  <pageSetup scale="73" fitToHeight="2" orientation="portrait" blackAndWhite="1" r:id="rId1"/>
  <headerFooter alignWithMargins="0">
    <oddHeader>&amp;RState of Kansas
County</oddHeader>
  </headerFooter>
  <rowBreaks count="1" manualBreakCount="1">
    <brk id="58" min="1" max="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rgb="FF00B0F0"/>
  </sheetPr>
  <dimension ref="A1:D47"/>
  <sheetViews>
    <sheetView workbookViewId="0">
      <selection activeCell="B15" sqref="B15"/>
    </sheetView>
  </sheetViews>
  <sheetFormatPr defaultRowHeight="15.75" x14ac:dyDescent="0.2"/>
  <cols>
    <col min="1" max="1" width="28.33203125" style="23" customWidth="1"/>
    <col min="2" max="2" width="14.44140625" style="23" customWidth="1"/>
    <col min="3" max="3" width="15.109375" style="23" customWidth="1"/>
    <col min="4" max="4" width="14.77734375" style="23" customWidth="1"/>
    <col min="5" max="16384" width="8.88671875" style="23"/>
  </cols>
  <sheetData>
    <row r="1" spans="1:4" x14ac:dyDescent="0.2">
      <c r="A1" s="57">
        <f>inputPrYr!C3</f>
        <v>0</v>
      </c>
      <c r="B1" s="26"/>
      <c r="C1" s="135"/>
      <c r="D1" s="26">
        <f>inputPrYr!C5</f>
        <v>2025</v>
      </c>
    </row>
    <row r="2" spans="1:4" x14ac:dyDescent="0.2">
      <c r="A2" s="26"/>
      <c r="B2" s="26"/>
      <c r="C2" s="26"/>
      <c r="D2" s="135"/>
    </row>
    <row r="3" spans="1:4" x14ac:dyDescent="0.2">
      <c r="A3" s="64" t="s">
        <v>184</v>
      </c>
      <c r="B3" s="147"/>
      <c r="C3" s="147"/>
      <c r="D3" s="147"/>
    </row>
    <row r="4" spans="1:4" x14ac:dyDescent="0.2">
      <c r="A4" s="135" t="s">
        <v>80</v>
      </c>
      <c r="B4" s="625" t="str">
        <f>CONCATENATE("Prior Year Actual for ",D1-2,"")</f>
        <v>Prior Year Actual for 2023</v>
      </c>
      <c r="C4" s="625" t="str">
        <f>CONCATENATE(" Current Year Estimate for ",D1-1,"")</f>
        <v xml:space="preserve"> Current Year Estimate for 2024</v>
      </c>
      <c r="D4" s="628" t="str">
        <f>CONCATENATE("Proposed Budget Year for ",D1,"")</f>
        <v>Proposed Budget Year for 2025</v>
      </c>
    </row>
    <row r="5" spans="1:4" ht="18.75" customHeight="1" x14ac:dyDescent="0.2">
      <c r="A5" s="246" t="s">
        <v>292</v>
      </c>
      <c r="B5" s="627"/>
      <c r="C5" s="627"/>
      <c r="D5" s="630"/>
    </row>
    <row r="6" spans="1:4" x14ac:dyDescent="0.2">
      <c r="A6" s="103" t="s">
        <v>93</v>
      </c>
      <c r="B6" s="104"/>
      <c r="C6" s="104"/>
      <c r="D6" s="136"/>
    </row>
    <row r="7" spans="1:4" x14ac:dyDescent="0.2">
      <c r="A7" s="154"/>
      <c r="B7" s="50"/>
      <c r="C7" s="50"/>
      <c r="D7" s="50"/>
    </row>
    <row r="8" spans="1:4" x14ac:dyDescent="0.2">
      <c r="A8" s="40" t="s">
        <v>99</v>
      </c>
      <c r="B8" s="140"/>
      <c r="C8" s="140"/>
      <c r="D8" s="140"/>
    </row>
    <row r="9" spans="1:4" x14ac:dyDescent="0.2">
      <c r="A9" s="40" t="s">
        <v>100</v>
      </c>
      <c r="B9" s="140"/>
      <c r="C9" s="140"/>
      <c r="D9" s="140"/>
    </row>
    <row r="10" spans="1:4" x14ac:dyDescent="0.2">
      <c r="A10" s="40" t="s">
        <v>101</v>
      </c>
      <c r="B10" s="140"/>
      <c r="C10" s="140"/>
      <c r="D10" s="140"/>
    </row>
    <row r="11" spans="1:4" x14ac:dyDescent="0.2">
      <c r="A11" s="40" t="s">
        <v>102</v>
      </c>
      <c r="B11" s="140"/>
      <c r="C11" s="140"/>
      <c r="D11" s="140"/>
    </row>
    <row r="12" spans="1:4" x14ac:dyDescent="0.2">
      <c r="A12" s="103" t="s">
        <v>54</v>
      </c>
      <c r="B12" s="50">
        <f>SUM(B8:B11)</f>
        <v>0</v>
      </c>
      <c r="C12" s="50">
        <f>SUM(C8:C11)</f>
        <v>0</v>
      </c>
      <c r="D12" s="50">
        <f>SUM(D8:D11)</f>
        <v>0</v>
      </c>
    </row>
    <row r="13" spans="1:4" x14ac:dyDescent="0.2">
      <c r="A13" s="154"/>
      <c r="B13" s="50"/>
      <c r="C13" s="50"/>
      <c r="D13" s="50"/>
    </row>
    <row r="14" spans="1:4" x14ac:dyDescent="0.2">
      <c r="A14" s="40" t="s">
        <v>99</v>
      </c>
      <c r="B14" s="140"/>
      <c r="C14" s="140"/>
      <c r="D14" s="140"/>
    </row>
    <row r="15" spans="1:4" x14ac:dyDescent="0.2">
      <c r="A15" s="40" t="s">
        <v>100</v>
      </c>
      <c r="B15" s="140"/>
      <c r="C15" s="140"/>
      <c r="D15" s="140"/>
    </row>
    <row r="16" spans="1:4" x14ac:dyDescent="0.2">
      <c r="A16" s="40" t="s">
        <v>101</v>
      </c>
      <c r="B16" s="140"/>
      <c r="C16" s="140"/>
      <c r="D16" s="140"/>
    </row>
    <row r="17" spans="1:4" x14ac:dyDescent="0.2">
      <c r="A17" s="40" t="s">
        <v>102</v>
      </c>
      <c r="B17" s="140"/>
      <c r="C17" s="140"/>
      <c r="D17" s="140"/>
    </row>
    <row r="18" spans="1:4" x14ac:dyDescent="0.2">
      <c r="A18" s="103" t="s">
        <v>54</v>
      </c>
      <c r="B18" s="50">
        <f>SUM(B14:B17)</f>
        <v>0</v>
      </c>
      <c r="C18" s="50">
        <f>SUM(C14:C17)</f>
        <v>0</v>
      </c>
      <c r="D18" s="50">
        <f>SUM(D14:D17)</f>
        <v>0</v>
      </c>
    </row>
    <row r="19" spans="1:4" x14ac:dyDescent="0.2">
      <c r="A19" s="154"/>
      <c r="B19" s="50"/>
      <c r="C19" s="50"/>
      <c r="D19" s="50"/>
    </row>
    <row r="20" spans="1:4" x14ac:dyDescent="0.2">
      <c r="A20" s="40" t="s">
        <v>99</v>
      </c>
      <c r="B20" s="140"/>
      <c r="C20" s="140"/>
      <c r="D20" s="140"/>
    </row>
    <row r="21" spans="1:4" x14ac:dyDescent="0.2">
      <c r="A21" s="40" t="s">
        <v>100</v>
      </c>
      <c r="B21" s="140"/>
      <c r="C21" s="140"/>
      <c r="D21" s="140"/>
    </row>
    <row r="22" spans="1:4" x14ac:dyDescent="0.2">
      <c r="A22" s="40" t="s">
        <v>101</v>
      </c>
      <c r="B22" s="140"/>
      <c r="C22" s="140"/>
      <c r="D22" s="140"/>
    </row>
    <row r="23" spans="1:4" x14ac:dyDescent="0.2">
      <c r="A23" s="40" t="s">
        <v>102</v>
      </c>
      <c r="B23" s="59"/>
      <c r="C23" s="59"/>
      <c r="D23" s="59"/>
    </row>
    <row r="24" spans="1:4" x14ac:dyDescent="0.2">
      <c r="A24" s="103" t="s">
        <v>54</v>
      </c>
      <c r="B24" s="50">
        <f>SUM(B20:B23)</f>
        <v>0</v>
      </c>
      <c r="C24" s="50">
        <f>SUM(C20:C23)</f>
        <v>0</v>
      </c>
      <c r="D24" s="50">
        <f>SUM(D20:D23)</f>
        <v>0</v>
      </c>
    </row>
    <row r="25" spans="1:4" x14ac:dyDescent="0.2">
      <c r="A25" s="154"/>
      <c r="B25" s="50"/>
      <c r="C25" s="50"/>
      <c r="D25" s="50"/>
    </row>
    <row r="26" spans="1:4" x14ac:dyDescent="0.2">
      <c r="A26" s="40" t="s">
        <v>99</v>
      </c>
      <c r="B26" s="140"/>
      <c r="C26" s="140"/>
      <c r="D26" s="140"/>
    </row>
    <row r="27" spans="1:4" x14ac:dyDescent="0.2">
      <c r="A27" s="40" t="s">
        <v>100</v>
      </c>
      <c r="B27" s="140"/>
      <c r="C27" s="140"/>
      <c r="D27" s="140"/>
    </row>
    <row r="28" spans="1:4" x14ac:dyDescent="0.2">
      <c r="A28" s="40" t="s">
        <v>101</v>
      </c>
      <c r="B28" s="140"/>
      <c r="C28" s="140"/>
      <c r="D28" s="140"/>
    </row>
    <row r="29" spans="1:4" x14ac:dyDescent="0.2">
      <c r="A29" s="40" t="s">
        <v>102</v>
      </c>
      <c r="B29" s="140"/>
      <c r="C29" s="140"/>
      <c r="D29" s="140"/>
    </row>
    <row r="30" spans="1:4" x14ac:dyDescent="0.2">
      <c r="A30" s="103" t="s">
        <v>54</v>
      </c>
      <c r="B30" s="50">
        <f>SUM(B26:B29)</f>
        <v>0</v>
      </c>
      <c r="C30" s="50">
        <f>SUM(C26:C29)</f>
        <v>0</v>
      </c>
      <c r="D30" s="50">
        <f>SUM(D26:D29)</f>
        <v>0</v>
      </c>
    </row>
    <row r="31" spans="1:4" x14ac:dyDescent="0.2">
      <c r="A31" s="154"/>
      <c r="B31" s="50"/>
      <c r="C31" s="50"/>
      <c r="D31" s="50"/>
    </row>
    <row r="32" spans="1:4" x14ac:dyDescent="0.2">
      <c r="A32" s="40" t="s">
        <v>99</v>
      </c>
      <c r="B32" s="140"/>
      <c r="C32" s="140"/>
      <c r="D32" s="140"/>
    </row>
    <row r="33" spans="1:4" x14ac:dyDescent="0.2">
      <c r="A33" s="40" t="s">
        <v>100</v>
      </c>
      <c r="B33" s="140"/>
      <c r="C33" s="140"/>
      <c r="D33" s="140"/>
    </row>
    <row r="34" spans="1:4" x14ac:dyDescent="0.2">
      <c r="A34" s="40" t="s">
        <v>101</v>
      </c>
      <c r="B34" s="140"/>
      <c r="C34" s="140"/>
      <c r="D34" s="140"/>
    </row>
    <row r="35" spans="1:4" x14ac:dyDescent="0.2">
      <c r="A35" s="40" t="s">
        <v>102</v>
      </c>
      <c r="B35" s="140"/>
      <c r="C35" s="140"/>
      <c r="D35" s="140"/>
    </row>
    <row r="36" spans="1:4" x14ac:dyDescent="0.2">
      <c r="A36" s="103" t="s">
        <v>54</v>
      </c>
      <c r="B36" s="50">
        <f>SUM(B32:B35)</f>
        <v>0</v>
      </c>
      <c r="C36" s="50">
        <f>SUM(C32:C35)</f>
        <v>0</v>
      </c>
      <c r="D36" s="50">
        <f>SUM(D32:D35)</f>
        <v>0</v>
      </c>
    </row>
    <row r="37" spans="1:4" x14ac:dyDescent="0.2">
      <c r="A37" s="154"/>
      <c r="B37" s="50"/>
      <c r="C37" s="50"/>
      <c r="D37" s="50"/>
    </row>
    <row r="38" spans="1:4" x14ac:dyDescent="0.2">
      <c r="A38" s="40" t="s">
        <v>99</v>
      </c>
      <c r="B38" s="140"/>
      <c r="C38" s="140"/>
      <c r="D38" s="140"/>
    </row>
    <row r="39" spans="1:4" x14ac:dyDescent="0.2">
      <c r="A39" s="40" t="s">
        <v>100</v>
      </c>
      <c r="B39" s="140"/>
      <c r="C39" s="140"/>
      <c r="D39" s="140"/>
    </row>
    <row r="40" spans="1:4" x14ac:dyDescent="0.2">
      <c r="A40" s="40" t="s">
        <v>101</v>
      </c>
      <c r="B40" s="140"/>
      <c r="C40" s="140"/>
      <c r="D40" s="140"/>
    </row>
    <row r="41" spans="1:4" x14ac:dyDescent="0.2">
      <c r="A41" s="40" t="s">
        <v>102</v>
      </c>
      <c r="B41" s="140"/>
      <c r="C41" s="140"/>
      <c r="D41" s="140"/>
    </row>
    <row r="42" spans="1:4" x14ac:dyDescent="0.2">
      <c r="A42" s="103" t="s">
        <v>54</v>
      </c>
      <c r="B42" s="50">
        <f>SUM(B38:B41)</f>
        <v>0</v>
      </c>
      <c r="C42" s="50">
        <f>SUM(C38:C41)</f>
        <v>0</v>
      </c>
      <c r="D42" s="50">
        <f>SUM(D38:D41)</f>
        <v>0</v>
      </c>
    </row>
    <row r="43" spans="1:4" x14ac:dyDescent="0.2">
      <c r="A43" s="38" t="s">
        <v>562</v>
      </c>
      <c r="B43" s="149">
        <f>SUM(B12+B18+B24+B30+B36+B42)</f>
        <v>0</v>
      </c>
      <c r="C43" s="149">
        <f>SUM(C12+C18+C24+C30+C36+C42)</f>
        <v>0</v>
      </c>
      <c r="D43" s="149">
        <f>SUM(D12+D18+D24+D30+D36+D42)</f>
        <v>0</v>
      </c>
    </row>
    <row r="44" spans="1:4" x14ac:dyDescent="0.2">
      <c r="A44" s="26"/>
      <c r="B44" s="26"/>
      <c r="C44" s="26"/>
      <c r="D44" s="26"/>
    </row>
    <row r="45" spans="1:4" x14ac:dyDescent="0.2">
      <c r="A45" s="664" t="s">
        <v>561</v>
      </c>
      <c r="B45" s="665"/>
      <c r="C45" s="665"/>
      <c r="D45" s="665"/>
    </row>
    <row r="46" spans="1:4" x14ac:dyDescent="0.2">
      <c r="A46" s="26"/>
      <c r="B46" s="26"/>
      <c r="C46" s="26"/>
      <c r="D46" s="26"/>
    </row>
    <row r="47" spans="1:4" x14ac:dyDescent="0.2">
      <c r="A47" s="26"/>
      <c r="B47" s="32" t="str">
        <f>CONCATENATE("Page No.",'Road &amp; Bridge'!C57,"b")</f>
        <v>Page No.b</v>
      </c>
      <c r="C47" s="26"/>
      <c r="D47" s="26"/>
    </row>
  </sheetData>
  <sheetProtection sheet="1"/>
  <mergeCells count="4">
    <mergeCell ref="A45:D45"/>
    <mergeCell ref="B4:B5"/>
    <mergeCell ref="C4:C5"/>
    <mergeCell ref="D4:D5"/>
  </mergeCells>
  <phoneticPr fontId="0" type="noConversion"/>
  <pageMargins left="1.1200000000000001" right="0.5" top="0.74" bottom="0.34" header="0.5" footer="0"/>
  <pageSetup scale="75" orientation="portrait" blackAndWhite="1" horizontalDpi="300" verticalDpi="300" r:id="rId1"/>
  <headerFooter alignWithMargins="0">
    <oddHeader xml:space="preserve">&amp;RState of Kansas
County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tabColor rgb="FF00B0F0"/>
    <pageSetUpPr fitToPage="1"/>
  </sheetPr>
  <dimension ref="B1:K100"/>
  <sheetViews>
    <sheetView zoomScaleNormal="100" workbookViewId="0">
      <selection activeCell="C33" sqref="C33:E33"/>
    </sheetView>
  </sheetViews>
  <sheetFormatPr defaultRowHeight="15.75" x14ac:dyDescent="0.2"/>
  <cols>
    <col min="1" max="1" width="2.44140625" style="23" customWidth="1"/>
    <col min="2" max="2" width="31.109375" style="23" customWidth="1"/>
    <col min="3" max="4" width="15.77734375" style="23" customWidth="1"/>
    <col min="5" max="5" width="16.109375" style="23" customWidth="1"/>
    <col min="6" max="6" width="7.44140625" style="23" customWidth="1"/>
    <col min="7" max="7" width="10.21875" style="23" customWidth="1"/>
    <col min="8" max="8" width="8.88671875" style="23"/>
    <col min="9" max="9" width="5.6640625" style="23" customWidth="1"/>
    <col min="10" max="10" width="10" style="23" customWidth="1"/>
    <col min="11" max="16384" width="8.88671875" style="23"/>
  </cols>
  <sheetData>
    <row r="1" spans="2:10" x14ac:dyDescent="0.2">
      <c r="B1" s="57">
        <f>(inputPrYr!C3)</f>
        <v>0</v>
      </c>
      <c r="C1" s="26"/>
      <c r="D1" s="26"/>
      <c r="E1" s="125">
        <f>inputPrYr!C5</f>
        <v>2025</v>
      </c>
    </row>
    <row r="2" spans="2:10" x14ac:dyDescent="0.2">
      <c r="B2" s="26"/>
      <c r="C2" s="26"/>
      <c r="D2" s="26"/>
      <c r="E2" s="90"/>
    </row>
    <row r="3" spans="2:10" x14ac:dyDescent="0.2">
      <c r="B3" s="64" t="s">
        <v>185</v>
      </c>
      <c r="C3" s="161"/>
      <c r="D3" s="161"/>
      <c r="E3" s="162"/>
    </row>
    <row r="4" spans="2:10" x14ac:dyDescent="0.2">
      <c r="B4" s="25" t="s">
        <v>80</v>
      </c>
      <c r="C4" s="339" t="s">
        <v>319</v>
      </c>
      <c r="D4" s="340" t="s">
        <v>320</v>
      </c>
      <c r="E4" s="80" t="s">
        <v>321</v>
      </c>
    </row>
    <row r="5" spans="2:10" x14ac:dyDescent="0.2">
      <c r="B5" s="248">
        <f>inputPrYr!B20</f>
        <v>0</v>
      </c>
      <c r="C5" s="231" t="str">
        <f>CONCATENATE("Actual for ",E1-2,"")</f>
        <v>Actual for 2023</v>
      </c>
      <c r="D5" s="231" t="str">
        <f>CONCATENATE("Estimate for ",E1-1,"")</f>
        <v>Estimate for 2024</v>
      </c>
      <c r="E5" s="136" t="str">
        <f>CONCATENATE("Year for ",E1,"")</f>
        <v>Year for 2025</v>
      </c>
    </row>
    <row r="6" spans="2:10" x14ac:dyDescent="0.2">
      <c r="B6" s="60" t="s">
        <v>195</v>
      </c>
      <c r="C6" s="229"/>
      <c r="D6" s="232">
        <f>C36</f>
        <v>0</v>
      </c>
      <c r="E6" s="106">
        <f>D36</f>
        <v>0</v>
      </c>
    </row>
    <row r="7" spans="2:10" x14ac:dyDescent="0.2">
      <c r="B7" s="128" t="s">
        <v>197</v>
      </c>
      <c r="C7" s="139"/>
      <c r="D7" s="139"/>
      <c r="E7" s="50"/>
    </row>
    <row r="8" spans="2:10" x14ac:dyDescent="0.2">
      <c r="B8" s="60" t="s">
        <v>81</v>
      </c>
      <c r="C8" s="229"/>
      <c r="D8" s="232">
        <f>IF(inputPrYr!H20&gt;0,inputPrYr!H20,inputPrYr!E20)</f>
        <v>0</v>
      </c>
      <c r="E8" s="165" t="s">
        <v>66</v>
      </c>
    </row>
    <row r="9" spans="2:10" x14ac:dyDescent="0.2">
      <c r="B9" s="60" t="s">
        <v>82</v>
      </c>
      <c r="C9" s="229"/>
      <c r="D9" s="229"/>
      <c r="E9" s="42"/>
    </row>
    <row r="10" spans="2:10" x14ac:dyDescent="0.2">
      <c r="B10" s="60" t="s">
        <v>83</v>
      </c>
      <c r="C10" s="229"/>
      <c r="D10" s="229"/>
      <c r="E10" s="106" t="str">
        <f>Mvalloc!D10</f>
        <v xml:space="preserve"> </v>
      </c>
      <c r="G10" s="646" t="str">
        <f>CONCATENATE("Desired Carryover Into ",E1+1,"")</f>
        <v>Desired Carryover Into 2026</v>
      </c>
      <c r="H10" s="647"/>
      <c r="I10" s="647"/>
      <c r="J10" s="648"/>
    </row>
    <row r="11" spans="2:10" x14ac:dyDescent="0.2">
      <c r="B11" s="60" t="s">
        <v>84</v>
      </c>
      <c r="C11" s="229"/>
      <c r="D11" s="229"/>
      <c r="E11" s="106" t="str">
        <f>Mvalloc!E10</f>
        <v xml:space="preserve"> </v>
      </c>
      <c r="G11" s="298"/>
      <c r="H11" s="299"/>
      <c r="I11" s="300"/>
      <c r="J11" s="301"/>
    </row>
    <row r="12" spans="2:10" x14ac:dyDescent="0.2">
      <c r="B12" s="139" t="s">
        <v>176</v>
      </c>
      <c r="C12" s="229"/>
      <c r="D12" s="229"/>
      <c r="E12" s="106" t="str">
        <f>Mvalloc!F10</f>
        <v xml:space="preserve"> </v>
      </c>
      <c r="G12" s="302" t="s">
        <v>297</v>
      </c>
      <c r="H12" s="300"/>
      <c r="I12" s="300"/>
      <c r="J12" s="303">
        <v>0</v>
      </c>
    </row>
    <row r="13" spans="2:10" x14ac:dyDescent="0.2">
      <c r="B13" s="137" t="s">
        <v>348</v>
      </c>
      <c r="C13" s="229"/>
      <c r="D13" s="229"/>
      <c r="E13" s="106" t="str">
        <f>Mvalloc!G10</f>
        <v xml:space="preserve"> </v>
      </c>
      <c r="G13" s="298" t="s">
        <v>298</v>
      </c>
      <c r="H13" s="299"/>
      <c r="I13" s="299"/>
      <c r="J13" s="304" t="str">
        <f>IF(J12=0,"",ROUND((J12+E42-G25)/inputOth!E6*1000,3)-G30)</f>
        <v/>
      </c>
    </row>
    <row r="14" spans="2:10" x14ac:dyDescent="0.2">
      <c r="B14" s="137" t="s">
        <v>349</v>
      </c>
      <c r="C14" s="229"/>
      <c r="D14" s="229"/>
      <c r="E14" s="106" t="str">
        <f>Mvalloc!H10</f>
        <v xml:space="preserve"> </v>
      </c>
      <c r="G14" s="305" t="str">
        <f>CONCATENATE("",E1," Tot Exp/Non-Appr Must Be:")</f>
        <v>2025 Tot Exp/Non-Appr Must Be:</v>
      </c>
      <c r="H14" s="306"/>
      <c r="I14" s="307"/>
      <c r="J14" s="308">
        <f>IF(J12&gt;0,IF(E39&lt;E24,IF(J12=G25,E39,((J12-G25)*(1-D41))+E24),E39+(J12-G25)),0)</f>
        <v>0</v>
      </c>
    </row>
    <row r="15" spans="2:10" x14ac:dyDescent="0.2">
      <c r="B15" s="150"/>
      <c r="C15" s="229"/>
      <c r="D15" s="229"/>
      <c r="E15" s="42"/>
      <c r="G15" s="309" t="s">
        <v>318</v>
      </c>
      <c r="H15" s="310"/>
      <c r="I15" s="310"/>
      <c r="J15" s="311">
        <f>IF(J12&gt;0,J14-E39,0)</f>
        <v>0</v>
      </c>
    </row>
    <row r="16" spans="2:10" x14ac:dyDescent="0.25">
      <c r="B16" s="150"/>
      <c r="C16" s="229"/>
      <c r="D16" s="229"/>
      <c r="E16" s="42"/>
      <c r="G16" s="1"/>
      <c r="H16" s="1"/>
      <c r="I16" s="1"/>
      <c r="J16" s="1"/>
    </row>
    <row r="17" spans="2:11" x14ac:dyDescent="0.2">
      <c r="B17" s="150"/>
      <c r="C17" s="229"/>
      <c r="D17" s="229"/>
      <c r="E17" s="42"/>
      <c r="G17" s="646" t="str">
        <f>CONCATENATE("Projected Carryover Into ",E1+1,"")</f>
        <v>Projected Carryover Into 2026</v>
      </c>
      <c r="H17" s="666"/>
      <c r="I17" s="666"/>
      <c r="J17" s="667"/>
    </row>
    <row r="18" spans="2:11" x14ac:dyDescent="0.2">
      <c r="B18" s="150"/>
      <c r="C18" s="229"/>
      <c r="D18" s="229"/>
      <c r="E18" s="42"/>
      <c r="G18" s="298"/>
      <c r="H18" s="300"/>
      <c r="I18" s="300"/>
      <c r="J18" s="317"/>
    </row>
    <row r="19" spans="2:11" x14ac:dyDescent="0.2">
      <c r="B19" s="142" t="s">
        <v>88</v>
      </c>
      <c r="C19" s="229"/>
      <c r="D19" s="229"/>
      <c r="E19" s="42"/>
      <c r="G19" s="318">
        <f>D36</f>
        <v>0</v>
      </c>
      <c r="H19" s="316" t="str">
        <f>CONCATENATE("",E1-1," Ending Cash Balance (est.)")</f>
        <v>2024 Ending Cash Balance (est.)</v>
      </c>
      <c r="I19" s="319"/>
      <c r="J19" s="317"/>
    </row>
    <row r="20" spans="2:11" x14ac:dyDescent="0.2">
      <c r="B20" s="143" t="s">
        <v>40</v>
      </c>
      <c r="C20" s="229"/>
      <c r="D20" s="229"/>
      <c r="E20" s="106">
        <f>'NR Rebate'!E9*-1</f>
        <v>0</v>
      </c>
      <c r="G20" s="318">
        <f>E23</f>
        <v>0</v>
      </c>
      <c r="H20" s="300" t="str">
        <f>CONCATENATE("",E1," Non-AV Receipts (est.)")</f>
        <v>2025 Non-AV Receipts (est.)</v>
      </c>
      <c r="I20" s="319"/>
      <c r="J20" s="317"/>
    </row>
    <row r="21" spans="2:11" x14ac:dyDescent="0.2">
      <c r="B21" s="143" t="s">
        <v>38</v>
      </c>
      <c r="C21" s="229"/>
      <c r="D21" s="229"/>
      <c r="E21" s="42"/>
      <c r="G21" s="320">
        <f>IF(E41&gt;0,E40,E42)</f>
        <v>0</v>
      </c>
      <c r="H21" s="300" t="str">
        <f>CONCATENATE("",E1," Ad Valorem Tax (est.)")</f>
        <v>2025 Ad Valorem Tax (est.)</v>
      </c>
      <c r="I21" s="319"/>
      <c r="J21" s="317"/>
      <c r="K21" s="314" t="str">
        <f>IF(G21=E42,"","Note: Does not include Delinquent Taxes")</f>
        <v/>
      </c>
    </row>
    <row r="22" spans="2:11" x14ac:dyDescent="0.2">
      <c r="B22" s="143" t="s">
        <v>291</v>
      </c>
      <c r="C22" s="230" t="str">
        <f>IF(C23*0.1&lt;C21,"Exceed 10% Rule","")</f>
        <v/>
      </c>
      <c r="D22" s="230" t="str">
        <f>IF(D23*0.1&lt;D21,"Exceed 10% Rule","")</f>
        <v/>
      </c>
      <c r="E22" s="170" t="str">
        <f>IF(E23*0.1+E42&lt;E21,"Exceed 10% Rule","")</f>
        <v/>
      </c>
      <c r="G22" s="318">
        <f>SUM(G19:G21)</f>
        <v>0</v>
      </c>
      <c r="H22" s="300" t="str">
        <f>CONCATENATE("Total ",E1," Resources Available")</f>
        <v>Total 2025 Resources Available</v>
      </c>
      <c r="I22" s="319"/>
      <c r="J22" s="317"/>
    </row>
    <row r="23" spans="2:11" x14ac:dyDescent="0.2">
      <c r="B23" s="145" t="s">
        <v>89</v>
      </c>
      <c r="C23" s="463">
        <f>SUM(C8:C21)</f>
        <v>0</v>
      </c>
      <c r="D23" s="463">
        <f>SUM(D8:D21)</f>
        <v>0</v>
      </c>
      <c r="E23" s="463">
        <f>SUM(E8:E21)</f>
        <v>0</v>
      </c>
      <c r="G23" s="321"/>
      <c r="H23" s="300"/>
      <c r="I23" s="300"/>
      <c r="J23" s="317"/>
    </row>
    <row r="24" spans="2:11" x14ac:dyDescent="0.25">
      <c r="B24" s="145" t="s">
        <v>90</v>
      </c>
      <c r="C24" s="463">
        <f>C6+C23</f>
        <v>0</v>
      </c>
      <c r="D24" s="463">
        <f>D6+D23</f>
        <v>0</v>
      </c>
      <c r="E24" s="463">
        <f>E6+E23</f>
        <v>0</v>
      </c>
      <c r="G24" s="320">
        <f>ROUND(C35*0.05+C35,0)</f>
        <v>0</v>
      </c>
      <c r="H24" s="300" t="str">
        <f>CONCATENATE("Less ",E1-2," Expenditures + 5%")</f>
        <v>Less 2023 Expenditures + 5%</v>
      </c>
      <c r="I24" s="319"/>
      <c r="J24" s="322"/>
    </row>
    <row r="25" spans="2:11" x14ac:dyDescent="0.2">
      <c r="B25" s="60" t="s">
        <v>93</v>
      </c>
      <c r="C25" s="143"/>
      <c r="D25" s="143"/>
      <c r="E25" s="38"/>
      <c r="G25" s="323">
        <f>G22-G24</f>
        <v>0</v>
      </c>
      <c r="H25" s="324" t="str">
        <f>CONCATENATE("Projected ",E1+1," carryover (est.)")</f>
        <v>Projected 2026 carryover (est.)</v>
      </c>
      <c r="I25" s="325"/>
      <c r="J25" s="326"/>
    </row>
    <row r="26" spans="2:11" x14ac:dyDescent="0.25">
      <c r="B26" s="150"/>
      <c r="C26" s="229"/>
      <c r="D26" s="229"/>
      <c r="E26" s="42"/>
      <c r="G26" s="1"/>
      <c r="H26" s="1"/>
      <c r="I26" s="1"/>
      <c r="J26" s="1"/>
    </row>
    <row r="27" spans="2:11" x14ac:dyDescent="0.2">
      <c r="B27" s="150"/>
      <c r="C27" s="229"/>
      <c r="D27" s="229"/>
      <c r="E27" s="42"/>
      <c r="G27" s="649" t="s">
        <v>558</v>
      </c>
      <c r="H27" s="650"/>
      <c r="I27" s="650"/>
      <c r="J27" s="651"/>
    </row>
    <row r="28" spans="2:11" x14ac:dyDescent="0.2">
      <c r="B28" s="150"/>
      <c r="C28" s="229"/>
      <c r="D28" s="229"/>
      <c r="E28" s="42"/>
      <c r="G28" s="652"/>
      <c r="H28" s="653"/>
      <c r="I28" s="653"/>
      <c r="J28" s="654"/>
    </row>
    <row r="29" spans="2:11" x14ac:dyDescent="0.2">
      <c r="B29" s="150"/>
      <c r="C29" s="229"/>
      <c r="D29" s="229"/>
      <c r="E29" s="42"/>
      <c r="G29" s="509" t="str">
        <f>'Budget Hearing Notice'!H19</f>
        <v xml:space="preserve">  </v>
      </c>
      <c r="H29" s="316" t="str">
        <f>CONCATENATE("",E1," Estimated Fund Mill Rate")</f>
        <v>2025 Estimated Fund Mill Rate</v>
      </c>
      <c r="I29" s="510"/>
      <c r="J29" s="511"/>
    </row>
    <row r="30" spans="2:11" x14ac:dyDescent="0.2">
      <c r="B30" s="150"/>
      <c r="C30" s="229"/>
      <c r="D30" s="229"/>
      <c r="E30" s="42"/>
      <c r="G30" s="512" t="str">
        <f>'Budget Hearing Notice'!E19</f>
        <v xml:space="preserve">  </v>
      </c>
      <c r="H30" s="316" t="str">
        <f>CONCATENATE("",E1-1," Fund Mill Rate")</f>
        <v>2024 Fund Mill Rate</v>
      </c>
      <c r="I30" s="510"/>
      <c r="J30" s="511"/>
    </row>
    <row r="31" spans="2:11" x14ac:dyDescent="0.2">
      <c r="B31" s="150"/>
      <c r="C31" s="229"/>
      <c r="D31" s="229"/>
      <c r="E31" s="42"/>
      <c r="G31" s="513">
        <f>'Budget Hearing Notice'!H62</f>
        <v>0</v>
      </c>
      <c r="H31" s="514" t="s">
        <v>559</v>
      </c>
      <c r="I31" s="510"/>
      <c r="J31" s="511"/>
    </row>
    <row r="32" spans="2:11" x14ac:dyDescent="0.2">
      <c r="B32" s="143" t="str">
        <f>CONCATENATE("Cash Reserve (",E1," column)")</f>
        <v>Cash Reserve (2025 column)</v>
      </c>
      <c r="C32" s="229"/>
      <c r="D32" s="229"/>
      <c r="E32" s="42"/>
      <c r="G32" s="509">
        <f>'Budget Hearing Notice'!H61</f>
        <v>0</v>
      </c>
      <c r="H32" s="316" t="str">
        <f>CONCATENATE(E1," Estimated Total Mill Rate")</f>
        <v>2025 Estimated Total Mill Rate</v>
      </c>
      <c r="I32" s="510"/>
      <c r="J32" s="511"/>
    </row>
    <row r="33" spans="2:10" x14ac:dyDescent="0.2">
      <c r="B33" s="143" t="s">
        <v>38</v>
      </c>
      <c r="C33" s="229"/>
      <c r="D33" s="229"/>
      <c r="E33" s="42"/>
      <c r="G33" s="515">
        <f>'Budget Hearing Notice'!E61</f>
        <v>0</v>
      </c>
      <c r="H33" s="316" t="str">
        <f>CONCATENATE(E1-1," Total Mill Rate")</f>
        <v>2024 Total Mill Rate</v>
      </c>
      <c r="I33" s="510"/>
      <c r="J33" s="511"/>
    </row>
    <row r="34" spans="2:10" x14ac:dyDescent="0.2">
      <c r="B34" s="143" t="s">
        <v>290</v>
      </c>
      <c r="C34" s="230" t="str">
        <f>IF(C35*0.1&lt;C33,"Exceed 10% Rule","")</f>
        <v/>
      </c>
      <c r="D34" s="230" t="str">
        <f>IF(D35*0.1&lt;D33,"Exceed 10% Rule","")</f>
        <v/>
      </c>
      <c r="E34" s="170" t="str">
        <f>IF(E35*0.1&lt;E33,"Exceed 10% Rule","")</f>
        <v/>
      </c>
      <c r="G34" s="327"/>
      <c r="H34" s="299"/>
      <c r="I34" s="299"/>
      <c r="J34" s="329"/>
    </row>
    <row r="35" spans="2:10" x14ac:dyDescent="0.2">
      <c r="B35" s="145" t="s">
        <v>94</v>
      </c>
      <c r="C35" s="463">
        <f>SUM(C26:C33)</f>
        <v>0</v>
      </c>
      <c r="D35" s="463">
        <f>SUM(D26:D33)</f>
        <v>0</v>
      </c>
      <c r="E35" s="463">
        <f>SUM(E26:E33)</f>
        <v>0</v>
      </c>
      <c r="G35" s="655" t="s">
        <v>560</v>
      </c>
      <c r="H35" s="656"/>
      <c r="I35" s="656"/>
      <c r="J35" s="659" t="str">
        <f>IF(G32&gt;G31, "Yes", "No")</f>
        <v>No</v>
      </c>
    </row>
    <row r="36" spans="2:10" x14ac:dyDescent="0.2">
      <c r="B36" s="60" t="s">
        <v>196</v>
      </c>
      <c r="C36" s="106">
        <f>C24-C35</f>
        <v>0</v>
      </c>
      <c r="D36" s="106">
        <f>D24-D35</f>
        <v>0</v>
      </c>
      <c r="E36" s="165" t="s">
        <v>66</v>
      </c>
      <c r="G36" s="657"/>
      <c r="H36" s="658"/>
      <c r="I36" s="658"/>
      <c r="J36" s="660"/>
    </row>
    <row r="37" spans="2:10" x14ac:dyDescent="0.2">
      <c r="B37" s="135" t="str">
        <f>CONCATENATE("",E1-2,"/",E1-1,"/",E1," Budget Authority Amount:")</f>
        <v>2023/2024/2025 Budget Authority Amount:</v>
      </c>
      <c r="C37" s="167">
        <f>inputOth!B36</f>
        <v>0</v>
      </c>
      <c r="D37" s="167">
        <f>inputPrYr!D20</f>
        <v>0</v>
      </c>
      <c r="E37" s="106">
        <f>E35</f>
        <v>0</v>
      </c>
      <c r="F37" s="151"/>
      <c r="G37" s="661" t="str">
        <f>IF(J35="Yes", "Follow procedure prescribed by KSA 79-2988 to exceed the Revenue Neutral Rate.", " ")</f>
        <v xml:space="preserve"> </v>
      </c>
      <c r="H37" s="661"/>
      <c r="I37" s="661"/>
      <c r="J37" s="661"/>
    </row>
    <row r="38" spans="2:10" x14ac:dyDescent="0.2">
      <c r="B38" s="125"/>
      <c r="C38" s="636" t="s">
        <v>294</v>
      </c>
      <c r="D38" s="637"/>
      <c r="E38" s="42"/>
      <c r="F38" s="238" t="str">
        <f>IF(E35/0.95-E35&lt;E38,"Exceeds 5%","")</f>
        <v/>
      </c>
      <c r="G38" s="662"/>
      <c r="H38" s="662"/>
      <c r="I38" s="662"/>
      <c r="J38" s="662"/>
    </row>
    <row r="39" spans="2:10" x14ac:dyDescent="0.2">
      <c r="B39" s="266" t="str">
        <f>CONCATENATE(C97,"     ",D97)</f>
        <v xml:space="preserve">     </v>
      </c>
      <c r="C39" s="638" t="s">
        <v>295</v>
      </c>
      <c r="D39" s="639"/>
      <c r="E39" s="106">
        <f>E35+E38</f>
        <v>0</v>
      </c>
      <c r="G39" s="662"/>
      <c r="H39" s="662"/>
      <c r="I39" s="662"/>
      <c r="J39" s="662"/>
    </row>
    <row r="40" spans="2:10" x14ac:dyDescent="0.25">
      <c r="B40" s="266" t="str">
        <f>CONCATENATE(C98,"     ",D98)</f>
        <v xml:space="preserve">     </v>
      </c>
      <c r="C40" s="152"/>
      <c r="D40" s="90" t="s">
        <v>95</v>
      </c>
      <c r="E40" s="106">
        <f>IF(E39-E24&gt;0,E39-E24,0)</f>
        <v>0</v>
      </c>
      <c r="G40" s="1"/>
      <c r="H40" s="1"/>
      <c r="I40" s="1"/>
      <c r="J40" s="1"/>
    </row>
    <row r="41" spans="2:10" x14ac:dyDescent="0.25">
      <c r="B41" s="90"/>
      <c r="C41" s="265" t="s">
        <v>296</v>
      </c>
      <c r="D41" s="297">
        <f>inputOth!$E$26</f>
        <v>0</v>
      </c>
      <c r="E41" s="106">
        <f>ROUND(IF(D41&gt;0,($E$40*D41),0),0)</f>
        <v>0</v>
      </c>
      <c r="G41" s="1"/>
      <c r="H41" s="1"/>
      <c r="I41" s="1"/>
      <c r="J41" s="1"/>
    </row>
    <row r="42" spans="2:10" x14ac:dyDescent="0.25">
      <c r="B42" s="26"/>
      <c r="C42" s="644" t="str">
        <f>CONCATENATE("Amount of  ",$E$1-1," Ad Valorem Tax")</f>
        <v>Amount of  2024 Ad Valorem Tax</v>
      </c>
      <c r="D42" s="663"/>
      <c r="E42" s="106">
        <f>E40+E41</f>
        <v>0</v>
      </c>
      <c r="G42" s="1"/>
      <c r="H42" s="1"/>
      <c r="I42" s="1"/>
      <c r="J42" s="1"/>
    </row>
    <row r="43" spans="2:10" x14ac:dyDescent="0.25">
      <c r="B43" s="26"/>
      <c r="C43" s="155"/>
      <c r="D43" s="155"/>
      <c r="E43" s="155"/>
      <c r="G43" s="1"/>
      <c r="H43" s="1"/>
      <c r="I43" s="1"/>
      <c r="J43" s="1"/>
    </row>
    <row r="44" spans="2:10" x14ac:dyDescent="0.25">
      <c r="B44" s="25" t="s">
        <v>80</v>
      </c>
      <c r="C44" s="339" t="str">
        <f t="shared" ref="C44:E45" si="0">C4</f>
        <v xml:space="preserve">Prior Year </v>
      </c>
      <c r="D44" s="340" t="str">
        <f t="shared" si="0"/>
        <v xml:space="preserve">Current Year </v>
      </c>
      <c r="E44" s="80" t="str">
        <f t="shared" si="0"/>
        <v xml:space="preserve">Proposed Budget </v>
      </c>
      <c r="G44" s="1"/>
      <c r="H44" s="1"/>
      <c r="I44" s="1"/>
      <c r="J44" s="1"/>
    </row>
    <row r="45" spans="2:10" x14ac:dyDescent="0.25">
      <c r="B45" s="247">
        <f>(inputPrYr!B21)</f>
        <v>0</v>
      </c>
      <c r="C45" s="231" t="str">
        <f t="shared" si="0"/>
        <v>Actual for 2023</v>
      </c>
      <c r="D45" s="231" t="str">
        <f t="shared" si="0"/>
        <v>Estimate for 2024</v>
      </c>
      <c r="E45" s="136" t="str">
        <f t="shared" si="0"/>
        <v>Year for 2025</v>
      </c>
      <c r="G45" s="1"/>
      <c r="H45" s="1"/>
      <c r="I45" s="1"/>
      <c r="J45" s="1"/>
    </row>
    <row r="46" spans="2:10" x14ac:dyDescent="0.25">
      <c r="B46" s="60" t="s">
        <v>195</v>
      </c>
      <c r="C46" s="229"/>
      <c r="D46" s="232">
        <f>C75</f>
        <v>0</v>
      </c>
      <c r="E46" s="106">
        <f>D75</f>
        <v>0</v>
      </c>
      <c r="G46" s="1"/>
      <c r="H46" s="1"/>
      <c r="I46" s="1"/>
      <c r="J46" s="1"/>
    </row>
    <row r="47" spans="2:10" x14ac:dyDescent="0.25">
      <c r="B47" s="137" t="s">
        <v>197</v>
      </c>
      <c r="C47" s="139"/>
      <c r="D47" s="139"/>
      <c r="E47" s="50"/>
      <c r="G47" s="1"/>
      <c r="H47" s="1"/>
      <c r="I47" s="1"/>
      <c r="J47" s="1"/>
    </row>
    <row r="48" spans="2:10" x14ac:dyDescent="0.25">
      <c r="B48" s="60" t="s">
        <v>81</v>
      </c>
      <c r="C48" s="229"/>
      <c r="D48" s="232">
        <f>IF(inputPrYr!H21&gt;0,inputPrYr!H21,inputPrYr!E21)</f>
        <v>0</v>
      </c>
      <c r="E48" s="165" t="s">
        <v>66</v>
      </c>
      <c r="G48" s="1"/>
      <c r="H48" s="1"/>
      <c r="I48" s="1"/>
      <c r="J48" s="1"/>
    </row>
    <row r="49" spans="2:11" x14ac:dyDescent="0.25">
      <c r="B49" s="60" t="s">
        <v>82</v>
      </c>
      <c r="C49" s="229"/>
      <c r="D49" s="229"/>
      <c r="E49" s="42"/>
      <c r="G49" s="1"/>
      <c r="H49" s="1"/>
      <c r="I49" s="1"/>
      <c r="J49" s="1"/>
    </row>
    <row r="50" spans="2:11" x14ac:dyDescent="0.2">
      <c r="B50" s="60" t="s">
        <v>83</v>
      </c>
      <c r="C50" s="229"/>
      <c r="D50" s="229"/>
      <c r="E50" s="106" t="str">
        <f>Mvalloc!D11</f>
        <v xml:space="preserve">  </v>
      </c>
      <c r="G50" s="646" t="str">
        <f>CONCATENATE("Desired Carryover Into ",E1+1,"")</f>
        <v>Desired Carryover Into 2026</v>
      </c>
      <c r="H50" s="647"/>
      <c r="I50" s="647"/>
      <c r="J50" s="648"/>
    </row>
    <row r="51" spans="2:11" x14ac:dyDescent="0.2">
      <c r="B51" s="60" t="s">
        <v>84</v>
      </c>
      <c r="C51" s="229"/>
      <c r="D51" s="229"/>
      <c r="E51" s="106" t="str">
        <f>Mvalloc!E11</f>
        <v xml:space="preserve">  </v>
      </c>
      <c r="G51" s="298"/>
      <c r="H51" s="299"/>
      <c r="I51" s="300"/>
      <c r="J51" s="301"/>
    </row>
    <row r="52" spans="2:11" x14ac:dyDescent="0.2">
      <c r="B52" s="139" t="s">
        <v>176</v>
      </c>
      <c r="C52" s="229"/>
      <c r="D52" s="229"/>
      <c r="E52" s="106" t="str">
        <f>Mvalloc!F11</f>
        <v xml:space="preserve">  </v>
      </c>
      <c r="G52" s="302" t="s">
        <v>297</v>
      </c>
      <c r="H52" s="300"/>
      <c r="I52" s="300"/>
      <c r="J52" s="303">
        <v>0</v>
      </c>
    </row>
    <row r="53" spans="2:11" x14ac:dyDescent="0.2">
      <c r="B53" s="137" t="s">
        <v>348</v>
      </c>
      <c r="C53" s="229"/>
      <c r="D53" s="229"/>
      <c r="E53" s="106" t="str">
        <f>Mvalloc!G11</f>
        <v xml:space="preserve">  </v>
      </c>
      <c r="G53" s="298" t="s">
        <v>298</v>
      </c>
      <c r="H53" s="299"/>
      <c r="I53" s="299"/>
      <c r="J53" s="304" t="str">
        <f>IF(J52=0,"",ROUND((J52+E81-G65)/inputOth!E6*1000,3)-G70)</f>
        <v/>
      </c>
    </row>
    <row r="54" spans="2:11" x14ac:dyDescent="0.2">
      <c r="B54" s="137" t="s">
        <v>349</v>
      </c>
      <c r="C54" s="229"/>
      <c r="D54" s="229"/>
      <c r="E54" s="106" t="str">
        <f>Mvalloc!H11</f>
        <v xml:space="preserve">  </v>
      </c>
      <c r="G54" s="305" t="str">
        <f>CONCATENATE("",E1," Tot Exp/Non-Appr Must Be:")</f>
        <v>2025 Tot Exp/Non-Appr Must Be:</v>
      </c>
      <c r="H54" s="306"/>
      <c r="I54" s="307"/>
      <c r="J54" s="308">
        <f>IF(J52&gt;0,IF(E78&lt;E64,IF(J52=G65,E78,((J52-G65)*(1-D80))+E64),E78+(J52-G65)),0)</f>
        <v>0</v>
      </c>
    </row>
    <row r="55" spans="2:11" x14ac:dyDescent="0.2">
      <c r="B55" s="150"/>
      <c r="C55" s="229"/>
      <c r="D55" s="229"/>
      <c r="E55" s="42"/>
      <c r="G55" s="309" t="s">
        <v>318</v>
      </c>
      <c r="H55" s="310"/>
      <c r="I55" s="310"/>
      <c r="J55" s="311">
        <f>IF(J52&gt;0,J54-E78,0)</f>
        <v>0</v>
      </c>
    </row>
    <row r="56" spans="2:11" x14ac:dyDescent="0.25">
      <c r="B56" s="150"/>
      <c r="C56" s="229"/>
      <c r="D56" s="229"/>
      <c r="E56" s="42"/>
      <c r="G56" s="1"/>
      <c r="H56" s="1"/>
      <c r="I56" s="1"/>
      <c r="J56" s="1"/>
    </row>
    <row r="57" spans="2:11" x14ac:dyDescent="0.2">
      <c r="B57" s="150"/>
      <c r="C57" s="229"/>
      <c r="D57" s="229"/>
      <c r="E57" s="42"/>
      <c r="G57" s="646" t="str">
        <f>CONCATENATE("Projected Carryover Into ",E1+1,"")</f>
        <v>Projected Carryover Into 2026</v>
      </c>
      <c r="H57" s="668"/>
      <c r="I57" s="668"/>
      <c r="J57" s="667"/>
    </row>
    <row r="58" spans="2:11" x14ac:dyDescent="0.25">
      <c r="B58" s="150"/>
      <c r="C58" s="229"/>
      <c r="D58" s="229"/>
      <c r="E58" s="42"/>
      <c r="G58" s="327"/>
      <c r="H58" s="299"/>
      <c r="I58" s="299"/>
      <c r="J58" s="322"/>
    </row>
    <row r="59" spans="2:11" x14ac:dyDescent="0.25">
      <c r="B59" s="142" t="s">
        <v>88</v>
      </c>
      <c r="C59" s="229"/>
      <c r="D59" s="229"/>
      <c r="E59" s="42"/>
      <c r="G59" s="318">
        <f>D75</f>
        <v>0</v>
      </c>
      <c r="H59" s="316" t="str">
        <f>CONCATENATE("",E1-1," Ending Cash Balance (est.)")</f>
        <v>2024 Ending Cash Balance (est.)</v>
      </c>
      <c r="I59" s="319"/>
      <c r="J59" s="322"/>
    </row>
    <row r="60" spans="2:11" x14ac:dyDescent="0.25">
      <c r="B60" s="143" t="s">
        <v>40</v>
      </c>
      <c r="C60" s="229"/>
      <c r="D60" s="229"/>
      <c r="E60" s="106">
        <f>'NR Rebate'!E10*-1</f>
        <v>0</v>
      </c>
      <c r="G60" s="318">
        <f>E63</f>
        <v>0</v>
      </c>
      <c r="H60" s="300" t="str">
        <f>CONCATENATE("",E1," Non-AV Receipts (est.)")</f>
        <v>2025 Non-AV Receipts (est.)</v>
      </c>
      <c r="I60" s="319"/>
      <c r="J60" s="322"/>
    </row>
    <row r="61" spans="2:11" x14ac:dyDescent="0.25">
      <c r="B61" s="143" t="s">
        <v>38</v>
      </c>
      <c r="C61" s="229"/>
      <c r="D61" s="229"/>
      <c r="E61" s="42"/>
      <c r="G61" s="320">
        <f>IF(E80&gt;0,E79,E81)</f>
        <v>0</v>
      </c>
      <c r="H61" s="300" t="str">
        <f>CONCATENATE("",E1," Ad Valorem Tax (est.)")</f>
        <v>2025 Ad Valorem Tax (est.)</v>
      </c>
      <c r="I61" s="319"/>
      <c r="J61" s="322"/>
      <c r="K61" s="314" t="str">
        <f>IF(G61=E81,"","Note: Does not include Delinquent Taxes")</f>
        <v/>
      </c>
    </row>
    <row r="62" spans="2:11" x14ac:dyDescent="0.25">
      <c r="B62" s="143" t="s">
        <v>291</v>
      </c>
      <c r="C62" s="230" t="str">
        <f>IF(C63*0.1&lt;C61,"Exceed 10% Rule","")</f>
        <v/>
      </c>
      <c r="D62" s="230" t="str">
        <f>IF(D63*0.1&lt;D61,"Exceed 10% Rule","")</f>
        <v/>
      </c>
      <c r="E62" s="170" t="str">
        <f>IF(E63*0.1+E81&lt;E61,"Exceed 10% Rule","")</f>
        <v/>
      </c>
      <c r="G62" s="328">
        <f>SUM(G59:G61)</f>
        <v>0</v>
      </c>
      <c r="H62" s="300" t="str">
        <f>CONCATENATE("Total ",E1," Resources Available")</f>
        <v>Total 2025 Resources Available</v>
      </c>
      <c r="I62" s="329"/>
      <c r="J62" s="322"/>
    </row>
    <row r="63" spans="2:11" x14ac:dyDescent="0.25">
      <c r="B63" s="145" t="s">
        <v>89</v>
      </c>
      <c r="C63" s="463">
        <f>SUM(C48:C61)</f>
        <v>0</v>
      </c>
      <c r="D63" s="463">
        <f>SUM(D48:D61)</f>
        <v>0</v>
      </c>
      <c r="E63" s="463">
        <f>SUM(E48:E61)</f>
        <v>0</v>
      </c>
      <c r="G63" s="330"/>
      <c r="H63" s="331"/>
      <c r="I63" s="299"/>
      <c r="J63" s="322"/>
    </row>
    <row r="64" spans="2:11" x14ac:dyDescent="0.25">
      <c r="B64" s="145" t="s">
        <v>90</v>
      </c>
      <c r="C64" s="463">
        <f>C46+C63</f>
        <v>0</v>
      </c>
      <c r="D64" s="463">
        <f>D46+D63</f>
        <v>0</v>
      </c>
      <c r="E64" s="463">
        <f>E46+E63</f>
        <v>0</v>
      </c>
      <c r="G64" s="332">
        <f>ROUND(C74*0.05+C74,0)</f>
        <v>0</v>
      </c>
      <c r="H64" s="300" t="str">
        <f>CONCATENATE("Less ",E1-2," Expenditures + 5%")</f>
        <v>Less 2023 Expenditures + 5%</v>
      </c>
      <c r="I64" s="329"/>
      <c r="J64" s="322"/>
    </row>
    <row r="65" spans="2:10" x14ac:dyDescent="0.25">
      <c r="B65" s="60" t="s">
        <v>93</v>
      </c>
      <c r="C65" s="143"/>
      <c r="D65" s="143"/>
      <c r="E65" s="38"/>
      <c r="G65" s="333">
        <f>G62-G64</f>
        <v>0</v>
      </c>
      <c r="H65" s="324" t="str">
        <f>CONCATENATE("Projected ",E1+1," carryover (est.)")</f>
        <v>Projected 2026 carryover (est.)</v>
      </c>
      <c r="I65" s="334"/>
      <c r="J65" s="335"/>
    </row>
    <row r="66" spans="2:10" x14ac:dyDescent="0.25">
      <c r="B66" s="150"/>
      <c r="C66" s="229"/>
      <c r="D66" s="229"/>
      <c r="E66" s="42"/>
      <c r="G66" s="1"/>
      <c r="H66" s="1"/>
      <c r="I66" s="1"/>
      <c r="J66" s="1"/>
    </row>
    <row r="67" spans="2:10" x14ac:dyDescent="0.2">
      <c r="B67" s="150"/>
      <c r="C67" s="229"/>
      <c r="D67" s="229"/>
      <c r="E67" s="42"/>
      <c r="G67" s="649" t="s">
        <v>558</v>
      </c>
      <c r="H67" s="650"/>
      <c r="I67" s="650"/>
      <c r="J67" s="651"/>
    </row>
    <row r="68" spans="2:10" x14ac:dyDescent="0.2">
      <c r="B68" s="150"/>
      <c r="C68" s="229"/>
      <c r="D68" s="229"/>
      <c r="E68" s="42"/>
      <c r="G68" s="652"/>
      <c r="H68" s="653"/>
      <c r="I68" s="653"/>
      <c r="J68" s="654"/>
    </row>
    <row r="69" spans="2:10" x14ac:dyDescent="0.2">
      <c r="B69" s="150"/>
      <c r="C69" s="229"/>
      <c r="D69" s="229"/>
      <c r="E69" s="42"/>
      <c r="G69" s="509" t="str">
        <f>'Budget Hearing Notice'!H20</f>
        <v xml:space="preserve">  </v>
      </c>
      <c r="H69" s="316" t="str">
        <f>CONCATENATE("",E1," Estimated Fund Mill Rate")</f>
        <v>2025 Estimated Fund Mill Rate</v>
      </c>
      <c r="I69" s="510"/>
      <c r="J69" s="511"/>
    </row>
    <row r="70" spans="2:10" x14ac:dyDescent="0.2">
      <c r="B70" s="150"/>
      <c r="C70" s="229"/>
      <c r="D70" s="229"/>
      <c r="E70" s="42"/>
      <c r="G70" s="512" t="str">
        <f>'Budget Hearing Notice'!E20</f>
        <v xml:space="preserve">  </v>
      </c>
      <c r="H70" s="316" t="str">
        <f>CONCATENATE("",E1-1," Fund Mill Rate")</f>
        <v>2024 Fund Mill Rate</v>
      </c>
      <c r="I70" s="510"/>
      <c r="J70" s="511"/>
    </row>
    <row r="71" spans="2:10" x14ac:dyDescent="0.2">
      <c r="B71" s="143" t="str">
        <f>CONCATENATE("Cash Reserve (",E1," column)")</f>
        <v>Cash Reserve (2025 column)</v>
      </c>
      <c r="C71" s="229"/>
      <c r="D71" s="229"/>
      <c r="E71" s="42"/>
      <c r="G71" s="513">
        <f>'Budget Hearing Notice'!H62</f>
        <v>0</v>
      </c>
      <c r="H71" s="514" t="s">
        <v>559</v>
      </c>
      <c r="I71" s="510"/>
      <c r="J71" s="511"/>
    </row>
    <row r="72" spans="2:10" x14ac:dyDescent="0.2">
      <c r="B72" s="143" t="s">
        <v>38</v>
      </c>
      <c r="C72" s="229"/>
      <c r="D72" s="229"/>
      <c r="E72" s="42"/>
      <c r="G72" s="509">
        <f>'Budget Hearing Notice'!H61</f>
        <v>0</v>
      </c>
      <c r="H72" s="316" t="str">
        <f>CONCATENATE(E1," Estimated Total Mill Rate")</f>
        <v>2025 Estimated Total Mill Rate</v>
      </c>
      <c r="I72" s="510"/>
      <c r="J72" s="511"/>
    </row>
    <row r="73" spans="2:10" x14ac:dyDescent="0.2">
      <c r="B73" s="143" t="s">
        <v>290</v>
      </c>
      <c r="C73" s="230" t="str">
        <f>IF(C74*0.1&lt;C72,"Exceed 10% Rule","")</f>
        <v/>
      </c>
      <c r="D73" s="230" t="str">
        <f>IF(D74*0.1&lt;D72,"Exceed 10% Rule","")</f>
        <v/>
      </c>
      <c r="E73" s="170" t="str">
        <f>IF(E74*0.1&lt;E72,"Exceed 10% Rule","")</f>
        <v/>
      </c>
      <c r="G73" s="515">
        <f>'Budget Hearing Notice'!E61</f>
        <v>0</v>
      </c>
      <c r="H73" s="316" t="str">
        <f>CONCATENATE(E1-1," Total Mill Rate")</f>
        <v>2024 Total Mill Rate</v>
      </c>
      <c r="I73" s="510"/>
      <c r="J73" s="511"/>
    </row>
    <row r="74" spans="2:10" x14ac:dyDescent="0.2">
      <c r="B74" s="145" t="s">
        <v>94</v>
      </c>
      <c r="C74" s="463">
        <f>SUM(C66:C72)</f>
        <v>0</v>
      </c>
      <c r="D74" s="463">
        <f>SUM(D66:D72)</f>
        <v>0</v>
      </c>
      <c r="E74" s="463">
        <f>SUM(E66:E72)</f>
        <v>0</v>
      </c>
      <c r="G74" s="327"/>
      <c r="H74" s="299"/>
      <c r="I74" s="299"/>
      <c r="J74" s="329"/>
    </row>
    <row r="75" spans="2:10" x14ac:dyDescent="0.2">
      <c r="B75" s="60" t="s">
        <v>196</v>
      </c>
      <c r="C75" s="106">
        <f>C64-C74</f>
        <v>0</v>
      </c>
      <c r="D75" s="106">
        <f>D64-D74</f>
        <v>0</v>
      </c>
      <c r="E75" s="165" t="s">
        <v>66</v>
      </c>
      <c r="G75" s="655" t="s">
        <v>560</v>
      </c>
      <c r="H75" s="656"/>
      <c r="I75" s="656"/>
      <c r="J75" s="659" t="str">
        <f>IF(G72&gt;G71, "Yes", "No")</f>
        <v>No</v>
      </c>
    </row>
    <row r="76" spans="2:10" x14ac:dyDescent="0.2">
      <c r="B76" s="135" t="str">
        <f>CONCATENATE("",E1-2,"/",E1-1,"/",E1," Budget Authority Amount:")</f>
        <v>2023/2024/2025 Budget Authority Amount:</v>
      </c>
      <c r="C76" s="167">
        <f>inputOth!B37</f>
        <v>0</v>
      </c>
      <c r="D76" s="167">
        <f>inputPrYr!D21</f>
        <v>0</v>
      </c>
      <c r="E76" s="106">
        <f>E74</f>
        <v>0</v>
      </c>
      <c r="G76" s="657"/>
      <c r="H76" s="658"/>
      <c r="I76" s="658"/>
      <c r="J76" s="660"/>
    </row>
    <row r="77" spans="2:10" x14ac:dyDescent="0.2">
      <c r="B77" s="125"/>
      <c r="C77" s="636" t="s">
        <v>294</v>
      </c>
      <c r="D77" s="637"/>
      <c r="E77" s="42"/>
      <c r="G77" s="661" t="str">
        <f>IF(J75="Yes", "Follow procedure prescribed by KSA 79-2988 to exceed the Revenue Neutral Rate.", " ")</f>
        <v xml:space="preserve"> </v>
      </c>
      <c r="H77" s="661"/>
      <c r="I77" s="661"/>
      <c r="J77" s="661"/>
    </row>
    <row r="78" spans="2:10" x14ac:dyDescent="0.2">
      <c r="B78" s="266" t="str">
        <f>CONCATENATE(C99,"     ",D99)</f>
        <v xml:space="preserve">     </v>
      </c>
      <c r="C78" s="638" t="s">
        <v>295</v>
      </c>
      <c r="D78" s="639"/>
      <c r="E78" s="106">
        <f>E74+E77</f>
        <v>0</v>
      </c>
      <c r="G78" s="662"/>
      <c r="H78" s="662"/>
      <c r="I78" s="662"/>
      <c r="J78" s="662"/>
    </row>
    <row r="79" spans="2:10" x14ac:dyDescent="0.2">
      <c r="B79" s="266" t="str">
        <f>CONCATENATE(C100,"     ",D100)</f>
        <v xml:space="preserve">     </v>
      </c>
      <c r="C79" s="152"/>
      <c r="D79" s="90" t="s">
        <v>95</v>
      </c>
      <c r="E79" s="106">
        <f>IF(E78-E64&gt;0,E78-E64,0)</f>
        <v>0</v>
      </c>
      <c r="F79" s="151"/>
      <c r="G79" s="662"/>
      <c r="H79" s="662"/>
      <c r="I79" s="662"/>
      <c r="J79" s="662"/>
    </row>
    <row r="80" spans="2:10" x14ac:dyDescent="0.2">
      <c r="B80" s="90"/>
      <c r="C80" s="265" t="s">
        <v>296</v>
      </c>
      <c r="D80" s="297">
        <f>inputOth!$E$26</f>
        <v>0</v>
      </c>
      <c r="E80" s="106">
        <f>ROUND(IF(D80&gt;0,($E$79*D80),0),0)</f>
        <v>0</v>
      </c>
      <c r="F80" s="238" t="str">
        <f>IF(E74/0.95-E74&lt;E77,"Exceeds 5%","")</f>
        <v/>
      </c>
    </row>
    <row r="81" spans="2:5" x14ac:dyDescent="0.2">
      <c r="B81" s="26"/>
      <c r="C81" s="644" t="str">
        <f>CONCATENATE("Amount of  ",$E$1-1," Ad Valorem Tax")</f>
        <v>Amount of  2024 Ad Valorem Tax</v>
      </c>
      <c r="D81" s="663"/>
      <c r="E81" s="106">
        <f>E79+E80</f>
        <v>0</v>
      </c>
    </row>
    <row r="82" spans="2:5" x14ac:dyDescent="0.2">
      <c r="B82" s="26"/>
      <c r="C82" s="125"/>
      <c r="D82" s="26"/>
      <c r="E82" s="125"/>
    </row>
    <row r="83" spans="2:5" x14ac:dyDescent="0.2">
      <c r="B83" s="423" t="s">
        <v>354</v>
      </c>
      <c r="C83" s="402"/>
      <c r="D83" s="347"/>
      <c r="E83" s="409"/>
    </row>
    <row r="84" spans="2:5" x14ac:dyDescent="0.2">
      <c r="B84" s="126"/>
      <c r="C84" s="125"/>
      <c r="D84" s="26"/>
      <c r="E84" s="410"/>
    </row>
    <row r="85" spans="2:5" x14ac:dyDescent="0.2">
      <c r="B85" s="403"/>
      <c r="C85" s="408"/>
      <c r="D85" s="44"/>
      <c r="E85" s="411"/>
    </row>
    <row r="86" spans="2:5" x14ac:dyDescent="0.2">
      <c r="B86" s="26"/>
      <c r="C86" s="125"/>
      <c r="D86" s="26"/>
      <c r="E86" s="125"/>
    </row>
    <row r="87" spans="2:5" x14ac:dyDescent="0.2">
      <c r="B87" s="125" t="s">
        <v>146</v>
      </c>
      <c r="C87" s="368"/>
      <c r="D87" s="26"/>
      <c r="E87" s="26"/>
    </row>
    <row r="95" spans="2:5" hidden="1" x14ac:dyDescent="0.2"/>
    <row r="96" spans="2:5" hidden="1" x14ac:dyDescent="0.2"/>
    <row r="97" spans="3:4" hidden="1" x14ac:dyDescent="0.2">
      <c r="C97" s="23" t="str">
        <f>IF(C35&gt;C37,"See Tab A","")</f>
        <v/>
      </c>
      <c r="D97" s="23" t="str">
        <f>IF(D35&gt;D37,"See Tab C","")</f>
        <v/>
      </c>
    </row>
    <row r="98" spans="3:4" hidden="1" x14ac:dyDescent="0.2">
      <c r="C98" s="23" t="str">
        <f>IF(C36&lt;0,"See Tab B","")</f>
        <v/>
      </c>
      <c r="D98" s="23" t="str">
        <f>IF(D36&lt;0,"See Tab D","")</f>
        <v/>
      </c>
    </row>
    <row r="99" spans="3:4" x14ac:dyDescent="0.2">
      <c r="C99" s="23" t="str">
        <f>IF(C74&gt;C76,"See Tab A","")</f>
        <v/>
      </c>
      <c r="D99" s="23" t="str">
        <f>IF(D74&gt;D76,"See Tab C","")</f>
        <v/>
      </c>
    </row>
    <row r="100" spans="3:4" x14ac:dyDescent="0.2">
      <c r="C100" s="23" t="str">
        <f>IF(C75&lt;0,"See Tab B","")</f>
        <v/>
      </c>
      <c r="D100" s="23" t="str">
        <f>IF(D75&lt;0,"See Tab D","")</f>
        <v/>
      </c>
    </row>
  </sheetData>
  <sheetProtection sheet="1" objects="1" scenarios="1"/>
  <mergeCells count="18">
    <mergeCell ref="G67:J68"/>
    <mergeCell ref="C77:D77"/>
    <mergeCell ref="C78:D78"/>
    <mergeCell ref="C81:D81"/>
    <mergeCell ref="C42:D42"/>
    <mergeCell ref="G75:I76"/>
    <mergeCell ref="J75:J76"/>
    <mergeCell ref="G77:J79"/>
    <mergeCell ref="G10:J10"/>
    <mergeCell ref="G17:J17"/>
    <mergeCell ref="G50:J50"/>
    <mergeCell ref="G57:J57"/>
    <mergeCell ref="C38:D38"/>
    <mergeCell ref="C39:D39"/>
    <mergeCell ref="G27:J28"/>
    <mergeCell ref="G35:I36"/>
    <mergeCell ref="J35:J36"/>
    <mergeCell ref="G37:J39"/>
  </mergeCells>
  <phoneticPr fontId="0" type="noConversion"/>
  <conditionalFormatting sqref="C21">
    <cfRule type="cellIs" dxfId="344" priority="31" stopIfTrue="1" operator="greaterThan">
      <formula>$C$23*0.1</formula>
    </cfRule>
  </conditionalFormatting>
  <conditionalFormatting sqref="C33">
    <cfRule type="cellIs" dxfId="343" priority="28" stopIfTrue="1" operator="greaterThan">
      <formula>$C$35*0.1</formula>
    </cfRule>
  </conditionalFormatting>
  <conditionalFormatting sqref="C35">
    <cfRule type="cellIs" dxfId="342" priority="5" stopIfTrue="1" operator="greaterThan">
      <formula>$C$37</formula>
    </cfRule>
  </conditionalFormatting>
  <conditionalFormatting sqref="C61">
    <cfRule type="cellIs" dxfId="341" priority="26" stopIfTrue="1" operator="greaterThan">
      <formula>$C$63*0.1</formula>
    </cfRule>
  </conditionalFormatting>
  <conditionalFormatting sqref="C72">
    <cfRule type="cellIs" dxfId="340" priority="23" stopIfTrue="1" operator="greaterThan">
      <formula>$C$74*0.1</formula>
    </cfRule>
  </conditionalFormatting>
  <conditionalFormatting sqref="C74">
    <cfRule type="cellIs" dxfId="339" priority="7" stopIfTrue="1" operator="greaterThan">
      <formula>$C$76</formula>
    </cfRule>
  </conditionalFormatting>
  <conditionalFormatting sqref="C36:D36">
    <cfRule type="cellIs" dxfId="338" priority="1" stopIfTrue="1" operator="lessThan">
      <formula>0</formula>
    </cfRule>
  </conditionalFormatting>
  <conditionalFormatting sqref="C75:D75">
    <cfRule type="cellIs" dxfId="337" priority="3" stopIfTrue="1" operator="lessThan">
      <formula>0</formula>
    </cfRule>
  </conditionalFormatting>
  <conditionalFormatting sqref="D21">
    <cfRule type="cellIs" dxfId="336" priority="32" stopIfTrue="1" operator="greaterThan">
      <formula>$D$23*0.1</formula>
    </cfRule>
  </conditionalFormatting>
  <conditionalFormatting sqref="D33">
    <cfRule type="cellIs" dxfId="335" priority="29" stopIfTrue="1" operator="greaterThan">
      <formula>$D$35*0.1</formula>
    </cfRule>
  </conditionalFormatting>
  <conditionalFormatting sqref="D35">
    <cfRule type="cellIs" dxfId="334" priority="6" stopIfTrue="1" operator="greaterThan">
      <formula>$D$37</formula>
    </cfRule>
  </conditionalFormatting>
  <conditionalFormatting sqref="D61">
    <cfRule type="cellIs" dxfId="333" priority="27" stopIfTrue="1" operator="greaterThan">
      <formula>$D$63*0.1</formula>
    </cfRule>
  </conditionalFormatting>
  <conditionalFormatting sqref="D72">
    <cfRule type="cellIs" dxfId="332" priority="24" stopIfTrue="1" operator="greaterThan">
      <formula>$D$74*0.1</formula>
    </cfRule>
  </conditionalFormatting>
  <conditionalFormatting sqref="D74">
    <cfRule type="cellIs" dxfId="331" priority="8" stopIfTrue="1" operator="greaterThan">
      <formula>$D$76</formula>
    </cfRule>
  </conditionalFormatting>
  <conditionalFormatting sqref="E21">
    <cfRule type="cellIs" dxfId="330" priority="30" stopIfTrue="1" operator="greaterThan">
      <formula>$E$23*0.1+E42</formula>
    </cfRule>
  </conditionalFormatting>
  <conditionalFormatting sqref="E33">
    <cfRule type="cellIs" dxfId="329" priority="17" stopIfTrue="1" operator="greaterThan">
      <formula>$E$35*0.1</formula>
    </cfRule>
  </conditionalFormatting>
  <conditionalFormatting sqref="E38">
    <cfRule type="cellIs" dxfId="328" priority="16" stopIfTrue="1" operator="greaterThan">
      <formula>$E$35/0.95-$E$35</formula>
    </cfRule>
  </conditionalFormatting>
  <conditionalFormatting sqref="E61">
    <cfRule type="cellIs" dxfId="327" priority="25" stopIfTrue="1" operator="greaterThan">
      <formula>$E$63*0.1+E81</formula>
    </cfRule>
  </conditionalFormatting>
  <conditionalFormatting sqref="E72">
    <cfRule type="cellIs" dxfId="326" priority="14" stopIfTrue="1" operator="greaterThan">
      <formula>$E$74*0.1</formula>
    </cfRule>
  </conditionalFormatting>
  <conditionalFormatting sqref="E77">
    <cfRule type="cellIs" dxfId="325" priority="15" stopIfTrue="1" operator="greaterThan">
      <formula>$E$74/0.95-$E$74</formula>
    </cfRule>
  </conditionalFormatting>
  <conditionalFormatting sqref="J35">
    <cfRule type="containsText" dxfId="324" priority="10" operator="containsText" text="Yes">
      <formula>NOT(ISERROR(SEARCH("Yes",J35)))</formula>
    </cfRule>
  </conditionalFormatting>
  <conditionalFormatting sqref="J75">
    <cfRule type="containsText" dxfId="323" priority="9" operator="containsText" text="Yes">
      <formula>NOT(ISERROR(SEARCH("Yes",J75)))</formula>
    </cfRule>
  </conditionalFormatting>
  <pageMargins left="1.1200000000000001" right="0.5" top="0.74" bottom="0.34" header="0.5" footer="0"/>
  <pageSetup scale="51" orientation="portrait" blackAndWhite="1" horizontalDpi="120" verticalDpi="144" r:id="rId1"/>
  <headerFooter alignWithMargins="0">
    <oddHeader xml:space="preserve">&amp;RState of Kansas
County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tabColor rgb="FF00B0F0"/>
    <pageSetUpPr fitToPage="1"/>
  </sheetPr>
  <dimension ref="B1:K102"/>
  <sheetViews>
    <sheetView topLeftCell="A3" zoomScaleNormal="100" workbookViewId="0">
      <selection activeCell="C33" sqref="C33:E33"/>
    </sheetView>
  </sheetViews>
  <sheetFormatPr defaultRowHeight="15.75" x14ac:dyDescent="0.2"/>
  <cols>
    <col min="1" max="1" width="2.44140625" style="23" customWidth="1"/>
    <col min="2" max="2" width="31.109375" style="23" customWidth="1"/>
    <col min="3" max="4" width="15.77734375" style="23" customWidth="1"/>
    <col min="5" max="5" width="16.109375" style="23" customWidth="1"/>
    <col min="6" max="6" width="7.44140625" style="23" customWidth="1"/>
    <col min="7" max="7" width="10.21875" style="23" customWidth="1"/>
    <col min="8" max="8" width="8.88671875" style="23"/>
    <col min="9" max="9" width="6" style="23" customWidth="1"/>
    <col min="10" max="10" width="10" style="23" customWidth="1"/>
    <col min="11" max="16384" width="8.88671875" style="23"/>
  </cols>
  <sheetData>
    <row r="1" spans="2:10" x14ac:dyDescent="0.2">
      <c r="B1" s="57">
        <f>(inputPrYr!C3)</f>
        <v>0</v>
      </c>
      <c r="C1" s="26"/>
      <c r="D1" s="26"/>
      <c r="E1" s="125">
        <f>inputPrYr!C5</f>
        <v>2025</v>
      </c>
    </row>
    <row r="2" spans="2:10" x14ac:dyDescent="0.2">
      <c r="B2" s="26"/>
      <c r="C2" s="26"/>
      <c r="D2" s="26"/>
      <c r="E2" s="90"/>
    </row>
    <row r="3" spans="2:10" x14ac:dyDescent="0.2">
      <c r="B3" s="64" t="s">
        <v>185</v>
      </c>
      <c r="C3" s="161"/>
      <c r="D3" s="161"/>
      <c r="E3" s="162"/>
    </row>
    <row r="4" spans="2:10" x14ac:dyDescent="0.2">
      <c r="B4" s="25" t="s">
        <v>80</v>
      </c>
      <c r="C4" s="339" t="s">
        <v>319</v>
      </c>
      <c r="D4" s="340" t="s">
        <v>320</v>
      </c>
      <c r="E4" s="80" t="s">
        <v>321</v>
      </c>
    </row>
    <row r="5" spans="2:10" x14ac:dyDescent="0.2">
      <c r="B5" s="248">
        <f>inputPrYr!B22</f>
        <v>0</v>
      </c>
      <c r="C5" s="231" t="str">
        <f>CONCATENATE("Actual for ",E1-2,"")</f>
        <v>Actual for 2023</v>
      </c>
      <c r="D5" s="231" t="str">
        <f>CONCATENATE("Estimate for ",E1-1,"")</f>
        <v>Estimate for 2024</v>
      </c>
      <c r="E5" s="136" t="str">
        <f>CONCATENATE("Year for ",E1,"")</f>
        <v>Year for 2025</v>
      </c>
    </row>
    <row r="6" spans="2:10" x14ac:dyDescent="0.2">
      <c r="B6" s="60" t="s">
        <v>195</v>
      </c>
      <c r="C6" s="229"/>
      <c r="D6" s="232">
        <f>C36</f>
        <v>0</v>
      </c>
      <c r="E6" s="106">
        <f>D36</f>
        <v>0</v>
      </c>
    </row>
    <row r="7" spans="2:10" x14ac:dyDescent="0.2">
      <c r="B7" s="128" t="s">
        <v>197</v>
      </c>
      <c r="C7" s="139"/>
      <c r="D7" s="139"/>
      <c r="E7" s="50"/>
    </row>
    <row r="8" spans="2:10" x14ac:dyDescent="0.2">
      <c r="B8" s="60" t="s">
        <v>81</v>
      </c>
      <c r="C8" s="229"/>
      <c r="D8" s="232">
        <f>IF(inputPrYr!H22&gt;0,inputPrYr!H22,inputPrYr!E22)</f>
        <v>0</v>
      </c>
      <c r="E8" s="165" t="s">
        <v>66</v>
      </c>
    </row>
    <row r="9" spans="2:10" x14ac:dyDescent="0.2">
      <c r="B9" s="60" t="s">
        <v>82</v>
      </c>
      <c r="C9" s="229"/>
      <c r="D9" s="229"/>
      <c r="E9" s="42"/>
    </row>
    <row r="10" spans="2:10" x14ac:dyDescent="0.2">
      <c r="B10" s="60" t="s">
        <v>83</v>
      </c>
      <c r="C10" s="229"/>
      <c r="D10" s="229"/>
      <c r="E10" s="106" t="str">
        <f>Mvalloc!D12</f>
        <v xml:space="preserve">  </v>
      </c>
      <c r="G10" s="646" t="str">
        <f>CONCATENATE("Desired Carryover Into ",E1+1,"")</f>
        <v>Desired Carryover Into 2026</v>
      </c>
      <c r="H10" s="647"/>
      <c r="I10" s="647"/>
      <c r="J10" s="648"/>
    </row>
    <row r="11" spans="2:10" x14ac:dyDescent="0.2">
      <c r="B11" s="60" t="s">
        <v>84</v>
      </c>
      <c r="C11" s="229"/>
      <c r="D11" s="229"/>
      <c r="E11" s="106" t="str">
        <f>Mvalloc!E12</f>
        <v xml:space="preserve">  </v>
      </c>
      <c r="G11" s="298"/>
      <c r="H11" s="299"/>
      <c r="I11" s="300"/>
      <c r="J11" s="301"/>
    </row>
    <row r="12" spans="2:10" x14ac:dyDescent="0.2">
      <c r="B12" s="139" t="s">
        <v>176</v>
      </c>
      <c r="C12" s="229"/>
      <c r="D12" s="229"/>
      <c r="E12" s="106" t="str">
        <f>Mvalloc!F12</f>
        <v xml:space="preserve">  </v>
      </c>
      <c r="G12" s="302" t="s">
        <v>297</v>
      </c>
      <c r="H12" s="300"/>
      <c r="I12" s="300"/>
      <c r="J12" s="303">
        <v>0</v>
      </c>
    </row>
    <row r="13" spans="2:10" x14ac:dyDescent="0.2">
      <c r="B13" s="137" t="s">
        <v>348</v>
      </c>
      <c r="C13" s="229"/>
      <c r="D13" s="229"/>
      <c r="E13" s="106" t="str">
        <f>Mvalloc!G12</f>
        <v xml:space="preserve">  </v>
      </c>
      <c r="G13" s="298" t="s">
        <v>298</v>
      </c>
      <c r="H13" s="299"/>
      <c r="I13" s="299"/>
      <c r="J13" s="304" t="str">
        <f>IF(J12=0,"",ROUND((J12+E42-G25)/inputOth!E6*1000,3)-G30)</f>
        <v/>
      </c>
    </row>
    <row r="14" spans="2:10" x14ac:dyDescent="0.2">
      <c r="B14" s="137" t="s">
        <v>349</v>
      </c>
      <c r="C14" s="229"/>
      <c r="D14" s="229"/>
      <c r="E14" s="106" t="str">
        <f>Mvalloc!H12</f>
        <v xml:space="preserve">  </v>
      </c>
      <c r="G14" s="305" t="str">
        <f>CONCATENATE("",E1," Tot Exp/Non-Appr Must Be:")</f>
        <v>2025 Tot Exp/Non-Appr Must Be:</v>
      </c>
      <c r="H14" s="306"/>
      <c r="I14" s="307"/>
      <c r="J14" s="308">
        <f>IF(J12&gt;0,IF(E39&lt;E24,IF(J12=G25,E39,((J12-G25)*(1-D41))+E24),E39+(J12-G25)),0)</f>
        <v>0</v>
      </c>
    </row>
    <row r="15" spans="2:10" x14ac:dyDescent="0.2">
      <c r="B15" s="150"/>
      <c r="C15" s="229"/>
      <c r="D15" s="229"/>
      <c r="E15" s="42"/>
      <c r="G15" s="309" t="s">
        <v>318</v>
      </c>
      <c r="H15" s="310"/>
      <c r="I15" s="310"/>
      <c r="J15" s="311">
        <f>IF(J12&gt;0,J14-E39,0)</f>
        <v>0</v>
      </c>
    </row>
    <row r="16" spans="2:10" x14ac:dyDescent="0.25">
      <c r="B16" s="150"/>
      <c r="C16" s="229"/>
      <c r="D16" s="229"/>
      <c r="E16" s="42"/>
      <c r="G16" s="1"/>
      <c r="H16" s="1"/>
      <c r="I16" s="1"/>
      <c r="J16" s="1"/>
    </row>
    <row r="17" spans="2:11" x14ac:dyDescent="0.2">
      <c r="B17" s="150"/>
      <c r="C17" s="229"/>
      <c r="D17" s="229"/>
      <c r="E17" s="42"/>
      <c r="G17" s="646" t="str">
        <f>CONCATENATE("Projected Carryover Into ",E1+1,"")</f>
        <v>Projected Carryover Into 2026</v>
      </c>
      <c r="H17" s="666"/>
      <c r="I17" s="666"/>
      <c r="J17" s="667"/>
    </row>
    <row r="18" spans="2:11" x14ac:dyDescent="0.2">
      <c r="B18" s="150"/>
      <c r="C18" s="229"/>
      <c r="D18" s="229"/>
      <c r="E18" s="42"/>
      <c r="G18" s="298"/>
      <c r="H18" s="300"/>
      <c r="I18" s="300"/>
      <c r="J18" s="317"/>
    </row>
    <row r="19" spans="2:11" x14ac:dyDescent="0.2">
      <c r="B19" s="142" t="s">
        <v>88</v>
      </c>
      <c r="C19" s="229"/>
      <c r="D19" s="229"/>
      <c r="E19" s="42"/>
      <c r="G19" s="318">
        <f>D36</f>
        <v>0</v>
      </c>
      <c r="H19" s="316" t="str">
        <f>CONCATENATE("",E1-1," Ending Cash Balance (est.)")</f>
        <v>2024 Ending Cash Balance (est.)</v>
      </c>
      <c r="I19" s="319"/>
      <c r="J19" s="317"/>
    </row>
    <row r="20" spans="2:11" x14ac:dyDescent="0.2">
      <c r="B20" s="143" t="s">
        <v>40</v>
      </c>
      <c r="C20" s="229"/>
      <c r="D20" s="229"/>
      <c r="E20" s="106">
        <f>'NR Rebate'!E11*-1</f>
        <v>0</v>
      </c>
      <c r="G20" s="318">
        <f>E23</f>
        <v>0</v>
      </c>
      <c r="H20" s="300" t="str">
        <f>CONCATENATE("",E1," Non-AV Receipts (est.)")</f>
        <v>2025 Non-AV Receipts (est.)</v>
      </c>
      <c r="I20" s="319"/>
      <c r="J20" s="317"/>
    </row>
    <row r="21" spans="2:11" x14ac:dyDescent="0.2">
      <c r="B21" s="143" t="s">
        <v>38</v>
      </c>
      <c r="C21" s="229"/>
      <c r="D21" s="229"/>
      <c r="E21" s="42"/>
      <c r="G21" s="320">
        <f>IF(E41&gt;0,E40,E42)</f>
        <v>0</v>
      </c>
      <c r="H21" s="300" t="str">
        <f>CONCATENATE("",E1," Ad Valorem Tax (est.)")</f>
        <v>2025 Ad Valorem Tax (est.)</v>
      </c>
      <c r="I21" s="319"/>
      <c r="J21" s="317"/>
      <c r="K21" s="314" t="str">
        <f>IF(G21=E42,"","Note: Does not include Delinquent Taxes")</f>
        <v/>
      </c>
    </row>
    <row r="22" spans="2:11" x14ac:dyDescent="0.2">
      <c r="B22" s="143" t="s">
        <v>291</v>
      </c>
      <c r="C22" s="230" t="str">
        <f>IF(C23*0.1&lt;C21,"Exceed 10% Rule","")</f>
        <v/>
      </c>
      <c r="D22" s="230" t="str">
        <f>IF(D23*0.1&lt;D21,"Exceed 10% Rule","")</f>
        <v/>
      </c>
      <c r="E22" s="170" t="str">
        <f>IF(E23*0.1+E42&lt;E21,"Exceed 10% Rule","")</f>
        <v/>
      </c>
      <c r="G22" s="318">
        <f>SUM(G19:G21)</f>
        <v>0</v>
      </c>
      <c r="H22" s="300" t="str">
        <f>CONCATENATE("Total ",E1," Resources Available")</f>
        <v>Total 2025 Resources Available</v>
      </c>
      <c r="I22" s="319"/>
      <c r="J22" s="317"/>
    </row>
    <row r="23" spans="2:11" x14ac:dyDescent="0.2">
      <c r="B23" s="145" t="s">
        <v>89</v>
      </c>
      <c r="C23" s="463">
        <f>SUM(C8:C21)</f>
        <v>0</v>
      </c>
      <c r="D23" s="463">
        <f>SUM(D8:D21)</f>
        <v>0</v>
      </c>
      <c r="E23" s="463">
        <f>SUM(E8:E21)</f>
        <v>0</v>
      </c>
      <c r="G23" s="321"/>
      <c r="H23" s="300"/>
      <c r="I23" s="300"/>
      <c r="J23" s="317"/>
    </row>
    <row r="24" spans="2:11" x14ac:dyDescent="0.25">
      <c r="B24" s="145" t="s">
        <v>90</v>
      </c>
      <c r="C24" s="463">
        <f>C6+C23</f>
        <v>0</v>
      </c>
      <c r="D24" s="463">
        <f>D6+D23</f>
        <v>0</v>
      </c>
      <c r="E24" s="463">
        <f>E6+E23</f>
        <v>0</v>
      </c>
      <c r="G24" s="320">
        <f>ROUND(C35*0.05+C35,0)</f>
        <v>0</v>
      </c>
      <c r="H24" s="300" t="str">
        <f>CONCATENATE("Less ",E1-2," Expenditures + 5%")</f>
        <v>Less 2023 Expenditures + 5%</v>
      </c>
      <c r="I24" s="319"/>
      <c r="J24" s="322"/>
    </row>
    <row r="25" spans="2:11" ht="15.75" customHeight="1" x14ac:dyDescent="0.2">
      <c r="B25" s="60" t="s">
        <v>93</v>
      </c>
      <c r="C25" s="143"/>
      <c r="D25" s="143"/>
      <c r="E25" s="38"/>
      <c r="G25" s="323">
        <f>G22-G24</f>
        <v>0</v>
      </c>
      <c r="H25" s="324" t="str">
        <f>CONCATENATE("Projected ",E1+1," carryover (est.)")</f>
        <v>Projected 2026 carryover (est.)</v>
      </c>
      <c r="I25" s="325"/>
      <c r="J25" s="326"/>
    </row>
    <row r="26" spans="2:11" x14ac:dyDescent="0.25">
      <c r="B26" s="150"/>
      <c r="C26" s="229"/>
      <c r="D26" s="229"/>
      <c r="E26" s="42"/>
      <c r="G26" s="1"/>
      <c r="H26" s="1"/>
      <c r="I26" s="1"/>
      <c r="J26" s="1"/>
    </row>
    <row r="27" spans="2:11" x14ac:dyDescent="0.2">
      <c r="B27" s="150"/>
      <c r="C27" s="229"/>
      <c r="D27" s="229"/>
      <c r="E27" s="42"/>
      <c r="G27" s="649" t="s">
        <v>558</v>
      </c>
      <c r="H27" s="650"/>
      <c r="I27" s="650"/>
      <c r="J27" s="651"/>
    </row>
    <row r="28" spans="2:11" x14ac:dyDescent="0.2">
      <c r="B28" s="150"/>
      <c r="C28" s="229"/>
      <c r="D28" s="229"/>
      <c r="E28" s="42"/>
      <c r="G28" s="652"/>
      <c r="H28" s="653"/>
      <c r="I28" s="653"/>
      <c r="J28" s="654"/>
    </row>
    <row r="29" spans="2:11" x14ac:dyDescent="0.2">
      <c r="B29" s="150"/>
      <c r="C29" s="229"/>
      <c r="D29" s="229"/>
      <c r="E29" s="42"/>
      <c r="G29" s="509" t="str">
        <f>'Budget Hearing Notice'!H21</f>
        <v xml:space="preserve">  </v>
      </c>
      <c r="H29" s="316" t="str">
        <f>CONCATENATE("",E1," Estimated Fund Mill Rate")</f>
        <v>2025 Estimated Fund Mill Rate</v>
      </c>
      <c r="I29" s="510"/>
      <c r="J29" s="511"/>
    </row>
    <row r="30" spans="2:11" x14ac:dyDescent="0.2">
      <c r="B30" s="150"/>
      <c r="C30" s="229"/>
      <c r="D30" s="229"/>
      <c r="E30" s="42"/>
      <c r="G30" s="512" t="str">
        <f>'Budget Hearing Notice'!E21</f>
        <v xml:space="preserve">  </v>
      </c>
      <c r="H30" s="316" t="str">
        <f>CONCATENATE("",E1-1," Fund Mill Rate")</f>
        <v>2024 Fund Mill Rate</v>
      </c>
      <c r="I30" s="510"/>
      <c r="J30" s="511"/>
    </row>
    <row r="31" spans="2:11" x14ac:dyDescent="0.2">
      <c r="B31" s="150"/>
      <c r="C31" s="229"/>
      <c r="D31" s="229"/>
      <c r="E31" s="42"/>
      <c r="G31" s="513">
        <f>'Budget Hearing Notice'!H62</f>
        <v>0</v>
      </c>
      <c r="H31" s="514" t="s">
        <v>559</v>
      </c>
      <c r="I31" s="510"/>
      <c r="J31" s="511"/>
    </row>
    <row r="32" spans="2:11" x14ac:dyDescent="0.2">
      <c r="B32" s="143" t="str">
        <f>CONCATENATE("Cash Reserve (",E1," column)")</f>
        <v>Cash Reserve (2025 column)</v>
      </c>
      <c r="C32" s="229"/>
      <c r="D32" s="229"/>
      <c r="E32" s="42"/>
      <c r="G32" s="509">
        <f>'Budget Hearing Notice'!H61</f>
        <v>0</v>
      </c>
      <c r="H32" s="316" t="str">
        <f>CONCATENATE(E1," Estimated Total Mill Rate")</f>
        <v>2025 Estimated Total Mill Rate</v>
      </c>
      <c r="I32" s="510"/>
      <c r="J32" s="511"/>
    </row>
    <row r="33" spans="2:10" ht="15.75" customHeight="1" x14ac:dyDescent="0.2">
      <c r="B33" s="143" t="s">
        <v>38</v>
      </c>
      <c r="C33" s="229"/>
      <c r="D33" s="229"/>
      <c r="E33" s="42"/>
      <c r="G33" s="515">
        <f>'Budget Hearing Notice'!E61</f>
        <v>0</v>
      </c>
      <c r="H33" s="316" t="str">
        <f>CONCATENATE(E1-1," Total Mill Rate")</f>
        <v>2024 Total Mill Rate</v>
      </c>
      <c r="I33" s="510"/>
      <c r="J33" s="511"/>
    </row>
    <row r="34" spans="2:10" ht="15.75" customHeight="1" x14ac:dyDescent="0.2">
      <c r="B34" s="143" t="s">
        <v>290</v>
      </c>
      <c r="C34" s="230" t="str">
        <f>IF(C35*0.1&lt;C33,"Exceed 10% Rule","")</f>
        <v/>
      </c>
      <c r="D34" s="230" t="str">
        <f>IF(D35*0.1&lt;D33,"Exceed 10% Rule","")</f>
        <v/>
      </c>
      <c r="E34" s="170" t="str">
        <f>IF(E35*0.1&lt;E33,"Exceed 10% Rule","")</f>
        <v/>
      </c>
      <c r="G34" s="327"/>
      <c r="H34" s="299"/>
      <c r="I34" s="299"/>
      <c r="J34" s="329"/>
    </row>
    <row r="35" spans="2:10" x14ac:dyDescent="0.2">
      <c r="B35" s="145" t="s">
        <v>94</v>
      </c>
      <c r="C35" s="463">
        <f>SUM(C26:C33)</f>
        <v>0</v>
      </c>
      <c r="D35" s="463">
        <f>SUM(D26:D33)</f>
        <v>0</v>
      </c>
      <c r="E35" s="463">
        <f>SUM(E26:E33)</f>
        <v>0</v>
      </c>
      <c r="G35" s="655" t="s">
        <v>560</v>
      </c>
      <c r="H35" s="656"/>
      <c r="I35" s="656"/>
      <c r="J35" s="659" t="str">
        <f>IF(G32&gt;G31, "Yes", "No")</f>
        <v>No</v>
      </c>
    </row>
    <row r="36" spans="2:10" x14ac:dyDescent="0.2">
      <c r="B36" s="60" t="s">
        <v>196</v>
      </c>
      <c r="C36" s="106">
        <f>C24-C35</f>
        <v>0</v>
      </c>
      <c r="D36" s="106">
        <f>D24-D35</f>
        <v>0</v>
      </c>
      <c r="E36" s="165" t="s">
        <v>66</v>
      </c>
      <c r="G36" s="657"/>
      <c r="H36" s="658"/>
      <c r="I36" s="658"/>
      <c r="J36" s="660"/>
    </row>
    <row r="37" spans="2:10" x14ac:dyDescent="0.2">
      <c r="B37" s="135" t="str">
        <f>CONCATENATE("",E1-2,"/",E1-1,"/",E1," Budget Authority Amount:")</f>
        <v>2023/2024/2025 Budget Authority Amount:</v>
      </c>
      <c r="C37" s="167">
        <f>inputOth!B38</f>
        <v>0</v>
      </c>
      <c r="D37" s="167">
        <f>inputPrYr!D22</f>
        <v>0</v>
      </c>
      <c r="E37" s="106">
        <f>E35</f>
        <v>0</v>
      </c>
      <c r="F37" s="151"/>
      <c r="G37" s="661" t="str">
        <f>IF(J35="Yes", "Follow procedure prescribed by KSA 79-2988 to exceed the Revenue Neutral Rate.", " ")</f>
        <v xml:space="preserve"> </v>
      </c>
      <c r="H37" s="661"/>
      <c r="I37" s="661"/>
      <c r="J37" s="661"/>
    </row>
    <row r="38" spans="2:10" x14ac:dyDescent="0.2">
      <c r="B38" s="125"/>
      <c r="C38" s="636" t="s">
        <v>294</v>
      </c>
      <c r="D38" s="637"/>
      <c r="E38" s="131"/>
      <c r="F38" s="238" t="str">
        <f>IF(E35/0.95-E35&lt;E38,"Exceeds 5%","")</f>
        <v/>
      </c>
      <c r="G38" s="662"/>
      <c r="H38" s="662"/>
      <c r="I38" s="662"/>
      <c r="J38" s="662"/>
    </row>
    <row r="39" spans="2:10" x14ac:dyDescent="0.2">
      <c r="B39" s="266" t="str">
        <f>CONCATENATE(C99,"     ",D99)</f>
        <v xml:space="preserve">     </v>
      </c>
      <c r="C39" s="638" t="s">
        <v>295</v>
      </c>
      <c r="D39" s="639"/>
      <c r="E39" s="106">
        <f>E35+E38</f>
        <v>0</v>
      </c>
      <c r="G39" s="662"/>
      <c r="H39" s="662"/>
      <c r="I39" s="662"/>
      <c r="J39" s="662"/>
    </row>
    <row r="40" spans="2:10" x14ac:dyDescent="0.25">
      <c r="B40" s="266" t="str">
        <f>CONCATENATE(C100,"     ",D100)</f>
        <v xml:space="preserve">     </v>
      </c>
      <c r="C40" s="152"/>
      <c r="D40" s="90" t="s">
        <v>95</v>
      </c>
      <c r="E40" s="106">
        <f>IF(E39-E24&gt;0,E39-E24,0)</f>
        <v>0</v>
      </c>
      <c r="G40" s="1"/>
      <c r="H40" s="1"/>
      <c r="I40" s="1"/>
      <c r="J40" s="1"/>
    </row>
    <row r="41" spans="2:10" x14ac:dyDescent="0.25">
      <c r="B41" s="90"/>
      <c r="C41" s="265" t="s">
        <v>296</v>
      </c>
      <c r="D41" s="297">
        <f>inputOth!$E$26</f>
        <v>0</v>
      </c>
      <c r="E41" s="106">
        <f>ROUND(IF(D41&gt;0,($E$40*D41),0),0)</f>
        <v>0</v>
      </c>
      <c r="G41" s="1"/>
      <c r="H41" s="1"/>
      <c r="I41" s="1"/>
      <c r="J41" s="1"/>
    </row>
    <row r="42" spans="2:10" x14ac:dyDescent="0.25">
      <c r="B42" s="26"/>
      <c r="C42" s="644" t="str">
        <f>CONCATENATE("Amount of  ",$E$1-1," Ad Valorem Tax")</f>
        <v>Amount of  2024 Ad Valorem Tax</v>
      </c>
      <c r="D42" s="663"/>
      <c r="E42" s="106">
        <f>E40+E41</f>
        <v>0</v>
      </c>
      <c r="G42" s="1"/>
      <c r="H42" s="1"/>
      <c r="I42" s="1"/>
      <c r="J42" s="1"/>
    </row>
    <row r="43" spans="2:10" x14ac:dyDescent="0.25">
      <c r="B43" s="25" t="s">
        <v>80</v>
      </c>
      <c r="C43" s="155"/>
      <c r="D43" s="155"/>
      <c r="E43" s="155"/>
      <c r="G43" s="1"/>
      <c r="H43" s="1"/>
      <c r="I43" s="1"/>
      <c r="J43" s="1"/>
    </row>
    <row r="44" spans="2:10" x14ac:dyDescent="0.25">
      <c r="B44" s="26"/>
      <c r="C44" s="339" t="str">
        <f t="shared" ref="C44:E45" si="0">C4</f>
        <v xml:space="preserve">Prior Year </v>
      </c>
      <c r="D44" s="340" t="str">
        <f t="shared" si="0"/>
        <v xml:space="preserve">Current Year </v>
      </c>
      <c r="E44" s="80" t="str">
        <f t="shared" si="0"/>
        <v xml:space="preserve">Proposed Budget </v>
      </c>
      <c r="G44" s="1"/>
      <c r="H44" s="1"/>
      <c r="I44" s="1"/>
      <c r="J44" s="1"/>
    </row>
    <row r="45" spans="2:10" x14ac:dyDescent="0.25">
      <c r="B45" s="247">
        <f>inputPrYr!B23</f>
        <v>0</v>
      </c>
      <c r="C45" s="231" t="str">
        <f t="shared" si="0"/>
        <v>Actual for 2023</v>
      </c>
      <c r="D45" s="231" t="str">
        <f t="shared" si="0"/>
        <v>Estimate for 2024</v>
      </c>
      <c r="E45" s="136" t="str">
        <f t="shared" si="0"/>
        <v>Year for 2025</v>
      </c>
      <c r="G45" s="1"/>
      <c r="H45" s="1"/>
      <c r="I45" s="1"/>
      <c r="J45" s="1"/>
    </row>
    <row r="46" spans="2:10" x14ac:dyDescent="0.25">
      <c r="B46" s="60" t="s">
        <v>195</v>
      </c>
      <c r="C46" s="229"/>
      <c r="D46" s="232">
        <f>C77</f>
        <v>0</v>
      </c>
      <c r="E46" s="106">
        <f>D77</f>
        <v>0</v>
      </c>
      <c r="G46" s="1"/>
      <c r="H46" s="1"/>
      <c r="I46" s="1"/>
      <c r="J46" s="1"/>
    </row>
    <row r="47" spans="2:10" x14ac:dyDescent="0.25">
      <c r="B47" s="137" t="s">
        <v>197</v>
      </c>
      <c r="C47" s="139"/>
      <c r="D47" s="139"/>
      <c r="E47" s="50"/>
      <c r="G47" s="1"/>
      <c r="H47" s="1"/>
      <c r="I47" s="1"/>
      <c r="J47" s="1"/>
    </row>
    <row r="48" spans="2:10" x14ac:dyDescent="0.25">
      <c r="B48" s="60" t="s">
        <v>81</v>
      </c>
      <c r="C48" s="229"/>
      <c r="D48" s="232">
        <f>IF(inputPrYr!H23&gt;0,inputPrYr!H23,inputPrYr!E23)</f>
        <v>0</v>
      </c>
      <c r="E48" s="165" t="s">
        <v>66</v>
      </c>
      <c r="G48" s="1"/>
      <c r="H48" s="1"/>
      <c r="I48" s="1"/>
      <c r="J48" s="1"/>
    </row>
    <row r="49" spans="2:11" x14ac:dyDescent="0.25">
      <c r="B49" s="60" t="s">
        <v>82</v>
      </c>
      <c r="C49" s="229"/>
      <c r="D49" s="229"/>
      <c r="E49" s="42"/>
      <c r="G49" s="1"/>
      <c r="H49" s="1"/>
      <c r="I49" s="1"/>
      <c r="J49" s="1"/>
    </row>
    <row r="50" spans="2:11" x14ac:dyDescent="0.25">
      <c r="B50" s="60" t="s">
        <v>83</v>
      </c>
      <c r="C50" s="229"/>
      <c r="D50" s="229"/>
      <c r="E50" s="106" t="str">
        <f>Mvalloc!D13</f>
        <v xml:space="preserve">  </v>
      </c>
      <c r="G50" s="1"/>
      <c r="H50" s="1"/>
      <c r="I50" s="1"/>
      <c r="J50" s="1"/>
    </row>
    <row r="51" spans="2:11" x14ac:dyDescent="0.25">
      <c r="B51" s="60" t="s">
        <v>84</v>
      </c>
      <c r="C51" s="229"/>
      <c r="D51" s="229"/>
      <c r="E51" s="106" t="str">
        <f>Mvalloc!E13</f>
        <v xml:space="preserve">  </v>
      </c>
      <c r="G51" s="1"/>
      <c r="H51" s="1"/>
      <c r="I51" s="1"/>
      <c r="J51" s="1"/>
    </row>
    <row r="52" spans="2:11" x14ac:dyDescent="0.2">
      <c r="B52" s="139" t="s">
        <v>176</v>
      </c>
      <c r="C52" s="229"/>
      <c r="D52" s="229"/>
      <c r="E52" s="106" t="str">
        <f>Mvalloc!F13</f>
        <v xml:space="preserve">  </v>
      </c>
      <c r="G52" s="646" t="str">
        <f>CONCATENATE("Desired Carryover Into ",E1+1,"")</f>
        <v>Desired Carryover Into 2026</v>
      </c>
      <c r="H52" s="647"/>
      <c r="I52" s="647"/>
      <c r="J52" s="648"/>
    </row>
    <row r="53" spans="2:11" x14ac:dyDescent="0.2">
      <c r="B53" s="137" t="s">
        <v>348</v>
      </c>
      <c r="C53" s="229"/>
      <c r="D53" s="229"/>
      <c r="E53" s="106" t="str">
        <f>Mvalloc!G13</f>
        <v xml:space="preserve">  </v>
      </c>
      <c r="G53" s="298"/>
      <c r="H53" s="299"/>
      <c r="I53" s="300"/>
      <c r="J53" s="301"/>
    </row>
    <row r="54" spans="2:11" x14ac:dyDescent="0.2">
      <c r="B54" s="137" t="s">
        <v>349</v>
      </c>
      <c r="C54" s="229"/>
      <c r="D54" s="229"/>
      <c r="E54" s="106" t="str">
        <f>Mvalloc!H13</f>
        <v xml:space="preserve">  </v>
      </c>
      <c r="G54" s="302" t="s">
        <v>297</v>
      </c>
      <c r="H54" s="300"/>
      <c r="I54" s="300"/>
      <c r="J54" s="303">
        <v>0</v>
      </c>
    </row>
    <row r="55" spans="2:11" x14ac:dyDescent="0.2">
      <c r="B55" s="150"/>
      <c r="C55" s="229"/>
      <c r="D55" s="229"/>
      <c r="E55" s="42"/>
      <c r="G55" s="298" t="s">
        <v>298</v>
      </c>
      <c r="H55" s="299"/>
      <c r="I55" s="299"/>
      <c r="J55" s="304" t="str">
        <f>IF(J54=0,"",ROUND((J54+E83-G67)/inputOth!E6*1000,3)-G72)</f>
        <v/>
      </c>
    </row>
    <row r="56" spans="2:11" x14ac:dyDescent="0.2">
      <c r="B56" s="150"/>
      <c r="C56" s="229"/>
      <c r="D56" s="229"/>
      <c r="E56" s="42"/>
      <c r="G56" s="305" t="str">
        <f>CONCATENATE("",E1," Tot Exp/Non-Appr Must Be:")</f>
        <v>2025 Tot Exp/Non-Appr Must Be:</v>
      </c>
      <c r="H56" s="306"/>
      <c r="I56" s="307"/>
      <c r="J56" s="308">
        <f>IF(J54&gt;0,IF(E80&lt;E65,IF(J54=G67,E80,((J54-G67)*(1-D82))+E65),E80+(J54-G67)),0)</f>
        <v>0</v>
      </c>
    </row>
    <row r="57" spans="2:11" x14ac:dyDescent="0.2">
      <c r="B57" s="150"/>
      <c r="C57" s="229"/>
      <c r="D57" s="229"/>
      <c r="E57" s="42"/>
      <c r="G57" s="309" t="s">
        <v>318</v>
      </c>
      <c r="H57" s="310"/>
      <c r="I57" s="310"/>
      <c r="J57" s="311">
        <f>IF(J54&gt;0,J56-E80,0)</f>
        <v>0</v>
      </c>
    </row>
    <row r="58" spans="2:11" x14ac:dyDescent="0.25">
      <c r="B58" s="150"/>
      <c r="C58" s="229"/>
      <c r="D58" s="229"/>
      <c r="E58" s="42"/>
      <c r="G58" s="1"/>
      <c r="H58" s="1"/>
      <c r="I58" s="1"/>
      <c r="J58" s="1"/>
    </row>
    <row r="59" spans="2:11" x14ac:dyDescent="0.2">
      <c r="B59" s="150"/>
      <c r="C59" s="229"/>
      <c r="D59" s="229"/>
      <c r="E59" s="42"/>
      <c r="G59" s="646" t="str">
        <f>CONCATENATE("Projected Carryover Into ",E1+1,"")</f>
        <v>Projected Carryover Into 2026</v>
      </c>
      <c r="H59" s="668"/>
      <c r="I59" s="668"/>
      <c r="J59" s="667"/>
    </row>
    <row r="60" spans="2:11" x14ac:dyDescent="0.25">
      <c r="B60" s="142" t="s">
        <v>88</v>
      </c>
      <c r="C60" s="229"/>
      <c r="D60" s="229"/>
      <c r="E60" s="42"/>
      <c r="G60" s="327"/>
      <c r="H60" s="299"/>
      <c r="I60" s="299"/>
      <c r="J60" s="322"/>
    </row>
    <row r="61" spans="2:11" x14ac:dyDescent="0.25">
      <c r="B61" s="143" t="s">
        <v>40</v>
      </c>
      <c r="C61" s="229"/>
      <c r="D61" s="229"/>
      <c r="E61" s="106">
        <f>'NR Rebate'!E12*-1</f>
        <v>0</v>
      </c>
      <c r="G61" s="318">
        <f>D77</f>
        <v>0</v>
      </c>
      <c r="H61" s="316" t="str">
        <f>CONCATENATE("",E1-1," Ending Cash Balance (est.)")</f>
        <v>2024 Ending Cash Balance (est.)</v>
      </c>
      <c r="I61" s="319"/>
      <c r="J61" s="322"/>
    </row>
    <row r="62" spans="2:11" x14ac:dyDescent="0.25">
      <c r="B62" s="143" t="s">
        <v>38</v>
      </c>
      <c r="C62" s="229"/>
      <c r="D62" s="229"/>
      <c r="E62" s="42"/>
      <c r="G62" s="318">
        <f>E64</f>
        <v>0</v>
      </c>
      <c r="H62" s="300" t="str">
        <f>CONCATENATE("",E1," Non-AV Receipts (est.)")</f>
        <v>2025 Non-AV Receipts (est.)</v>
      </c>
      <c r="I62" s="319"/>
      <c r="J62" s="322"/>
    </row>
    <row r="63" spans="2:11" x14ac:dyDescent="0.25">
      <c r="B63" s="143" t="s">
        <v>291</v>
      </c>
      <c r="C63" s="230" t="str">
        <f>IF(C64*0.1&lt;C62,"Exceed 10% Rule","")</f>
        <v/>
      </c>
      <c r="D63" s="230" t="str">
        <f>IF(D64*0.1&lt;D62,"Exceed 10% Rule","")</f>
        <v/>
      </c>
      <c r="E63" s="170" t="str">
        <f>IF(E64*0.1+E83&lt;E62,"Exceed 10% Rule","")</f>
        <v/>
      </c>
      <c r="G63" s="320">
        <f>IF(E82&gt;0,E81,E83)</f>
        <v>0</v>
      </c>
      <c r="H63" s="300" t="str">
        <f>CONCATENATE("",E1," Ad Valorem Tax (est.)")</f>
        <v>2025 Ad Valorem Tax (est.)</v>
      </c>
      <c r="I63" s="319"/>
      <c r="J63" s="322"/>
      <c r="K63" s="314" t="str">
        <f>IF(G63=E83,"","Note: Does not include Delinquent Taxes")</f>
        <v/>
      </c>
    </row>
    <row r="64" spans="2:11" x14ac:dyDescent="0.25">
      <c r="B64" s="145" t="s">
        <v>89</v>
      </c>
      <c r="C64" s="463">
        <f>SUM(C48:C62)</f>
        <v>0</v>
      </c>
      <c r="D64" s="463">
        <f>SUM(D48:D62)</f>
        <v>0</v>
      </c>
      <c r="E64" s="463">
        <f>SUM(E49:E62)</f>
        <v>0</v>
      </c>
      <c r="G64" s="328">
        <f>SUM(G61:G63)</f>
        <v>0</v>
      </c>
      <c r="H64" s="300" t="str">
        <f>CONCATENATE("Total ",E1," Resources Available")</f>
        <v>Total 2025 Resources Available</v>
      </c>
      <c r="I64" s="329"/>
      <c r="J64" s="322"/>
    </row>
    <row r="65" spans="2:10" x14ac:dyDescent="0.25">
      <c r="B65" s="145" t="s">
        <v>90</v>
      </c>
      <c r="C65" s="463">
        <f>C46+C64</f>
        <v>0</v>
      </c>
      <c r="D65" s="463">
        <f>D46+D64</f>
        <v>0</v>
      </c>
      <c r="E65" s="463">
        <f>E46+E64</f>
        <v>0</v>
      </c>
      <c r="G65" s="330"/>
      <c r="H65" s="331"/>
      <c r="I65" s="299"/>
      <c r="J65" s="322"/>
    </row>
    <row r="66" spans="2:10" x14ac:dyDescent="0.25">
      <c r="B66" s="60" t="s">
        <v>93</v>
      </c>
      <c r="C66" s="143"/>
      <c r="D66" s="143"/>
      <c r="E66" s="38"/>
      <c r="G66" s="332">
        <f>ROUND(C76*0.05+C76,0)</f>
        <v>0</v>
      </c>
      <c r="H66" s="300" t="str">
        <f>CONCATENATE("Less ",E1-2," Expenditures + 5%")</f>
        <v>Less 2023 Expenditures + 5%</v>
      </c>
      <c r="I66" s="329"/>
      <c r="J66" s="322"/>
    </row>
    <row r="67" spans="2:10" x14ac:dyDescent="0.25">
      <c r="B67" s="150"/>
      <c r="C67" s="229"/>
      <c r="D67" s="229"/>
      <c r="E67" s="42"/>
      <c r="G67" s="333">
        <f>G64-G66</f>
        <v>0</v>
      </c>
      <c r="H67" s="324" t="str">
        <f>CONCATENATE("Projected ",E1+1," carryover (est.)")</f>
        <v>Projected 2026 carryover (est.)</v>
      </c>
      <c r="I67" s="334"/>
      <c r="J67" s="335"/>
    </row>
    <row r="68" spans="2:10" x14ac:dyDescent="0.25">
      <c r="B68" s="150"/>
      <c r="C68" s="229"/>
      <c r="D68" s="229"/>
      <c r="E68" s="42"/>
      <c r="G68" s="1"/>
      <c r="H68" s="1"/>
      <c r="I68" s="1"/>
      <c r="J68" s="1"/>
    </row>
    <row r="69" spans="2:10" x14ac:dyDescent="0.2">
      <c r="B69" s="150"/>
      <c r="C69" s="229"/>
      <c r="D69" s="229"/>
      <c r="E69" s="42"/>
      <c r="G69" s="649" t="s">
        <v>558</v>
      </c>
      <c r="H69" s="650"/>
      <c r="I69" s="650"/>
      <c r="J69" s="651"/>
    </row>
    <row r="70" spans="2:10" x14ac:dyDescent="0.2">
      <c r="B70" s="150"/>
      <c r="C70" s="229"/>
      <c r="D70" s="229"/>
      <c r="E70" s="42"/>
      <c r="G70" s="652"/>
      <c r="H70" s="653"/>
      <c r="I70" s="653"/>
      <c r="J70" s="654"/>
    </row>
    <row r="71" spans="2:10" x14ac:dyDescent="0.2">
      <c r="B71" s="150"/>
      <c r="C71" s="229"/>
      <c r="D71" s="229"/>
      <c r="E71" s="42"/>
      <c r="G71" s="509" t="str">
        <f>'Budget Hearing Notice'!H22</f>
        <v xml:space="preserve">  </v>
      </c>
      <c r="H71" s="316" t="str">
        <f>CONCATENATE("",E1," Estimated Fund Mill Rate")</f>
        <v>2025 Estimated Fund Mill Rate</v>
      </c>
      <c r="I71" s="510"/>
      <c r="J71" s="511"/>
    </row>
    <row r="72" spans="2:10" x14ac:dyDescent="0.2">
      <c r="B72" s="150"/>
      <c r="C72" s="229"/>
      <c r="D72" s="229"/>
      <c r="E72" s="42"/>
      <c r="G72" s="512" t="str">
        <f>'Budget Hearing Notice'!E22</f>
        <v xml:space="preserve">  </v>
      </c>
      <c r="H72" s="316" t="str">
        <f>CONCATENATE("",E1-1," Fund Mill Rate")</f>
        <v>2024 Fund Mill Rate</v>
      </c>
      <c r="I72" s="510"/>
      <c r="J72" s="511"/>
    </row>
    <row r="73" spans="2:10" x14ac:dyDescent="0.2">
      <c r="B73" s="143" t="str">
        <f>CONCATENATE("Cash Reserve (",E1," column)")</f>
        <v>Cash Reserve (2025 column)</v>
      </c>
      <c r="C73" s="229"/>
      <c r="D73" s="229"/>
      <c r="E73" s="42"/>
      <c r="G73" s="513">
        <f>'Budget Hearing Notice'!H62</f>
        <v>0</v>
      </c>
      <c r="H73" s="514" t="s">
        <v>559</v>
      </c>
      <c r="I73" s="510"/>
      <c r="J73" s="511"/>
    </row>
    <row r="74" spans="2:10" x14ac:dyDescent="0.2">
      <c r="B74" s="143" t="s">
        <v>38</v>
      </c>
      <c r="C74" s="229"/>
      <c r="D74" s="229"/>
      <c r="E74" s="42"/>
      <c r="G74" s="509">
        <f>'Budget Hearing Notice'!H61</f>
        <v>0</v>
      </c>
      <c r="H74" s="316" t="str">
        <f>CONCATENATE(E1," Estimated Total Mill Rate")</f>
        <v>2025 Estimated Total Mill Rate</v>
      </c>
      <c r="I74" s="510"/>
      <c r="J74" s="511"/>
    </row>
    <row r="75" spans="2:10" x14ac:dyDescent="0.2">
      <c r="B75" s="143" t="s">
        <v>290</v>
      </c>
      <c r="C75" s="230" t="str">
        <f>IF(C76*0.1&lt;C74,"Exceed 10% Rule","")</f>
        <v/>
      </c>
      <c r="D75" s="230" t="str">
        <f>IF(D76*0.1&lt;D74,"Exceed 10% Rule","")</f>
        <v/>
      </c>
      <c r="E75" s="170" t="str">
        <f>IF(E76*0.1&lt;E74,"Exceed 10% Rule","")</f>
        <v/>
      </c>
      <c r="G75" s="515">
        <f>'Budget Hearing Notice'!E61</f>
        <v>0</v>
      </c>
      <c r="H75" s="316" t="str">
        <f>CONCATENATE(E1-1," Total Mill Rate")</f>
        <v>2024 Total Mill Rate</v>
      </c>
      <c r="I75" s="510"/>
      <c r="J75" s="511"/>
    </row>
    <row r="76" spans="2:10" x14ac:dyDescent="0.2">
      <c r="B76" s="145" t="s">
        <v>94</v>
      </c>
      <c r="C76" s="463">
        <f>SUM(C67:C74)</f>
        <v>0</v>
      </c>
      <c r="D76" s="463">
        <f>SUM(D67:D74)</f>
        <v>0</v>
      </c>
      <c r="E76" s="463">
        <f>SUM(E67:E74)</f>
        <v>0</v>
      </c>
      <c r="G76" s="327"/>
      <c r="H76" s="299"/>
      <c r="I76" s="299"/>
      <c r="J76" s="329"/>
    </row>
    <row r="77" spans="2:10" x14ac:dyDescent="0.2">
      <c r="B77" s="60" t="s">
        <v>196</v>
      </c>
      <c r="C77" s="106">
        <f>C65-C76</f>
        <v>0</v>
      </c>
      <c r="D77" s="106">
        <f>D65-D76</f>
        <v>0</v>
      </c>
      <c r="E77" s="165" t="s">
        <v>66</v>
      </c>
      <c r="G77" s="655" t="s">
        <v>560</v>
      </c>
      <c r="H77" s="656"/>
      <c r="I77" s="656"/>
      <c r="J77" s="659" t="str">
        <f>IF(G74&gt;G73, "Yes", "No")</f>
        <v>No</v>
      </c>
    </row>
    <row r="78" spans="2:10" x14ac:dyDescent="0.2">
      <c r="B78" s="135" t="str">
        <f>CONCATENATE("",E1-2,"/",E1-1,"/",E1," Budget Authority Amount:")</f>
        <v>2023/2024/2025 Budget Authority Amount:</v>
      </c>
      <c r="C78" s="167">
        <f>inputOth!B39</f>
        <v>0</v>
      </c>
      <c r="D78" s="167">
        <f>inputPrYr!D23</f>
        <v>0</v>
      </c>
      <c r="E78" s="106">
        <f>E76</f>
        <v>0</v>
      </c>
      <c r="G78" s="657"/>
      <c r="H78" s="658"/>
      <c r="I78" s="658"/>
      <c r="J78" s="660"/>
    </row>
    <row r="79" spans="2:10" x14ac:dyDescent="0.2">
      <c r="B79" s="125"/>
      <c r="C79" s="636" t="s">
        <v>294</v>
      </c>
      <c r="D79" s="637"/>
      <c r="E79" s="42"/>
      <c r="F79" s="151"/>
      <c r="G79" s="661" t="str">
        <f>IF(J77="Yes", "Follow procedure prescribed by KSA 79-2988 to exceed the Revenue Neutral Rate.", " ")</f>
        <v xml:space="preserve"> </v>
      </c>
      <c r="H79" s="661"/>
      <c r="I79" s="661"/>
      <c r="J79" s="661"/>
    </row>
    <row r="80" spans="2:10" x14ac:dyDescent="0.2">
      <c r="B80" s="266" t="str">
        <f>CONCATENATE(C101,"     ",D101)</f>
        <v xml:space="preserve">     </v>
      </c>
      <c r="C80" s="638" t="s">
        <v>295</v>
      </c>
      <c r="D80" s="639"/>
      <c r="E80" s="106">
        <f>E76+E79</f>
        <v>0</v>
      </c>
      <c r="F80" s="238" t="str">
        <f>IF(E76/0.95-E76&lt;E79,"Exceeds 5%","")</f>
        <v/>
      </c>
      <c r="G80" s="662"/>
      <c r="H80" s="662"/>
      <c r="I80" s="662"/>
      <c r="J80" s="662"/>
    </row>
    <row r="81" spans="2:10" x14ac:dyDescent="0.2">
      <c r="B81" s="266" t="str">
        <f>CONCATENATE(C102,"     ",D102)</f>
        <v xml:space="preserve">     </v>
      </c>
      <c r="C81" s="152"/>
      <c r="D81" s="90" t="s">
        <v>95</v>
      </c>
      <c r="E81" s="106">
        <f>IF(E80-E65&gt;0,E80-E65,0)</f>
        <v>0</v>
      </c>
      <c r="G81" s="662"/>
      <c r="H81" s="662"/>
      <c r="I81" s="662"/>
      <c r="J81" s="662"/>
    </row>
    <row r="82" spans="2:10" x14ac:dyDescent="0.2">
      <c r="B82" s="90"/>
      <c r="C82" s="265" t="s">
        <v>296</v>
      </c>
      <c r="D82" s="297">
        <f>inputOth!$E$26</f>
        <v>0</v>
      </c>
      <c r="E82" s="106">
        <f>ROUND(IF(D82&gt;0,($E$81*D82),0),0)</f>
        <v>0</v>
      </c>
    </row>
    <row r="83" spans="2:10" x14ac:dyDescent="0.2">
      <c r="B83" s="26"/>
      <c r="C83" s="644" t="str">
        <f>CONCATENATE("Amount of  ",$E$1-1," Ad Valorem Tax")</f>
        <v>Amount of  2024 Ad Valorem Tax</v>
      </c>
      <c r="D83" s="663"/>
      <c r="E83" s="106">
        <f>E81+E82</f>
        <v>0</v>
      </c>
    </row>
    <row r="84" spans="2:10" x14ac:dyDescent="0.2">
      <c r="B84" s="26"/>
      <c r="C84" s="125"/>
      <c r="D84" s="26"/>
      <c r="E84" s="125"/>
    </row>
    <row r="85" spans="2:10" x14ac:dyDescent="0.2">
      <c r="B85" s="423" t="s">
        <v>355</v>
      </c>
      <c r="C85" s="402"/>
      <c r="D85" s="347"/>
      <c r="E85" s="409"/>
    </row>
    <row r="86" spans="2:10" x14ac:dyDescent="0.2">
      <c r="B86" s="126"/>
      <c r="C86" s="125"/>
      <c r="D86" s="26"/>
      <c r="E86" s="410"/>
    </row>
    <row r="87" spans="2:10" x14ac:dyDescent="0.2">
      <c r="B87" s="403"/>
      <c r="C87" s="408"/>
      <c r="D87" s="44"/>
      <c r="E87" s="411"/>
    </row>
    <row r="88" spans="2:10" x14ac:dyDescent="0.2">
      <c r="B88" s="26"/>
      <c r="C88" s="125"/>
      <c r="D88" s="26"/>
      <c r="E88" s="125"/>
    </row>
    <row r="89" spans="2:10" x14ac:dyDescent="0.2">
      <c r="B89" s="125" t="s">
        <v>146</v>
      </c>
      <c r="C89" s="368"/>
      <c r="D89" s="26"/>
      <c r="E89" s="26"/>
    </row>
    <row r="95" spans="2:10" hidden="1" x14ac:dyDescent="0.2"/>
    <row r="96" spans="2:10" hidden="1" x14ac:dyDescent="0.2"/>
    <row r="97" spans="3:4" hidden="1" x14ac:dyDescent="0.2"/>
    <row r="98" spans="3:4" hidden="1" x14ac:dyDescent="0.2"/>
    <row r="99" spans="3:4" x14ac:dyDescent="0.2">
      <c r="C99" s="23" t="str">
        <f>IF(C35&gt;C37,"See Tab A","")</f>
        <v/>
      </c>
      <c r="D99" s="23" t="str">
        <f>IF(D35&gt;D37,"See Tab C","")</f>
        <v/>
      </c>
    </row>
    <row r="100" spans="3:4" x14ac:dyDescent="0.2">
      <c r="C100" s="23" t="str">
        <f>IF(C36&lt;0,"See Tab B","")</f>
        <v/>
      </c>
      <c r="D100" s="23" t="str">
        <f>IF(D36&lt;0,"See Tab D","")</f>
        <v/>
      </c>
    </row>
    <row r="101" spans="3:4" x14ac:dyDescent="0.2">
      <c r="C101" s="23" t="str">
        <f>IF(C76&gt;C78,"See Tab A","")</f>
        <v/>
      </c>
      <c r="D101" s="23" t="str">
        <f>IF(D76&gt;D78,"See Tab C","")</f>
        <v/>
      </c>
    </row>
    <row r="102" spans="3:4" x14ac:dyDescent="0.2">
      <c r="C102" s="23" t="str">
        <f>IF(C77&lt;0,"See Tab B","")</f>
        <v/>
      </c>
      <c r="D102" s="23" t="str">
        <f>IF(D77&lt;0,"See Tab D","")</f>
        <v/>
      </c>
    </row>
  </sheetData>
  <sheetProtection sheet="1" objects="1" scenarios="1"/>
  <mergeCells count="18">
    <mergeCell ref="G77:I78"/>
    <mergeCell ref="J77:J78"/>
    <mergeCell ref="G79:J81"/>
    <mergeCell ref="G69:J70"/>
    <mergeCell ref="G10:J10"/>
    <mergeCell ref="G17:J17"/>
    <mergeCell ref="G52:J52"/>
    <mergeCell ref="G59:J59"/>
    <mergeCell ref="G27:J28"/>
    <mergeCell ref="G35:I36"/>
    <mergeCell ref="J35:J36"/>
    <mergeCell ref="G37:J39"/>
    <mergeCell ref="C38:D38"/>
    <mergeCell ref="C39:D39"/>
    <mergeCell ref="C79:D79"/>
    <mergeCell ref="C80:D80"/>
    <mergeCell ref="C83:D83"/>
    <mergeCell ref="C42:D42"/>
  </mergeCells>
  <phoneticPr fontId="0" type="noConversion"/>
  <conditionalFormatting sqref="C21">
    <cfRule type="cellIs" dxfId="322" priority="30" stopIfTrue="1" operator="greaterThan">
      <formula>$C$23*0.1</formula>
    </cfRule>
  </conditionalFormatting>
  <conditionalFormatting sqref="C33">
    <cfRule type="cellIs" dxfId="321" priority="27" stopIfTrue="1" operator="greaterThan">
      <formula>$C$35*0.1</formula>
    </cfRule>
  </conditionalFormatting>
  <conditionalFormatting sqref="C35">
    <cfRule type="cellIs" dxfId="320" priority="5" stopIfTrue="1" operator="greaterThan">
      <formula>$C$37</formula>
    </cfRule>
  </conditionalFormatting>
  <conditionalFormatting sqref="C62">
    <cfRule type="cellIs" dxfId="319" priority="25" stopIfTrue="1" operator="greaterThan">
      <formula>$C$64*0.1</formula>
    </cfRule>
  </conditionalFormatting>
  <conditionalFormatting sqref="C74">
    <cfRule type="cellIs" dxfId="318" priority="22" stopIfTrue="1" operator="greaterThan">
      <formula>$C$76*0.1</formula>
    </cfRule>
  </conditionalFormatting>
  <conditionalFormatting sqref="C76">
    <cfRule type="cellIs" dxfId="317" priority="7" stopIfTrue="1" operator="greaterThan">
      <formula>$C$78</formula>
    </cfRule>
  </conditionalFormatting>
  <conditionalFormatting sqref="C36:D36">
    <cfRule type="cellIs" dxfId="316" priority="1" stopIfTrue="1" operator="lessThan">
      <formula>0</formula>
    </cfRule>
  </conditionalFormatting>
  <conditionalFormatting sqref="C77:D77">
    <cfRule type="cellIs" dxfId="315" priority="3" stopIfTrue="1" operator="lessThan">
      <formula>0</formula>
    </cfRule>
  </conditionalFormatting>
  <conditionalFormatting sqref="D21">
    <cfRule type="cellIs" dxfId="314" priority="31" stopIfTrue="1" operator="greaterThan">
      <formula>$D$23*0.1</formula>
    </cfRule>
  </conditionalFormatting>
  <conditionalFormatting sqref="D33">
    <cfRule type="cellIs" dxfId="313" priority="28" stopIfTrue="1" operator="greaterThan">
      <formula>$D$35*0.1</formula>
    </cfRule>
  </conditionalFormatting>
  <conditionalFormatting sqref="D35">
    <cfRule type="cellIs" dxfId="312" priority="6" stopIfTrue="1" operator="greaterThan">
      <formula>$D$37</formula>
    </cfRule>
  </conditionalFormatting>
  <conditionalFormatting sqref="D62">
    <cfRule type="cellIs" dxfId="311" priority="26" stopIfTrue="1" operator="greaterThan">
      <formula>$D$64*0.1</formula>
    </cfRule>
  </conditionalFormatting>
  <conditionalFormatting sqref="D74">
    <cfRule type="cellIs" dxfId="310" priority="23" stopIfTrue="1" operator="greaterThan">
      <formula>$D$76*0.1</formula>
    </cfRule>
  </conditionalFormatting>
  <conditionalFormatting sqref="D76">
    <cfRule type="cellIs" dxfId="309" priority="8" stopIfTrue="1" operator="greaterThan">
      <formula>$D$78</formula>
    </cfRule>
  </conditionalFormatting>
  <conditionalFormatting sqref="E21">
    <cfRule type="cellIs" dxfId="308" priority="29" stopIfTrue="1" operator="greaterThan">
      <formula>$E$23*0.1+E42</formula>
    </cfRule>
  </conditionalFormatting>
  <conditionalFormatting sqref="E33">
    <cfRule type="cellIs" dxfId="307" priority="16" stopIfTrue="1" operator="greaterThan">
      <formula>$E$35*0.1</formula>
    </cfRule>
  </conditionalFormatting>
  <conditionalFormatting sqref="E38">
    <cfRule type="cellIs" dxfId="306" priority="15" stopIfTrue="1" operator="greaterThan">
      <formula>$E$35/0.95-$E$35</formula>
    </cfRule>
  </conditionalFormatting>
  <conditionalFormatting sqref="E62">
    <cfRule type="cellIs" dxfId="305" priority="24" stopIfTrue="1" operator="greaterThan">
      <formula>$E$64*0.1+E83</formula>
    </cfRule>
  </conditionalFormatting>
  <conditionalFormatting sqref="E74">
    <cfRule type="cellIs" dxfId="304" priority="13" stopIfTrue="1" operator="greaterThan">
      <formula>$E$76*0.1</formula>
    </cfRule>
  </conditionalFormatting>
  <conditionalFormatting sqref="E79">
    <cfRule type="cellIs" dxfId="303" priority="14" stopIfTrue="1" operator="greaterThan">
      <formula>$E$76/0.95-$E$76</formula>
    </cfRule>
  </conditionalFormatting>
  <conditionalFormatting sqref="J35">
    <cfRule type="containsText" dxfId="302" priority="10" operator="containsText" text="Yes">
      <formula>NOT(ISERROR(SEARCH("Yes",J35)))</formula>
    </cfRule>
  </conditionalFormatting>
  <conditionalFormatting sqref="J77">
    <cfRule type="containsText" dxfId="301" priority="9" operator="containsText" text="Yes">
      <formula>NOT(ISERROR(SEARCH("Yes",J77)))</formula>
    </cfRule>
  </conditionalFormatting>
  <pageMargins left="1.1200000000000001" right="0.5" top="0.74" bottom="0.34" header="0.5" footer="0"/>
  <pageSetup scale="51" orientation="portrait" blackAndWhite="1" horizontalDpi="120" verticalDpi="144" r:id="rId1"/>
  <headerFooter alignWithMargins="0">
    <oddHeader xml:space="preserve">&amp;RState of Kansas
County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127"/>
  <sheetViews>
    <sheetView zoomScaleNormal="100" workbookViewId="0">
      <selection activeCell="D17" sqref="D17"/>
    </sheetView>
  </sheetViews>
  <sheetFormatPr defaultRowHeight="15.75" x14ac:dyDescent="0.2"/>
  <cols>
    <col min="1" max="1" width="15.77734375" style="23" customWidth="1"/>
    <col min="2" max="2" width="20.77734375" style="23" customWidth="1"/>
    <col min="3" max="3" width="8.77734375" style="23" customWidth="1"/>
    <col min="4" max="5" width="13.33203125" style="23" customWidth="1"/>
    <col min="6" max="6" width="10.77734375" style="23" customWidth="1"/>
    <col min="7" max="7" width="1.77734375" style="23" customWidth="1"/>
    <col min="8" max="8" width="18.6640625" style="23" customWidth="1"/>
    <col min="9" max="16384" width="8.88671875" style="23"/>
  </cols>
  <sheetData>
    <row r="1" spans="1:9" x14ac:dyDescent="0.2">
      <c r="A1" s="557" t="s">
        <v>327</v>
      </c>
      <c r="B1" s="558"/>
      <c r="C1" s="558"/>
      <c r="D1" s="558"/>
      <c r="E1" s="558"/>
      <c r="F1" s="558"/>
      <c r="G1" s="26"/>
      <c r="H1" s="26"/>
      <c r="I1" s="26"/>
    </row>
    <row r="2" spans="1:9" x14ac:dyDescent="0.2">
      <c r="A2" s="25"/>
      <c r="B2" s="26"/>
      <c r="C2" s="26"/>
      <c r="D2" s="26"/>
      <c r="E2" s="27"/>
      <c r="F2" s="26"/>
      <c r="G2" s="26"/>
      <c r="H2" s="26"/>
      <c r="I2" s="26"/>
    </row>
    <row r="3" spans="1:9" x14ac:dyDescent="0.2">
      <c r="A3" s="372" t="s">
        <v>328</v>
      </c>
      <c r="B3" s="26"/>
      <c r="C3" s="566"/>
      <c r="D3" s="567"/>
      <c r="E3" s="568"/>
      <c r="F3" s="26"/>
      <c r="G3" s="26"/>
      <c r="H3" s="26"/>
      <c r="I3" s="26"/>
    </row>
    <row r="4" spans="1:9" x14ac:dyDescent="0.2">
      <c r="A4" s="25"/>
      <c r="B4" s="26"/>
      <c r="C4" s="26"/>
      <c r="D4" s="26"/>
      <c r="E4" s="27"/>
      <c r="F4" s="26"/>
      <c r="G4" s="26"/>
      <c r="H4" s="26"/>
      <c r="I4" s="26"/>
    </row>
    <row r="5" spans="1:9" x14ac:dyDescent="0.2">
      <c r="A5" s="372" t="s">
        <v>329</v>
      </c>
      <c r="B5" s="26"/>
      <c r="C5" s="28">
        <v>2025</v>
      </c>
      <c r="D5" s="29"/>
      <c r="E5" s="27"/>
      <c r="F5" s="26"/>
      <c r="G5" s="26"/>
      <c r="H5" s="26"/>
      <c r="I5" s="26"/>
    </row>
    <row r="6" spans="1:9" x14ac:dyDescent="0.2">
      <c r="A6" s="372"/>
      <c r="B6" s="26"/>
      <c r="C6" s="26"/>
      <c r="D6" s="29"/>
      <c r="E6" s="27"/>
      <c r="F6" s="26"/>
      <c r="G6" s="26"/>
      <c r="H6" s="26"/>
      <c r="I6" s="26"/>
    </row>
    <row r="7" spans="1:9" ht="18.75" customHeight="1" x14ac:dyDescent="0.2">
      <c r="A7" s="559" t="s">
        <v>330</v>
      </c>
      <c r="B7" s="559"/>
      <c r="C7" s="559"/>
      <c r="D7" s="559"/>
      <c r="E7" s="559"/>
      <c r="F7" s="30"/>
      <c r="G7" s="26"/>
      <c r="H7" s="560" t="s">
        <v>332</v>
      </c>
      <c r="I7" s="561"/>
    </row>
    <row r="8" spans="1:9" x14ac:dyDescent="0.2">
      <c r="A8" s="559"/>
      <c r="B8" s="559"/>
      <c r="C8" s="559"/>
      <c r="D8" s="559"/>
      <c r="E8" s="559"/>
      <c r="F8" s="30"/>
      <c r="G8" s="26"/>
      <c r="H8" s="562"/>
      <c r="I8" s="563"/>
    </row>
    <row r="9" spans="1:9" x14ac:dyDescent="0.2">
      <c r="A9" s="559"/>
      <c r="B9" s="559"/>
      <c r="C9" s="559"/>
      <c r="D9" s="559"/>
      <c r="E9" s="559"/>
      <c r="F9" s="30"/>
      <c r="G9" s="26"/>
      <c r="H9" s="562"/>
      <c r="I9" s="563"/>
    </row>
    <row r="10" spans="1:9" x14ac:dyDescent="0.2">
      <c r="A10" s="555" t="s">
        <v>331</v>
      </c>
      <c r="B10" s="556"/>
      <c r="C10" s="556"/>
      <c r="D10" s="556"/>
      <c r="E10" s="556"/>
      <c r="F10" s="556"/>
      <c r="G10" s="26"/>
      <c r="H10" s="562"/>
      <c r="I10" s="563"/>
    </row>
    <row r="11" spans="1:9" x14ac:dyDescent="0.2">
      <c r="A11" s="26"/>
      <c r="B11" s="26"/>
      <c r="C11" s="26"/>
      <c r="D11" s="26"/>
      <c r="E11" s="26"/>
      <c r="F11" s="26"/>
      <c r="G11" s="26"/>
      <c r="H11" s="562"/>
      <c r="I11" s="563"/>
    </row>
    <row r="12" spans="1:9" x14ac:dyDescent="0.2">
      <c r="A12" s="374" t="s">
        <v>333</v>
      </c>
      <c r="B12" s="375"/>
      <c r="C12" s="26"/>
      <c r="D12" s="26"/>
      <c r="E12" s="26"/>
      <c r="F12" s="26"/>
      <c r="G12" s="26"/>
      <c r="H12" s="562"/>
      <c r="I12" s="563"/>
    </row>
    <row r="13" spans="1:9" x14ac:dyDescent="0.2">
      <c r="A13" s="376" t="s">
        <v>334</v>
      </c>
      <c r="B13" s="377"/>
      <c r="C13" s="26"/>
      <c r="D13" s="26"/>
      <c r="E13" s="26"/>
      <c r="F13" s="26"/>
      <c r="G13" s="26"/>
      <c r="H13" s="564"/>
      <c r="I13" s="565"/>
    </row>
    <row r="14" spans="1:9" x14ac:dyDescent="0.2">
      <c r="A14" s="378" t="s">
        <v>335</v>
      </c>
      <c r="B14" s="379"/>
      <c r="C14" s="26"/>
      <c r="D14" s="44"/>
      <c r="E14" s="44"/>
      <c r="F14" s="44"/>
      <c r="G14" s="26"/>
      <c r="H14" s="26"/>
      <c r="I14" s="26"/>
    </row>
    <row r="15" spans="1:9" x14ac:dyDescent="0.2">
      <c r="A15" s="26"/>
      <c r="B15" s="26"/>
      <c r="C15" s="31"/>
      <c r="D15" s="68">
        <f>C5-1</f>
        <v>2024</v>
      </c>
      <c r="E15" s="370" t="str">
        <f>CONCATENATE("",C5-2,"")</f>
        <v>2023</v>
      </c>
      <c r="F15" s="68">
        <f>C5-2</f>
        <v>2023</v>
      </c>
      <c r="H15" s="101" t="s">
        <v>316</v>
      </c>
      <c r="I15" s="96" t="s">
        <v>96</v>
      </c>
    </row>
    <row r="16" spans="1:9" x14ac:dyDescent="0.2">
      <c r="A16" s="25" t="s">
        <v>208</v>
      </c>
      <c r="B16" s="26"/>
      <c r="C16" s="32" t="s">
        <v>52</v>
      </c>
      <c r="D16" s="33" t="s">
        <v>216</v>
      </c>
      <c r="E16" s="33" t="s">
        <v>43</v>
      </c>
      <c r="F16" s="33" t="s">
        <v>37</v>
      </c>
      <c r="H16" s="104" t="str">
        <f>CONCATENATE("",E15," Ad Valorem Tax")</f>
        <v>2023 Ad Valorem Tax</v>
      </c>
      <c r="I16" s="296">
        <v>0</v>
      </c>
    </row>
    <row r="17" spans="1:8" x14ac:dyDescent="0.2">
      <c r="A17" s="26"/>
      <c r="B17" s="34" t="s">
        <v>53</v>
      </c>
      <c r="C17" s="97" t="s">
        <v>198</v>
      </c>
      <c r="D17" s="36"/>
      <c r="E17" s="381"/>
      <c r="F17" s="37"/>
      <c r="H17" s="106">
        <f>IF($I$16&gt;0,ROUND(E17-(E17*$I$16),0),0)</f>
        <v>0</v>
      </c>
    </row>
    <row r="18" spans="1:8" x14ac:dyDescent="0.2">
      <c r="A18" s="26"/>
      <c r="B18" s="34" t="s">
        <v>112</v>
      </c>
      <c r="C18" s="97" t="s">
        <v>209</v>
      </c>
      <c r="D18" s="36"/>
      <c r="E18" s="381"/>
      <c r="F18" s="37"/>
      <c r="H18" s="106">
        <f t="shared" ref="H18:H41" si="0">IF($I$16&gt;0,ROUND(E18-(E18*$I$16),0),0)</f>
        <v>0</v>
      </c>
    </row>
    <row r="19" spans="1:8" x14ac:dyDescent="0.2">
      <c r="A19" s="25"/>
      <c r="B19" s="38" t="s">
        <v>138</v>
      </c>
      <c r="C19" s="96" t="s">
        <v>352</v>
      </c>
      <c r="D19" s="36"/>
      <c r="E19" s="381"/>
      <c r="F19" s="39"/>
      <c r="H19" s="106">
        <f t="shared" si="0"/>
        <v>0</v>
      </c>
    </row>
    <row r="20" spans="1:8" x14ac:dyDescent="0.2">
      <c r="A20" s="26"/>
      <c r="B20" s="380"/>
      <c r="C20" s="237"/>
      <c r="D20" s="36"/>
      <c r="E20" s="381"/>
      <c r="F20" s="37"/>
      <c r="H20" s="106">
        <f t="shared" si="0"/>
        <v>0</v>
      </c>
    </row>
    <row r="21" spans="1:8" x14ac:dyDescent="0.2">
      <c r="A21" s="26"/>
      <c r="B21" s="380"/>
      <c r="C21" s="237"/>
      <c r="D21" s="36"/>
      <c r="E21" s="381"/>
      <c r="F21" s="37"/>
      <c r="H21" s="106">
        <f t="shared" si="0"/>
        <v>0</v>
      </c>
    </row>
    <row r="22" spans="1:8" x14ac:dyDescent="0.2">
      <c r="A22" s="26"/>
      <c r="B22" s="380"/>
      <c r="C22" s="237"/>
      <c r="D22" s="36"/>
      <c r="E22" s="381"/>
      <c r="F22" s="37"/>
      <c r="H22" s="106">
        <f t="shared" si="0"/>
        <v>0</v>
      </c>
    </row>
    <row r="23" spans="1:8" x14ac:dyDescent="0.2">
      <c r="A23" s="26"/>
      <c r="B23" s="380"/>
      <c r="C23" s="237"/>
      <c r="D23" s="36"/>
      <c r="E23" s="381"/>
      <c r="F23" s="37"/>
      <c r="H23" s="106">
        <f t="shared" si="0"/>
        <v>0</v>
      </c>
    </row>
    <row r="24" spans="1:8" x14ac:dyDescent="0.2">
      <c r="A24" s="26"/>
      <c r="B24" s="380"/>
      <c r="C24" s="237"/>
      <c r="D24" s="36"/>
      <c r="E24" s="381"/>
      <c r="F24" s="37"/>
      <c r="H24" s="106">
        <f t="shared" si="0"/>
        <v>0</v>
      </c>
    </row>
    <row r="25" spans="1:8" x14ac:dyDescent="0.2">
      <c r="A25" s="26"/>
      <c r="B25" s="380"/>
      <c r="C25" s="237"/>
      <c r="D25" s="36"/>
      <c r="E25" s="381"/>
      <c r="F25" s="37"/>
      <c r="H25" s="106">
        <f t="shared" si="0"/>
        <v>0</v>
      </c>
    </row>
    <row r="26" spans="1:8" x14ac:dyDescent="0.2">
      <c r="A26" s="26"/>
      <c r="B26" s="380"/>
      <c r="C26" s="237"/>
      <c r="D26" s="36"/>
      <c r="E26" s="381"/>
      <c r="F26" s="37"/>
      <c r="H26" s="106">
        <f t="shared" si="0"/>
        <v>0</v>
      </c>
    </row>
    <row r="27" spans="1:8" x14ac:dyDescent="0.2">
      <c r="A27" s="26"/>
      <c r="B27" s="380"/>
      <c r="C27" s="237"/>
      <c r="D27" s="36"/>
      <c r="E27" s="381"/>
      <c r="F27" s="37"/>
      <c r="H27" s="106">
        <f t="shared" si="0"/>
        <v>0</v>
      </c>
    </row>
    <row r="28" spans="1:8" x14ac:dyDescent="0.2">
      <c r="A28" s="26"/>
      <c r="B28" s="380"/>
      <c r="C28" s="237"/>
      <c r="D28" s="36"/>
      <c r="E28" s="381"/>
      <c r="F28" s="37"/>
      <c r="H28" s="106">
        <f t="shared" si="0"/>
        <v>0</v>
      </c>
    </row>
    <row r="29" spans="1:8" x14ac:dyDescent="0.2">
      <c r="A29" s="26"/>
      <c r="B29" s="380"/>
      <c r="C29" s="237"/>
      <c r="D29" s="36"/>
      <c r="E29" s="381"/>
      <c r="F29" s="37"/>
      <c r="H29" s="106">
        <f t="shared" si="0"/>
        <v>0</v>
      </c>
    </row>
    <row r="30" spans="1:8" x14ac:dyDescent="0.2">
      <c r="A30" s="26"/>
      <c r="B30" s="380"/>
      <c r="C30" s="237"/>
      <c r="D30" s="36"/>
      <c r="E30" s="42"/>
      <c r="F30" s="37"/>
      <c r="H30" s="106">
        <f t="shared" si="0"/>
        <v>0</v>
      </c>
    </row>
    <row r="31" spans="1:8" x14ac:dyDescent="0.2">
      <c r="A31" s="26"/>
      <c r="B31" s="380"/>
      <c r="C31" s="237"/>
      <c r="D31" s="36"/>
      <c r="E31" s="42"/>
      <c r="F31" s="37"/>
      <c r="H31" s="106">
        <f t="shared" si="0"/>
        <v>0</v>
      </c>
    </row>
    <row r="32" spans="1:8" x14ac:dyDescent="0.2">
      <c r="A32" s="26"/>
      <c r="B32" s="380"/>
      <c r="C32" s="237"/>
      <c r="D32" s="36"/>
      <c r="E32" s="42"/>
      <c r="F32" s="37"/>
      <c r="H32" s="106">
        <f t="shared" si="0"/>
        <v>0</v>
      </c>
    </row>
    <row r="33" spans="1:8" x14ac:dyDescent="0.2">
      <c r="A33" s="26"/>
      <c r="B33" s="380"/>
      <c r="C33" s="237"/>
      <c r="D33" s="36"/>
      <c r="E33" s="42"/>
      <c r="F33" s="37"/>
      <c r="H33" s="106">
        <f t="shared" si="0"/>
        <v>0</v>
      </c>
    </row>
    <row r="34" spans="1:8" x14ac:dyDescent="0.2">
      <c r="A34" s="26"/>
      <c r="B34" s="380"/>
      <c r="C34" s="237"/>
      <c r="D34" s="36"/>
      <c r="E34" s="42"/>
      <c r="F34" s="37"/>
      <c r="H34" s="106">
        <f t="shared" si="0"/>
        <v>0</v>
      </c>
    </row>
    <row r="35" spans="1:8" x14ac:dyDescent="0.2">
      <c r="A35" s="26"/>
      <c r="B35" s="380"/>
      <c r="C35" s="237"/>
      <c r="D35" s="36"/>
      <c r="E35" s="42"/>
      <c r="F35" s="37"/>
      <c r="H35" s="106">
        <f t="shared" si="0"/>
        <v>0</v>
      </c>
    </row>
    <row r="36" spans="1:8" x14ac:dyDescent="0.2">
      <c r="A36" s="26"/>
      <c r="B36" s="380"/>
      <c r="C36" s="237"/>
      <c r="D36" s="36"/>
      <c r="E36" s="42"/>
      <c r="F36" s="37"/>
      <c r="H36" s="106">
        <f t="shared" si="0"/>
        <v>0</v>
      </c>
    </row>
    <row r="37" spans="1:8" x14ac:dyDescent="0.2">
      <c r="A37" s="26"/>
      <c r="B37" s="380"/>
      <c r="C37" s="237"/>
      <c r="D37" s="36"/>
      <c r="E37" s="42"/>
      <c r="F37" s="37"/>
      <c r="H37" s="106">
        <f t="shared" si="0"/>
        <v>0</v>
      </c>
    </row>
    <row r="38" spans="1:8" x14ac:dyDescent="0.2">
      <c r="A38" s="26"/>
      <c r="B38" s="380"/>
      <c r="C38" s="237"/>
      <c r="D38" s="36"/>
      <c r="E38" s="42"/>
      <c r="F38" s="37"/>
      <c r="H38" s="106">
        <f t="shared" si="0"/>
        <v>0</v>
      </c>
    </row>
    <row r="39" spans="1:8" x14ac:dyDescent="0.2">
      <c r="A39" s="26"/>
      <c r="B39" s="380"/>
      <c r="C39" s="237"/>
      <c r="D39" s="36"/>
      <c r="E39" s="42"/>
      <c r="F39" s="37"/>
      <c r="H39" s="106">
        <f t="shared" si="0"/>
        <v>0</v>
      </c>
    </row>
    <row r="40" spans="1:8" x14ac:dyDescent="0.2">
      <c r="A40" s="26"/>
      <c r="B40" s="380"/>
      <c r="C40" s="237"/>
      <c r="D40" s="36"/>
      <c r="E40" s="42"/>
      <c r="F40" s="37"/>
      <c r="H40" s="106">
        <f t="shared" si="0"/>
        <v>0</v>
      </c>
    </row>
    <row r="41" spans="1:8" x14ac:dyDescent="0.2">
      <c r="A41" s="26"/>
      <c r="B41" s="380"/>
      <c r="C41" s="237"/>
      <c r="D41" s="36"/>
      <c r="E41" s="42"/>
      <c r="F41" s="37"/>
      <c r="H41" s="106">
        <f t="shared" si="0"/>
        <v>0</v>
      </c>
    </row>
    <row r="42" spans="1:8" x14ac:dyDescent="0.2">
      <c r="A42" s="43" t="str">
        <f>CONCATENATE("Total Tax Levy Funds Levy Amounts and Levy Rates for ",C5-1," Budget")</f>
        <v>Total Tax Levy Funds Levy Amounts and Levy Rates for 2024 Budget</v>
      </c>
      <c r="B42" s="44"/>
      <c r="C42" s="44"/>
      <c r="D42" s="45"/>
      <c r="E42" s="143">
        <f>SUM(E17:E41)</f>
        <v>0</v>
      </c>
      <c r="F42" s="77">
        <f>SUM(F17:F41)</f>
        <v>0</v>
      </c>
    </row>
    <row r="43" spans="1:8" x14ac:dyDescent="0.2">
      <c r="A43" s="25" t="s">
        <v>26</v>
      </c>
      <c r="B43" s="26"/>
      <c r="C43" s="26"/>
      <c r="D43" s="26"/>
      <c r="E43" s="26"/>
      <c r="F43" s="26"/>
    </row>
    <row r="44" spans="1:8" x14ac:dyDescent="0.2">
      <c r="A44" s="26"/>
      <c r="B44" s="37"/>
      <c r="C44" s="26"/>
      <c r="D44" s="36"/>
      <c r="E44" s="26"/>
      <c r="F44" s="26"/>
    </row>
    <row r="45" spans="1:8" x14ac:dyDescent="0.2">
      <c r="A45" s="26"/>
      <c r="B45" s="37"/>
      <c r="C45" s="26"/>
      <c r="D45" s="36"/>
      <c r="E45" s="26"/>
      <c r="F45" s="26"/>
    </row>
    <row r="46" spans="1:8" x14ac:dyDescent="0.2">
      <c r="A46" s="26"/>
      <c r="B46" s="37"/>
      <c r="C46" s="26"/>
      <c r="D46" s="36"/>
      <c r="E46" s="26"/>
      <c r="F46" s="26"/>
    </row>
    <row r="47" spans="1:8" x14ac:dyDescent="0.2">
      <c r="A47" s="26"/>
      <c r="B47" s="37"/>
      <c r="C47" s="26"/>
      <c r="D47" s="36"/>
      <c r="E47" s="26"/>
      <c r="F47" s="26"/>
    </row>
    <row r="48" spans="1:8" x14ac:dyDescent="0.2">
      <c r="A48" s="26"/>
      <c r="B48" s="37"/>
      <c r="C48" s="26"/>
      <c r="D48" s="36"/>
      <c r="E48" s="26"/>
      <c r="F48" s="26"/>
    </row>
    <row r="49" spans="1:6" x14ac:dyDescent="0.2">
      <c r="A49" s="26"/>
      <c r="B49" s="37"/>
      <c r="C49" s="26"/>
      <c r="D49" s="36"/>
      <c r="E49" s="26"/>
      <c r="F49" s="26"/>
    </row>
    <row r="50" spans="1:6" x14ac:dyDescent="0.2">
      <c r="A50" s="26"/>
      <c r="B50" s="37"/>
      <c r="C50" s="26"/>
      <c r="D50" s="36"/>
      <c r="E50" s="26"/>
      <c r="F50" s="26"/>
    </row>
    <row r="51" spans="1:6" x14ac:dyDescent="0.2">
      <c r="A51" s="26"/>
      <c r="B51" s="37"/>
      <c r="C51" s="26"/>
      <c r="D51" s="36"/>
      <c r="E51" s="26"/>
      <c r="F51" s="26"/>
    </row>
    <row r="52" spans="1:6" x14ac:dyDescent="0.2">
      <c r="A52" s="26"/>
      <c r="B52" s="37"/>
      <c r="C52" s="26"/>
      <c r="D52" s="36"/>
      <c r="E52" s="26"/>
      <c r="F52" s="26"/>
    </row>
    <row r="53" spans="1:6" x14ac:dyDescent="0.2">
      <c r="A53" s="26"/>
      <c r="B53" s="37"/>
      <c r="C53" s="26"/>
      <c r="D53" s="36"/>
      <c r="E53" s="26"/>
      <c r="F53" s="26"/>
    </row>
    <row r="54" spans="1:6" x14ac:dyDescent="0.2">
      <c r="A54" s="26"/>
      <c r="B54" s="37"/>
      <c r="C54" s="26"/>
      <c r="D54" s="36"/>
      <c r="E54" s="26"/>
      <c r="F54" s="26"/>
    </row>
    <row r="55" spans="1:6" x14ac:dyDescent="0.2">
      <c r="A55" s="26"/>
      <c r="B55" s="37"/>
      <c r="C55" s="26"/>
      <c r="D55" s="36"/>
      <c r="E55" s="26"/>
      <c r="F55" s="26"/>
    </row>
    <row r="56" spans="1:6" x14ac:dyDescent="0.2">
      <c r="A56" s="26"/>
      <c r="B56" s="37"/>
      <c r="C56" s="26"/>
      <c r="D56" s="36"/>
      <c r="E56" s="26"/>
      <c r="F56" s="26"/>
    </row>
    <row r="57" spans="1:6" x14ac:dyDescent="0.2">
      <c r="A57" s="26"/>
      <c r="B57" s="37"/>
      <c r="C57" s="26"/>
      <c r="D57" s="36"/>
      <c r="E57" s="26"/>
      <c r="F57" s="26"/>
    </row>
    <row r="58" spans="1:6" x14ac:dyDescent="0.2">
      <c r="A58" s="26"/>
      <c r="B58" s="37"/>
      <c r="C58" s="26"/>
      <c r="D58" s="36"/>
      <c r="E58" s="26"/>
      <c r="F58" s="26"/>
    </row>
    <row r="59" spans="1:6" x14ac:dyDescent="0.2">
      <c r="A59" s="26"/>
      <c r="B59" s="37"/>
      <c r="C59" s="26"/>
      <c r="D59" s="36"/>
      <c r="E59" s="26"/>
      <c r="F59" s="26"/>
    </row>
    <row r="60" spans="1:6" x14ac:dyDescent="0.2">
      <c r="A60" s="43" t="str">
        <f>CONCATENATE("Total Expenditures for ",C5-1," Budgeted Year")</f>
        <v>Total Expenditures for 2024 Budgeted Year</v>
      </c>
      <c r="B60" s="46"/>
      <c r="C60" s="47"/>
      <c r="D60" s="38">
        <f>SUM(D17:D41,D44:D59)</f>
        <v>0</v>
      </c>
      <c r="E60" s="26"/>
      <c r="F60" s="26"/>
    </row>
    <row r="61" spans="1:6" x14ac:dyDescent="0.2">
      <c r="A61" s="25"/>
      <c r="B61" s="48"/>
      <c r="C61" s="26"/>
      <c r="D61" s="49"/>
      <c r="E61" s="26"/>
      <c r="F61" s="26"/>
    </row>
    <row r="62" spans="1:6" x14ac:dyDescent="0.2">
      <c r="A62" s="26" t="s">
        <v>12</v>
      </c>
      <c r="B62" s="48"/>
      <c r="C62" s="26"/>
      <c r="D62" s="26"/>
      <c r="E62" s="26"/>
      <c r="F62" s="26"/>
    </row>
    <row r="63" spans="1:6" x14ac:dyDescent="0.2">
      <c r="A63" s="26">
        <v>1</v>
      </c>
      <c r="B63" s="37"/>
      <c r="C63" s="26"/>
      <c r="D63" s="26"/>
      <c r="E63" s="26"/>
      <c r="F63" s="26"/>
    </row>
    <row r="64" spans="1:6" x14ac:dyDescent="0.2">
      <c r="A64" s="26">
        <v>2</v>
      </c>
      <c r="B64" s="37"/>
      <c r="C64" s="26"/>
      <c r="D64" s="26"/>
      <c r="E64" s="26"/>
      <c r="F64" s="26"/>
    </row>
    <row r="65" spans="1:6" x14ac:dyDescent="0.2">
      <c r="A65" s="26">
        <v>3</v>
      </c>
      <c r="B65" s="37"/>
      <c r="C65" s="26"/>
      <c r="D65" s="26"/>
      <c r="E65" s="26"/>
      <c r="F65" s="26"/>
    </row>
    <row r="66" spans="1:6" x14ac:dyDescent="0.2">
      <c r="A66" s="26">
        <v>4</v>
      </c>
      <c r="B66" s="37"/>
      <c r="C66" s="26"/>
      <c r="D66" s="26"/>
      <c r="E66" s="26"/>
      <c r="F66" s="26"/>
    </row>
    <row r="67" spans="1:6" x14ac:dyDescent="0.2">
      <c r="A67" s="26">
        <v>5</v>
      </c>
      <c r="B67" s="37"/>
      <c r="C67" s="26"/>
      <c r="D67" s="26"/>
      <c r="E67" s="26"/>
      <c r="F67" s="26"/>
    </row>
    <row r="68" spans="1:6" x14ac:dyDescent="0.2">
      <c r="A68" s="26" t="s">
        <v>21</v>
      </c>
      <c r="B68" s="48"/>
      <c r="C68" s="26"/>
      <c r="D68" s="26"/>
      <c r="E68" s="26"/>
      <c r="F68" s="26"/>
    </row>
    <row r="69" spans="1:6" x14ac:dyDescent="0.2">
      <c r="A69" s="26">
        <v>1</v>
      </c>
      <c r="B69" s="37"/>
      <c r="C69" s="26"/>
      <c r="D69" s="26"/>
      <c r="E69" s="26"/>
      <c r="F69" s="26"/>
    </row>
    <row r="70" spans="1:6" x14ac:dyDescent="0.2">
      <c r="A70" s="26">
        <v>2</v>
      </c>
      <c r="B70" s="37"/>
      <c r="C70" s="26"/>
      <c r="D70" s="26"/>
      <c r="E70" s="26"/>
      <c r="F70" s="26"/>
    </row>
    <row r="71" spans="1:6" x14ac:dyDescent="0.2">
      <c r="A71" s="26">
        <v>3</v>
      </c>
      <c r="B71" s="37"/>
      <c r="C71" s="26"/>
      <c r="D71" s="26"/>
      <c r="E71" s="26"/>
      <c r="F71" s="26"/>
    </row>
    <row r="72" spans="1:6" x14ac:dyDescent="0.2">
      <c r="A72" s="26">
        <v>4</v>
      </c>
      <c r="B72" s="37"/>
      <c r="C72" s="26"/>
      <c r="D72" s="26"/>
      <c r="E72" s="26"/>
      <c r="F72" s="26"/>
    </row>
    <row r="73" spans="1:6" x14ac:dyDescent="0.2">
      <c r="A73" s="26">
        <v>5</v>
      </c>
      <c r="B73" s="37"/>
      <c r="C73" s="26"/>
      <c r="D73" s="26"/>
      <c r="E73" s="26"/>
      <c r="F73" s="26"/>
    </row>
    <row r="74" spans="1:6" x14ac:dyDescent="0.2">
      <c r="A74" s="26" t="s">
        <v>23</v>
      </c>
      <c r="B74" s="48"/>
      <c r="C74" s="26"/>
      <c r="D74" s="26"/>
      <c r="E74" s="26"/>
      <c r="F74" s="26"/>
    </row>
    <row r="75" spans="1:6" x14ac:dyDescent="0.2">
      <c r="A75" s="26">
        <v>1</v>
      </c>
      <c r="B75" s="37"/>
      <c r="C75" s="26"/>
      <c r="D75" s="26"/>
      <c r="E75" s="26"/>
      <c r="F75" s="26"/>
    </row>
    <row r="76" spans="1:6" x14ac:dyDescent="0.2">
      <c r="A76" s="26">
        <v>2</v>
      </c>
      <c r="B76" s="37"/>
      <c r="C76" s="26"/>
      <c r="D76" s="26"/>
      <c r="E76" s="26"/>
      <c r="F76" s="26"/>
    </row>
    <row r="77" spans="1:6" x14ac:dyDescent="0.2">
      <c r="A77" s="26">
        <v>3</v>
      </c>
      <c r="B77" s="37"/>
      <c r="C77" s="26"/>
      <c r="D77" s="26"/>
      <c r="E77" s="26"/>
      <c r="F77" s="26"/>
    </row>
    <row r="78" spans="1:6" x14ac:dyDescent="0.2">
      <c r="A78" s="26">
        <v>4</v>
      </c>
      <c r="B78" s="37"/>
      <c r="C78" s="26"/>
      <c r="D78" s="26"/>
      <c r="E78" s="26"/>
      <c r="F78" s="26"/>
    </row>
    <row r="79" spans="1:6" x14ac:dyDescent="0.2">
      <c r="A79" s="26">
        <v>5</v>
      </c>
      <c r="B79" s="37"/>
      <c r="C79" s="26"/>
      <c r="D79" s="26"/>
      <c r="E79" s="26"/>
      <c r="F79" s="26"/>
    </row>
    <row r="80" spans="1:6" x14ac:dyDescent="0.2">
      <c r="A80" s="26" t="s">
        <v>25</v>
      </c>
      <c r="B80" s="48"/>
      <c r="C80" s="26"/>
      <c r="D80" s="26"/>
      <c r="E80" s="26"/>
      <c r="F80" s="26"/>
    </row>
    <row r="81" spans="1:6" x14ac:dyDescent="0.2">
      <c r="A81" s="26">
        <v>1</v>
      </c>
      <c r="B81" s="37"/>
      <c r="C81" s="26"/>
      <c r="D81" s="26"/>
      <c r="E81" s="26"/>
      <c r="F81" s="26"/>
    </row>
    <row r="82" spans="1:6" x14ac:dyDescent="0.2">
      <c r="A82" s="26">
        <v>2</v>
      </c>
      <c r="B82" s="37"/>
      <c r="C82" s="26"/>
      <c r="D82" s="26"/>
      <c r="E82" s="26"/>
      <c r="F82" s="26"/>
    </row>
    <row r="83" spans="1:6" x14ac:dyDescent="0.2">
      <c r="A83" s="26">
        <v>3</v>
      </c>
      <c r="B83" s="37"/>
      <c r="C83" s="26"/>
      <c r="D83" s="26"/>
      <c r="E83" s="26"/>
      <c r="F83" s="26"/>
    </row>
    <row r="84" spans="1:6" x14ac:dyDescent="0.2">
      <c r="A84" s="26">
        <v>4</v>
      </c>
      <c r="B84" s="37"/>
      <c r="C84" s="26"/>
      <c r="D84" s="26"/>
      <c r="E84" s="26"/>
      <c r="F84" s="26"/>
    </row>
    <row r="85" spans="1:6" x14ac:dyDescent="0.2">
      <c r="A85" s="26">
        <v>5</v>
      </c>
      <c r="B85" s="37"/>
      <c r="C85" s="26"/>
      <c r="D85" s="26"/>
      <c r="E85" s="26"/>
      <c r="F85" s="26"/>
    </row>
    <row r="86" spans="1:6" x14ac:dyDescent="0.2">
      <c r="A86" s="43" t="str">
        <f>CONCATENATE("County's Final Assessed Valuation for ",C5-1," (November 1,",C5-2," Abstract):")</f>
        <v>County's Final Assessed Valuation for 2024 (November 1,2023 Abstract):</v>
      </c>
      <c r="B86" s="44"/>
      <c r="C86" s="44"/>
      <c r="D86" s="44"/>
      <c r="E86" s="47"/>
      <c r="F86" s="42"/>
    </row>
    <row r="87" spans="1:6" x14ac:dyDescent="0.2">
      <c r="A87" s="25"/>
      <c r="B87" s="26"/>
      <c r="C87" s="26"/>
      <c r="D87" s="26"/>
      <c r="E87" s="26"/>
      <c r="F87" s="26"/>
    </row>
    <row r="88" spans="1:6" x14ac:dyDescent="0.2">
      <c r="A88" s="26"/>
      <c r="B88" s="26"/>
      <c r="C88" s="26"/>
      <c r="D88" s="26"/>
      <c r="E88" s="26"/>
      <c r="F88" s="26"/>
    </row>
    <row r="89" spans="1:6" x14ac:dyDescent="0.2">
      <c r="A89" s="349" t="str">
        <f>CONCATENATE("From the ",C5-1," Budget:")</f>
        <v>From the 2024 Budget:</v>
      </c>
      <c r="B89" s="348"/>
      <c r="C89" s="26"/>
      <c r="D89" s="553" t="str">
        <f>CONCATENATE("",C5-3," Tax Rate (",C5-2," Column)")</f>
        <v>2022 Tax Rate (2023 Column)</v>
      </c>
      <c r="E89" s="26"/>
      <c r="F89" s="26"/>
    </row>
    <row r="90" spans="1:6" x14ac:dyDescent="0.2">
      <c r="A90" s="350" t="s">
        <v>51</v>
      </c>
      <c r="B90" s="351"/>
      <c r="C90" s="26"/>
      <c r="D90" s="554"/>
      <c r="E90" s="26"/>
      <c r="F90" s="26"/>
    </row>
    <row r="91" spans="1:6" x14ac:dyDescent="0.2">
      <c r="A91" s="26"/>
      <c r="B91" s="72" t="str">
        <f>B17</f>
        <v>General</v>
      </c>
      <c r="C91" s="26"/>
      <c r="D91" s="37"/>
      <c r="E91" s="26"/>
      <c r="F91" s="26"/>
    </row>
    <row r="92" spans="1:6" x14ac:dyDescent="0.2">
      <c r="A92" s="26"/>
      <c r="B92" s="50" t="str">
        <f>B18</f>
        <v>Debt Service</v>
      </c>
      <c r="C92" s="26"/>
      <c r="D92" s="37"/>
      <c r="E92" s="26"/>
      <c r="F92" s="26"/>
    </row>
    <row r="93" spans="1:6" x14ac:dyDescent="0.2">
      <c r="A93" s="26"/>
      <c r="B93" s="50" t="str">
        <f>B19</f>
        <v>Road &amp; Bridge</v>
      </c>
      <c r="C93" s="26"/>
      <c r="D93" s="37"/>
      <c r="E93" s="26"/>
      <c r="F93" s="26"/>
    </row>
    <row r="94" spans="1:6" x14ac:dyDescent="0.2">
      <c r="A94" s="26"/>
      <c r="B94" s="50">
        <f t="shared" ref="B94:B115" si="1">B20</f>
        <v>0</v>
      </c>
      <c r="C94" s="26"/>
      <c r="D94" s="37"/>
      <c r="E94" s="26"/>
      <c r="F94" s="26"/>
    </row>
    <row r="95" spans="1:6" x14ac:dyDescent="0.2">
      <c r="A95" s="26"/>
      <c r="B95" s="50">
        <f t="shared" si="1"/>
        <v>0</v>
      </c>
      <c r="C95" s="26"/>
      <c r="D95" s="37"/>
      <c r="E95" s="26"/>
      <c r="F95" s="26"/>
    </row>
    <row r="96" spans="1:6" x14ac:dyDescent="0.2">
      <c r="A96" s="26"/>
      <c r="B96" s="50">
        <f t="shared" si="1"/>
        <v>0</v>
      </c>
      <c r="C96" s="26"/>
      <c r="D96" s="37"/>
      <c r="E96" s="26"/>
      <c r="F96" s="26"/>
    </row>
    <row r="97" spans="1:6" x14ac:dyDescent="0.2">
      <c r="A97" s="26"/>
      <c r="B97" s="50">
        <f t="shared" si="1"/>
        <v>0</v>
      </c>
      <c r="C97" s="26"/>
      <c r="D97" s="37"/>
      <c r="E97" s="26"/>
      <c r="F97" s="26"/>
    </row>
    <row r="98" spans="1:6" x14ac:dyDescent="0.2">
      <c r="A98" s="26"/>
      <c r="B98" s="50">
        <f t="shared" si="1"/>
        <v>0</v>
      </c>
      <c r="C98" s="26"/>
      <c r="D98" s="37"/>
      <c r="E98" s="26"/>
      <c r="F98" s="26"/>
    </row>
    <row r="99" spans="1:6" x14ac:dyDescent="0.2">
      <c r="A99" s="26"/>
      <c r="B99" s="50">
        <f t="shared" si="1"/>
        <v>0</v>
      </c>
      <c r="C99" s="26"/>
      <c r="D99" s="37"/>
      <c r="E99" s="26"/>
      <c r="F99" s="26"/>
    </row>
    <row r="100" spans="1:6" x14ac:dyDescent="0.2">
      <c r="A100" s="26"/>
      <c r="B100" s="50">
        <f t="shared" si="1"/>
        <v>0</v>
      </c>
      <c r="C100" s="26"/>
      <c r="D100" s="37"/>
      <c r="E100" s="26"/>
      <c r="F100" s="26"/>
    </row>
    <row r="101" spans="1:6" x14ac:dyDescent="0.2">
      <c r="A101" s="26"/>
      <c r="B101" s="50">
        <f t="shared" si="1"/>
        <v>0</v>
      </c>
      <c r="C101" s="26"/>
      <c r="D101" s="37"/>
      <c r="E101" s="26"/>
      <c r="F101" s="26"/>
    </row>
    <row r="102" spans="1:6" x14ac:dyDescent="0.2">
      <c r="A102" s="26"/>
      <c r="B102" s="50">
        <f t="shared" si="1"/>
        <v>0</v>
      </c>
      <c r="C102" s="26"/>
      <c r="D102" s="37"/>
      <c r="E102" s="26"/>
      <c r="F102" s="26"/>
    </row>
    <row r="103" spans="1:6" x14ac:dyDescent="0.2">
      <c r="A103" s="26"/>
      <c r="B103" s="50">
        <f t="shared" si="1"/>
        <v>0</v>
      </c>
      <c r="C103" s="26"/>
      <c r="D103" s="37"/>
      <c r="E103" s="26"/>
      <c r="F103" s="26"/>
    </row>
    <row r="104" spans="1:6" x14ac:dyDescent="0.2">
      <c r="A104" s="26"/>
      <c r="B104" s="50">
        <f t="shared" si="1"/>
        <v>0</v>
      </c>
      <c r="C104" s="26"/>
      <c r="D104" s="37"/>
      <c r="E104" s="26"/>
      <c r="F104" s="26"/>
    </row>
    <row r="105" spans="1:6" x14ac:dyDescent="0.2">
      <c r="A105" s="26"/>
      <c r="B105" s="50">
        <f t="shared" si="1"/>
        <v>0</v>
      </c>
      <c r="C105" s="26"/>
      <c r="D105" s="37"/>
      <c r="E105" s="26"/>
      <c r="F105" s="26"/>
    </row>
    <row r="106" spans="1:6" x14ac:dyDescent="0.2">
      <c r="A106" s="26"/>
      <c r="B106" s="50">
        <f t="shared" si="1"/>
        <v>0</v>
      </c>
      <c r="C106" s="26"/>
      <c r="D106" s="37"/>
      <c r="E106" s="26"/>
      <c r="F106" s="26"/>
    </row>
    <row r="107" spans="1:6" x14ac:dyDescent="0.2">
      <c r="A107" s="26"/>
      <c r="B107" s="50">
        <f t="shared" si="1"/>
        <v>0</v>
      </c>
      <c r="C107" s="26"/>
      <c r="D107" s="37"/>
      <c r="E107" s="26"/>
      <c r="F107" s="26"/>
    </row>
    <row r="108" spans="1:6" x14ac:dyDescent="0.2">
      <c r="A108" s="26"/>
      <c r="B108" s="50">
        <f t="shared" si="1"/>
        <v>0</v>
      </c>
      <c r="C108" s="26"/>
      <c r="D108" s="37"/>
      <c r="E108" s="26"/>
      <c r="F108" s="26"/>
    </row>
    <row r="109" spans="1:6" x14ac:dyDescent="0.2">
      <c r="A109" s="26"/>
      <c r="B109" s="50">
        <f t="shared" si="1"/>
        <v>0</v>
      </c>
      <c r="C109" s="26"/>
      <c r="D109" s="37"/>
      <c r="E109" s="26"/>
      <c r="F109" s="26"/>
    </row>
    <row r="110" spans="1:6" x14ac:dyDescent="0.2">
      <c r="A110" s="26"/>
      <c r="B110" s="50">
        <f t="shared" si="1"/>
        <v>0</v>
      </c>
      <c r="C110" s="26"/>
      <c r="D110" s="37"/>
      <c r="E110" s="26"/>
      <c r="F110" s="26"/>
    </row>
    <row r="111" spans="1:6" x14ac:dyDescent="0.2">
      <c r="A111" s="26"/>
      <c r="B111" s="50">
        <f t="shared" si="1"/>
        <v>0</v>
      </c>
      <c r="C111" s="26"/>
      <c r="D111" s="37"/>
      <c r="E111" s="26"/>
      <c r="F111" s="26"/>
    </row>
    <row r="112" spans="1:6" x14ac:dyDescent="0.2">
      <c r="A112" s="26"/>
      <c r="B112" s="50">
        <f t="shared" si="1"/>
        <v>0</v>
      </c>
      <c r="C112" s="26"/>
      <c r="D112" s="37"/>
      <c r="E112" s="26"/>
      <c r="F112" s="26"/>
    </row>
    <row r="113" spans="1:6" x14ac:dyDescent="0.2">
      <c r="A113" s="26"/>
      <c r="B113" s="50">
        <f t="shared" si="1"/>
        <v>0</v>
      </c>
      <c r="C113" s="26"/>
      <c r="D113" s="37"/>
      <c r="E113" s="26"/>
      <c r="F113" s="26"/>
    </row>
    <row r="114" spans="1:6" x14ac:dyDescent="0.2">
      <c r="A114" s="26"/>
      <c r="B114" s="50">
        <f t="shared" si="1"/>
        <v>0</v>
      </c>
      <c r="C114" s="26"/>
      <c r="D114" s="37"/>
      <c r="E114" s="26"/>
      <c r="F114" s="26"/>
    </row>
    <row r="115" spans="1:6" x14ac:dyDescent="0.2">
      <c r="A115" s="26"/>
      <c r="B115" s="50">
        <f t="shared" si="1"/>
        <v>0</v>
      </c>
      <c r="C115" s="26"/>
      <c r="D115" s="37"/>
      <c r="E115" s="26"/>
      <c r="F115" s="26"/>
    </row>
    <row r="116" spans="1:6" x14ac:dyDescent="0.2">
      <c r="A116" s="44" t="s">
        <v>54</v>
      </c>
      <c r="B116" s="44"/>
      <c r="C116" s="47"/>
      <c r="D116" s="77">
        <f>SUM(D91:D115)</f>
        <v>0</v>
      </c>
      <c r="E116" s="26"/>
      <c r="F116" s="26"/>
    </row>
    <row r="117" spans="1:6" x14ac:dyDescent="0.2">
      <c r="A117" s="26"/>
      <c r="B117" s="26"/>
      <c r="C117" s="26"/>
      <c r="D117" s="26"/>
      <c r="E117" s="26"/>
      <c r="F117" s="26"/>
    </row>
    <row r="118" spans="1:6" x14ac:dyDescent="0.2">
      <c r="A118" s="352" t="str">
        <f>CONCATENATE("Total Tax Levied (",C5-2," budget column)")</f>
        <v>Total Tax Levied (2023 budget column)</v>
      </c>
      <c r="B118" s="353"/>
      <c r="C118" s="44"/>
      <c r="D118" s="44"/>
      <c r="E118" s="47"/>
      <c r="F118" s="42"/>
    </row>
    <row r="119" spans="1:6" x14ac:dyDescent="0.2">
      <c r="A119" s="352" t="str">
        <f>CONCATENATE("Assessed Valuation  (",C5-2," budget column)")</f>
        <v>Assessed Valuation  (2023 budget column)</v>
      </c>
      <c r="B119" s="353"/>
      <c r="C119" s="51"/>
      <c r="D119" s="51"/>
      <c r="E119" s="45"/>
      <c r="F119" s="42"/>
    </row>
    <row r="120" spans="1:6" x14ac:dyDescent="0.2">
      <c r="A120" s="25"/>
      <c r="B120" s="26"/>
      <c r="C120" s="26"/>
      <c r="D120" s="26"/>
      <c r="E120" s="26"/>
      <c r="F120" s="52"/>
    </row>
    <row r="121" spans="1:6" x14ac:dyDescent="0.2">
      <c r="A121" s="354" t="str">
        <f>CONCATENATE("From the ",C5-1," Budget, Budget Summary Page:")</f>
        <v>From the 2024 Budget, Budget Summary Page:</v>
      </c>
      <c r="B121" s="355"/>
      <c r="C121" s="26"/>
      <c r="D121" s="26"/>
      <c r="E121" s="26"/>
      <c r="F121" s="26"/>
    </row>
    <row r="122" spans="1:6" x14ac:dyDescent="0.2">
      <c r="A122" s="356" t="s">
        <v>0</v>
      </c>
      <c r="B122" s="357"/>
      <c r="C122" s="53"/>
      <c r="D122" s="54">
        <f>C5-3</f>
        <v>2022</v>
      </c>
      <c r="E122" s="55">
        <f>C5-2</f>
        <v>2023</v>
      </c>
      <c r="F122" s="26"/>
    </row>
    <row r="123" spans="1:6" x14ac:dyDescent="0.2">
      <c r="A123" s="358" t="s">
        <v>1</v>
      </c>
      <c r="B123" s="359"/>
      <c r="C123" s="53"/>
      <c r="D123" s="36"/>
      <c r="E123" s="36"/>
      <c r="F123" s="26"/>
    </row>
    <row r="124" spans="1:6" s="56" customFormat="1" x14ac:dyDescent="0.2">
      <c r="A124" s="360" t="s">
        <v>2</v>
      </c>
      <c r="B124" s="361"/>
      <c r="C124" s="53"/>
      <c r="D124" s="36"/>
      <c r="E124" s="36"/>
      <c r="F124" s="53"/>
    </row>
    <row r="125" spans="1:6" s="56" customFormat="1" x14ac:dyDescent="0.2">
      <c r="A125" s="360" t="s">
        <v>3</v>
      </c>
      <c r="B125" s="361"/>
      <c r="C125" s="53"/>
      <c r="D125" s="36"/>
      <c r="E125" s="36"/>
      <c r="F125" s="53"/>
    </row>
    <row r="126" spans="1:6" s="56" customFormat="1" x14ac:dyDescent="0.2">
      <c r="A126" s="360" t="s">
        <v>4</v>
      </c>
      <c r="B126" s="361"/>
      <c r="C126" s="53"/>
      <c r="D126" s="36"/>
      <c r="E126" s="36"/>
      <c r="F126" s="53"/>
    </row>
    <row r="127" spans="1:6" s="56" customFormat="1" x14ac:dyDescent="0.2"/>
  </sheetData>
  <sheetProtection sheet="1" objects="1" scenarios="1"/>
  <mergeCells count="6">
    <mergeCell ref="D89:D90"/>
    <mergeCell ref="A10:F10"/>
    <mergeCell ref="A1:F1"/>
    <mergeCell ref="A7:E9"/>
    <mergeCell ref="H7:I13"/>
    <mergeCell ref="C3:E3"/>
  </mergeCells>
  <phoneticPr fontId="0" type="noConversion"/>
  <pageMargins left="0.5" right="0.5" top="1" bottom="0.5" header="0.5" footer="0.25"/>
  <pageSetup scale="96" fitToHeight="3" orientation="portrait" blackAndWhite="1" horizontalDpi="120" verticalDpi="144"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5">
    <tabColor rgb="FF00B0F0"/>
    <pageSetUpPr fitToPage="1"/>
  </sheetPr>
  <dimension ref="B1:K101"/>
  <sheetViews>
    <sheetView zoomScaleNormal="100" workbookViewId="0">
      <selection activeCell="C32" sqref="C32:E32"/>
    </sheetView>
  </sheetViews>
  <sheetFormatPr defaultRowHeight="15.75" x14ac:dyDescent="0.2"/>
  <cols>
    <col min="1" max="1" width="2.44140625" style="23" customWidth="1"/>
    <col min="2" max="2" width="31.109375" style="23" customWidth="1"/>
    <col min="3" max="4" width="15.77734375" style="23" customWidth="1"/>
    <col min="5" max="5" width="16.21875" style="23" customWidth="1"/>
    <col min="6" max="6" width="7.44140625" style="23" customWidth="1"/>
    <col min="7" max="7" width="10.21875" style="23" customWidth="1"/>
    <col min="8" max="8" width="8.88671875" style="23"/>
    <col min="9" max="9" width="5.77734375" style="23" customWidth="1"/>
    <col min="10" max="10" width="10" style="23" customWidth="1"/>
    <col min="11" max="16384" width="8.88671875" style="23"/>
  </cols>
  <sheetData>
    <row r="1" spans="2:10" x14ac:dyDescent="0.2">
      <c r="B1" s="57">
        <f>(inputPrYr!C3)</f>
        <v>0</v>
      </c>
      <c r="C1" s="26"/>
      <c r="D1" s="26"/>
      <c r="E1" s="125">
        <f>inputPrYr!C5</f>
        <v>2025</v>
      </c>
    </row>
    <row r="2" spans="2:10" x14ac:dyDescent="0.2">
      <c r="B2" s="26"/>
      <c r="C2" s="26"/>
      <c r="D2" s="26"/>
      <c r="E2" s="90"/>
    </row>
    <row r="3" spans="2:10" x14ac:dyDescent="0.2">
      <c r="B3" s="64" t="s">
        <v>185</v>
      </c>
      <c r="C3" s="161"/>
      <c r="D3" s="161"/>
      <c r="E3" s="162"/>
    </row>
    <row r="4" spans="2:10" x14ac:dyDescent="0.2">
      <c r="B4" s="25" t="s">
        <v>80</v>
      </c>
      <c r="C4" s="339" t="s">
        <v>319</v>
      </c>
      <c r="D4" s="340" t="s">
        <v>320</v>
      </c>
      <c r="E4" s="80" t="s">
        <v>321</v>
      </c>
    </row>
    <row r="5" spans="2:10" x14ac:dyDescent="0.2">
      <c r="B5" s="248">
        <f>inputPrYr!B24</f>
        <v>0</v>
      </c>
      <c r="C5" s="231" t="str">
        <f>CONCATENATE("Actual for ",E1-2,"")</f>
        <v>Actual for 2023</v>
      </c>
      <c r="D5" s="231" t="str">
        <f>CONCATENATE("Estimate for ",E1-1,"")</f>
        <v>Estimate for 2024</v>
      </c>
      <c r="E5" s="136" t="str">
        <f>CONCATENATE("Year for ",E1,"")</f>
        <v>Year for 2025</v>
      </c>
    </row>
    <row r="6" spans="2:10" x14ac:dyDescent="0.2">
      <c r="B6" s="60" t="s">
        <v>195</v>
      </c>
      <c r="C6" s="229"/>
      <c r="D6" s="232">
        <f>C35</f>
        <v>0</v>
      </c>
      <c r="E6" s="106">
        <f>D35</f>
        <v>0</v>
      </c>
    </row>
    <row r="7" spans="2:10" x14ac:dyDescent="0.2">
      <c r="B7" s="128" t="s">
        <v>197</v>
      </c>
      <c r="C7" s="139"/>
      <c r="D7" s="139"/>
      <c r="E7" s="50"/>
    </row>
    <row r="8" spans="2:10" x14ac:dyDescent="0.2">
      <c r="B8" s="60" t="s">
        <v>81</v>
      </c>
      <c r="C8" s="229"/>
      <c r="D8" s="232">
        <f>IF(inputPrYr!H24&gt;0,inputPrYr!H24,inputPrYr!E24)</f>
        <v>0</v>
      </c>
      <c r="E8" s="165" t="s">
        <v>66</v>
      </c>
    </row>
    <row r="9" spans="2:10" x14ac:dyDescent="0.2">
      <c r="B9" s="60" t="s">
        <v>82</v>
      </c>
      <c r="C9" s="229"/>
      <c r="D9" s="229"/>
      <c r="E9" s="42"/>
      <c r="G9" s="646" t="str">
        <f>CONCATENATE("Desired Carryover Into ",E1+1,"")</f>
        <v>Desired Carryover Into 2026</v>
      </c>
      <c r="H9" s="647"/>
      <c r="I9" s="647"/>
      <c r="J9" s="648"/>
    </row>
    <row r="10" spans="2:10" x14ac:dyDescent="0.2">
      <c r="B10" s="60" t="s">
        <v>83</v>
      </c>
      <c r="C10" s="229"/>
      <c r="D10" s="229"/>
      <c r="E10" s="106" t="str">
        <f>Mvalloc!D14</f>
        <v xml:space="preserve">  </v>
      </c>
      <c r="G10" s="298"/>
      <c r="H10" s="299"/>
      <c r="I10" s="300"/>
      <c r="J10" s="301"/>
    </row>
    <row r="11" spans="2:10" x14ac:dyDescent="0.2">
      <c r="B11" s="60" t="s">
        <v>84</v>
      </c>
      <c r="C11" s="229"/>
      <c r="D11" s="229"/>
      <c r="E11" s="106" t="str">
        <f>Mvalloc!E14</f>
        <v xml:space="preserve">  </v>
      </c>
      <c r="G11" s="302" t="s">
        <v>297</v>
      </c>
      <c r="H11" s="300"/>
      <c r="I11" s="300"/>
      <c r="J11" s="303">
        <v>0</v>
      </c>
    </row>
    <row r="12" spans="2:10" x14ac:dyDescent="0.2">
      <c r="B12" s="139" t="s">
        <v>176</v>
      </c>
      <c r="C12" s="229"/>
      <c r="D12" s="229"/>
      <c r="E12" s="106" t="str">
        <f>Mvalloc!F14</f>
        <v xml:space="preserve">  </v>
      </c>
      <c r="G12" s="298" t="s">
        <v>298</v>
      </c>
      <c r="H12" s="299"/>
      <c r="I12" s="299"/>
      <c r="J12" s="304" t="str">
        <f>IF(J11=0,"",ROUND((J11+E41-G24)/inputOth!E6*1000,3)-G29)</f>
        <v/>
      </c>
    </row>
    <row r="13" spans="2:10" x14ac:dyDescent="0.2">
      <c r="B13" s="137" t="s">
        <v>348</v>
      </c>
      <c r="C13" s="229"/>
      <c r="D13" s="229"/>
      <c r="E13" s="106" t="str">
        <f>Mvalloc!G14</f>
        <v xml:space="preserve">  </v>
      </c>
      <c r="G13" s="305" t="str">
        <f>CONCATENATE("",E1," Tot Exp/Non-Appr Must Be:")</f>
        <v>2025 Tot Exp/Non-Appr Must Be:</v>
      </c>
      <c r="H13" s="306"/>
      <c r="I13" s="307"/>
      <c r="J13" s="308">
        <f>IF(J11&gt;0,IF(E38&lt;E23,IF(J11=G24,E38,((J11-G24)*(1-D40))+E23),E38+(J11-G24)),0)</f>
        <v>0</v>
      </c>
    </row>
    <row r="14" spans="2:10" x14ac:dyDescent="0.2">
      <c r="B14" s="137" t="s">
        <v>349</v>
      </c>
      <c r="C14" s="229"/>
      <c r="D14" s="229"/>
      <c r="E14" s="106" t="str">
        <f>Mvalloc!H14</f>
        <v xml:space="preserve">  </v>
      </c>
      <c r="G14" s="309" t="s">
        <v>318</v>
      </c>
      <c r="H14" s="310"/>
      <c r="I14" s="310"/>
      <c r="J14" s="311">
        <f>IF(J11&gt;0,J13-E38,0)</f>
        <v>0</v>
      </c>
    </row>
    <row r="15" spans="2:10" x14ac:dyDescent="0.25">
      <c r="B15" s="150"/>
      <c r="C15" s="229"/>
      <c r="D15" s="229"/>
      <c r="E15" s="42"/>
      <c r="G15" s="1"/>
      <c r="H15" s="1"/>
      <c r="I15" s="1"/>
      <c r="J15" s="1"/>
    </row>
    <row r="16" spans="2:10" x14ac:dyDescent="0.2">
      <c r="B16" s="150"/>
      <c r="C16" s="229"/>
      <c r="D16" s="229"/>
      <c r="E16" s="42"/>
      <c r="G16" s="646" t="str">
        <f>CONCATENATE("Projected Carryover Into ",E1+1,"")</f>
        <v>Projected Carryover Into 2026</v>
      </c>
      <c r="H16" s="666"/>
      <c r="I16" s="666"/>
      <c r="J16" s="667"/>
    </row>
    <row r="17" spans="2:11" x14ac:dyDescent="0.2">
      <c r="B17" s="150"/>
      <c r="C17" s="229"/>
      <c r="D17" s="229"/>
      <c r="E17" s="42"/>
      <c r="G17" s="298"/>
      <c r="H17" s="300"/>
      <c r="I17" s="300"/>
      <c r="J17" s="317"/>
    </row>
    <row r="18" spans="2:11" x14ac:dyDescent="0.2">
      <c r="B18" s="142" t="s">
        <v>88</v>
      </c>
      <c r="C18" s="229"/>
      <c r="D18" s="229"/>
      <c r="E18" s="42"/>
      <c r="G18" s="318">
        <f>D35</f>
        <v>0</v>
      </c>
      <c r="H18" s="316" t="str">
        <f>CONCATENATE("",E1-1," Ending Cash Balance (est.)")</f>
        <v>2024 Ending Cash Balance (est.)</v>
      </c>
      <c r="I18" s="319"/>
      <c r="J18" s="317"/>
    </row>
    <row r="19" spans="2:11" x14ac:dyDescent="0.2">
      <c r="B19" s="143" t="s">
        <v>40</v>
      </c>
      <c r="C19" s="229"/>
      <c r="D19" s="229"/>
      <c r="E19" s="106">
        <f>'NR Rebate'!E13*-1</f>
        <v>0</v>
      </c>
      <c r="G19" s="318">
        <f>E22</f>
        <v>0</v>
      </c>
      <c r="H19" s="300" t="str">
        <f>CONCATENATE("",E1," Non-AV Receipts (est.)")</f>
        <v>2025 Non-AV Receipts (est.)</v>
      </c>
      <c r="I19" s="319"/>
      <c r="J19" s="317"/>
    </row>
    <row r="20" spans="2:11" x14ac:dyDescent="0.2">
      <c r="B20" s="143" t="s">
        <v>38</v>
      </c>
      <c r="C20" s="229"/>
      <c r="D20" s="229"/>
      <c r="E20" s="42"/>
      <c r="G20" s="320">
        <f>IF(E40&gt;0,E39,E41)</f>
        <v>0</v>
      </c>
      <c r="H20" s="300" t="str">
        <f>CONCATENATE("",E1," Ad Valorem Tax (est.)")</f>
        <v>2025 Ad Valorem Tax (est.)</v>
      </c>
      <c r="I20" s="319"/>
      <c r="J20" s="317"/>
      <c r="K20" s="314" t="str">
        <f>IF(G20=E41,"","Note: Does not include Delinquent Taxes")</f>
        <v/>
      </c>
    </row>
    <row r="21" spans="2:11" x14ac:dyDescent="0.2">
      <c r="B21" s="143" t="s">
        <v>291</v>
      </c>
      <c r="C21" s="230" t="str">
        <f>IF(C22*0.1&lt;C20,"Exceed 10% Rule","")</f>
        <v/>
      </c>
      <c r="D21" s="230" t="str">
        <f>IF(D22*0.1&lt;D20,"Exceed 10% Rule","")</f>
        <v/>
      </c>
      <c r="E21" s="170" t="str">
        <f>IF(E22*0.1+E41&lt;E20,"Exceed 10% Rule","")</f>
        <v/>
      </c>
      <c r="G21" s="318">
        <f>SUM(G18:G20)</f>
        <v>0</v>
      </c>
      <c r="H21" s="300" t="str">
        <f>CONCATENATE("Total ",E1," Resources Available")</f>
        <v>Total 2025 Resources Available</v>
      </c>
      <c r="I21" s="319"/>
      <c r="J21" s="317"/>
    </row>
    <row r="22" spans="2:11" x14ac:dyDescent="0.2">
      <c r="B22" s="145" t="s">
        <v>89</v>
      </c>
      <c r="C22" s="463">
        <f>SUM(C8:C20)</f>
        <v>0</v>
      </c>
      <c r="D22" s="463">
        <f>SUM(D8:D20)</f>
        <v>0</v>
      </c>
      <c r="E22" s="463">
        <f>SUM(E8:E20)</f>
        <v>0</v>
      </c>
      <c r="G22" s="321"/>
      <c r="H22" s="300"/>
      <c r="I22" s="300"/>
      <c r="J22" s="317"/>
    </row>
    <row r="23" spans="2:11" x14ac:dyDescent="0.25">
      <c r="B23" s="145" t="s">
        <v>90</v>
      </c>
      <c r="C23" s="463">
        <f>C6+C22</f>
        <v>0</v>
      </c>
      <c r="D23" s="463">
        <f>D6+D22</f>
        <v>0</v>
      </c>
      <c r="E23" s="463">
        <f>E6+E22</f>
        <v>0</v>
      </c>
      <c r="G23" s="320">
        <f>ROUND(C34*0.05+C34,0)</f>
        <v>0</v>
      </c>
      <c r="H23" s="300" t="str">
        <f>CONCATENATE("Less ",E1-2," Expenditures + 5%")</f>
        <v>Less 2023 Expenditures + 5%</v>
      </c>
      <c r="I23" s="319"/>
      <c r="J23" s="322"/>
    </row>
    <row r="24" spans="2:11" x14ac:dyDescent="0.2">
      <c r="B24" s="60" t="s">
        <v>93</v>
      </c>
      <c r="C24" s="143"/>
      <c r="D24" s="143"/>
      <c r="E24" s="38"/>
      <c r="G24" s="323">
        <f>G21-G23</f>
        <v>0</v>
      </c>
      <c r="H24" s="324" t="str">
        <f>CONCATENATE("Projected ",E1+1," carryover (est.)")</f>
        <v>Projected 2026 carryover (est.)</v>
      </c>
      <c r="I24" s="325"/>
      <c r="J24" s="326"/>
    </row>
    <row r="25" spans="2:11" x14ac:dyDescent="0.25">
      <c r="B25" s="150"/>
      <c r="C25" s="229"/>
      <c r="D25" s="229"/>
      <c r="E25" s="42"/>
      <c r="G25" s="1"/>
      <c r="H25" s="1"/>
      <c r="I25" s="1"/>
      <c r="J25" s="1"/>
    </row>
    <row r="26" spans="2:11" x14ac:dyDescent="0.2">
      <c r="B26" s="150"/>
      <c r="C26" s="229"/>
      <c r="D26" s="229"/>
      <c r="E26" s="42"/>
      <c r="G26" s="649" t="s">
        <v>558</v>
      </c>
      <c r="H26" s="650"/>
      <c r="I26" s="650"/>
      <c r="J26" s="651"/>
    </row>
    <row r="27" spans="2:11" x14ac:dyDescent="0.2">
      <c r="B27" s="150"/>
      <c r="C27" s="229"/>
      <c r="D27" s="229"/>
      <c r="E27" s="42"/>
      <c r="G27" s="652"/>
      <c r="H27" s="653"/>
      <c r="I27" s="653"/>
      <c r="J27" s="654"/>
    </row>
    <row r="28" spans="2:11" x14ac:dyDescent="0.2">
      <c r="B28" s="150"/>
      <c r="C28" s="229"/>
      <c r="D28" s="229"/>
      <c r="E28" s="42"/>
      <c r="G28" s="509" t="str">
        <f>'Budget Hearing Notice'!H23</f>
        <v xml:space="preserve">  </v>
      </c>
      <c r="H28" s="316" t="str">
        <f>CONCATENATE("",E1," Estimated Fund Mill Rate")</f>
        <v>2025 Estimated Fund Mill Rate</v>
      </c>
      <c r="I28" s="510"/>
      <c r="J28" s="511"/>
    </row>
    <row r="29" spans="2:11" x14ac:dyDescent="0.2">
      <c r="B29" s="150"/>
      <c r="C29" s="229"/>
      <c r="D29" s="229"/>
      <c r="E29" s="42"/>
      <c r="G29" s="512" t="str">
        <f>'Budget Hearing Notice'!E23</f>
        <v xml:space="preserve">  </v>
      </c>
      <c r="H29" s="316" t="str">
        <f>CONCATENATE("",E1-1," Fund Mill Rate")</f>
        <v>2024 Fund Mill Rate</v>
      </c>
      <c r="I29" s="510"/>
      <c r="J29" s="511"/>
    </row>
    <row r="30" spans="2:11" x14ac:dyDescent="0.2">
      <c r="B30" s="150"/>
      <c r="C30" s="229"/>
      <c r="D30" s="229"/>
      <c r="E30" s="42"/>
      <c r="G30" s="513">
        <f>'Budget Hearing Notice'!H62</f>
        <v>0</v>
      </c>
      <c r="H30" s="514" t="s">
        <v>559</v>
      </c>
      <c r="I30" s="510"/>
      <c r="J30" s="511"/>
    </row>
    <row r="31" spans="2:11" x14ac:dyDescent="0.2">
      <c r="B31" s="143" t="str">
        <f>CONCATENATE("Cash Reserve (",E1," column)")</f>
        <v>Cash Reserve (2025 column)</v>
      </c>
      <c r="C31" s="229"/>
      <c r="D31" s="229"/>
      <c r="E31" s="42"/>
      <c r="G31" s="509">
        <f>'Budget Hearing Notice'!H61</f>
        <v>0</v>
      </c>
      <c r="H31" s="316" t="str">
        <f>CONCATENATE(E1," Estimated Total Mill Rate")</f>
        <v>2025 Estimated Total Mill Rate</v>
      </c>
      <c r="I31" s="510"/>
      <c r="J31" s="511"/>
    </row>
    <row r="32" spans="2:11" x14ac:dyDescent="0.2">
      <c r="B32" s="143" t="s">
        <v>38</v>
      </c>
      <c r="C32" s="229"/>
      <c r="D32" s="229"/>
      <c r="E32" s="42"/>
      <c r="G32" s="515">
        <f>'Budget Hearing Notice'!E61</f>
        <v>0</v>
      </c>
      <c r="H32" s="316" t="str">
        <f>CONCATENATE(E1-1," Total Mill Rate")</f>
        <v>2024 Total Mill Rate</v>
      </c>
      <c r="I32" s="510"/>
      <c r="J32" s="511"/>
    </row>
    <row r="33" spans="2:10" x14ac:dyDescent="0.2">
      <c r="B33" s="143" t="s">
        <v>290</v>
      </c>
      <c r="C33" s="230" t="str">
        <f>IF(C34*0.1&lt;C32,"Exceed 10% Rule","")</f>
        <v/>
      </c>
      <c r="D33" s="230" t="str">
        <f>IF(D34*0.1&lt;D32,"Exceed 10% Rule","")</f>
        <v/>
      </c>
      <c r="E33" s="170" t="str">
        <f>IF(E34*0.1&lt;E32,"Exceed 10% Rule","")</f>
        <v/>
      </c>
      <c r="G33" s="327"/>
      <c r="H33" s="299"/>
      <c r="I33" s="299"/>
      <c r="J33" s="329"/>
    </row>
    <row r="34" spans="2:10" x14ac:dyDescent="0.2">
      <c r="B34" s="145" t="s">
        <v>94</v>
      </c>
      <c r="C34" s="463">
        <f>SUM(C25:C32)</f>
        <v>0</v>
      </c>
      <c r="D34" s="463">
        <f>SUM(D25:D32)</f>
        <v>0</v>
      </c>
      <c r="E34" s="463">
        <f>SUM(E25:E32)</f>
        <v>0</v>
      </c>
      <c r="G34" s="655" t="s">
        <v>560</v>
      </c>
      <c r="H34" s="656"/>
      <c r="I34" s="656"/>
      <c r="J34" s="659" t="str">
        <f>IF(G31&gt;G30, "Yes", "No")</f>
        <v>No</v>
      </c>
    </row>
    <row r="35" spans="2:10" x14ac:dyDescent="0.2">
      <c r="B35" s="60" t="s">
        <v>196</v>
      </c>
      <c r="C35" s="106">
        <f>C23-C34</f>
        <v>0</v>
      </c>
      <c r="D35" s="106">
        <f>D23-D34</f>
        <v>0</v>
      </c>
      <c r="E35" s="165" t="s">
        <v>66</v>
      </c>
      <c r="G35" s="657"/>
      <c r="H35" s="658"/>
      <c r="I35" s="658"/>
      <c r="J35" s="660"/>
    </row>
    <row r="36" spans="2:10" x14ac:dyDescent="0.2">
      <c r="B36" s="135" t="str">
        <f>CONCATENATE("",E1-2,"/",E1-1,"/",E1," Budget Authority Amount:")</f>
        <v>2023/2024/2025 Budget Authority Amount:</v>
      </c>
      <c r="C36" s="167">
        <f>inputOth!B40</f>
        <v>0</v>
      </c>
      <c r="D36" s="167">
        <f>inputPrYr!D24</f>
        <v>0</v>
      </c>
      <c r="E36" s="106">
        <f>E34</f>
        <v>0</v>
      </c>
      <c r="G36" s="661" t="str">
        <f>IF(J34="Yes", "Follow procedure prescribed by KSA 79-2988 to exceed the Revenue Neutral Rate.", " ")</f>
        <v xml:space="preserve"> </v>
      </c>
      <c r="H36" s="661"/>
      <c r="I36" s="661"/>
      <c r="J36" s="661"/>
    </row>
    <row r="37" spans="2:10" x14ac:dyDescent="0.2">
      <c r="B37" s="125"/>
      <c r="C37" s="636" t="s">
        <v>294</v>
      </c>
      <c r="D37" s="637"/>
      <c r="E37" s="42"/>
      <c r="F37" s="151"/>
      <c r="G37" s="662"/>
      <c r="H37" s="662"/>
      <c r="I37" s="662"/>
      <c r="J37" s="662"/>
    </row>
    <row r="38" spans="2:10" x14ac:dyDescent="0.2">
      <c r="B38" s="266" t="str">
        <f>CONCATENATE(C98,"     ",D98)</f>
        <v xml:space="preserve">     </v>
      </c>
      <c r="C38" s="638" t="s">
        <v>295</v>
      </c>
      <c r="D38" s="639"/>
      <c r="E38" s="106">
        <f>E34+E37</f>
        <v>0</v>
      </c>
      <c r="F38" s="238" t="str">
        <f>IF(E34/0.95-E34&lt;E37,"Exceeds 5%","")</f>
        <v/>
      </c>
      <c r="G38" s="662"/>
      <c r="H38" s="662"/>
      <c r="I38" s="662"/>
      <c r="J38" s="662"/>
    </row>
    <row r="39" spans="2:10" x14ac:dyDescent="0.25">
      <c r="B39" s="266" t="str">
        <f>CONCATENATE(C99,"     ",D99)</f>
        <v xml:space="preserve">     </v>
      </c>
      <c r="C39" s="152"/>
      <c r="D39" s="90" t="s">
        <v>95</v>
      </c>
      <c r="E39" s="106">
        <f>IF(E38-E23&gt;0,E38-E23,0)</f>
        <v>0</v>
      </c>
      <c r="G39" s="1"/>
      <c r="H39" s="1"/>
      <c r="I39" s="1"/>
      <c r="J39" s="1"/>
    </row>
    <row r="40" spans="2:10" x14ac:dyDescent="0.25">
      <c r="B40" s="90"/>
      <c r="C40" s="265" t="s">
        <v>296</v>
      </c>
      <c r="D40" s="297">
        <f>inputOth!$E$26</f>
        <v>0</v>
      </c>
      <c r="E40" s="106">
        <f>ROUND(IF(D40&gt;0,($E$39*D40),0),0)</f>
        <v>0</v>
      </c>
      <c r="G40" s="1"/>
      <c r="H40" s="1"/>
      <c r="I40" s="1"/>
      <c r="J40" s="1"/>
    </row>
    <row r="41" spans="2:10" x14ac:dyDescent="0.25">
      <c r="B41" s="26"/>
      <c r="C41" s="644" t="str">
        <f>CONCATENATE("Amount of  ",$E$1-1," Ad Valorem Tax")</f>
        <v>Amount of  2024 Ad Valorem Tax</v>
      </c>
      <c r="D41" s="663"/>
      <c r="E41" s="106">
        <f>E39+E40</f>
        <v>0</v>
      </c>
      <c r="G41" s="1"/>
      <c r="H41" s="1"/>
      <c r="I41" s="1"/>
      <c r="J41" s="1"/>
    </row>
    <row r="42" spans="2:10" x14ac:dyDescent="0.25">
      <c r="B42" s="26"/>
      <c r="C42" s="155"/>
      <c r="D42" s="155"/>
      <c r="E42" s="155"/>
      <c r="G42" s="1"/>
      <c r="H42" s="1"/>
      <c r="I42" s="1"/>
      <c r="J42" s="1"/>
    </row>
    <row r="43" spans="2:10" x14ac:dyDescent="0.25">
      <c r="B43" s="25" t="s">
        <v>80</v>
      </c>
      <c r="C43" s="339" t="str">
        <f t="shared" ref="C43:E44" si="0">C4</f>
        <v xml:space="preserve">Prior Year </v>
      </c>
      <c r="D43" s="340" t="str">
        <f t="shared" si="0"/>
        <v xml:space="preserve">Current Year </v>
      </c>
      <c r="E43" s="80" t="str">
        <f t="shared" si="0"/>
        <v xml:space="preserve">Proposed Budget </v>
      </c>
      <c r="G43" s="1"/>
      <c r="H43" s="1"/>
      <c r="I43" s="1"/>
      <c r="J43" s="1"/>
    </row>
    <row r="44" spans="2:10" x14ac:dyDescent="0.25">
      <c r="B44" s="248">
        <f>inputPrYr!B25</f>
        <v>0</v>
      </c>
      <c r="C44" s="231" t="str">
        <f t="shared" si="0"/>
        <v>Actual for 2023</v>
      </c>
      <c r="D44" s="231" t="str">
        <f t="shared" si="0"/>
        <v>Estimate for 2024</v>
      </c>
      <c r="E44" s="104" t="str">
        <f t="shared" si="0"/>
        <v>Year for 2025</v>
      </c>
      <c r="G44" s="1"/>
      <c r="H44" s="1"/>
      <c r="I44" s="1"/>
      <c r="J44" s="1"/>
    </row>
    <row r="45" spans="2:10" x14ac:dyDescent="0.25">
      <c r="B45" s="60" t="s">
        <v>195</v>
      </c>
      <c r="C45" s="229"/>
      <c r="D45" s="232">
        <f>C76</f>
        <v>0</v>
      </c>
      <c r="E45" s="106">
        <f>D76</f>
        <v>0</v>
      </c>
      <c r="G45" s="1"/>
      <c r="H45" s="1"/>
      <c r="I45" s="1"/>
      <c r="J45" s="1"/>
    </row>
    <row r="46" spans="2:10" x14ac:dyDescent="0.25">
      <c r="B46" s="128" t="s">
        <v>197</v>
      </c>
      <c r="C46" s="139"/>
      <c r="D46" s="139"/>
      <c r="E46" s="50"/>
      <c r="G46" s="1"/>
      <c r="H46" s="1"/>
      <c r="I46" s="1"/>
      <c r="J46" s="1"/>
    </row>
    <row r="47" spans="2:10" x14ac:dyDescent="0.25">
      <c r="B47" s="60" t="s">
        <v>81</v>
      </c>
      <c r="C47" s="229"/>
      <c r="D47" s="232">
        <f>IF(inputPrYr!H25&gt;0,inputPrYr!H25,inputPrYr!E25)</f>
        <v>0</v>
      </c>
      <c r="E47" s="165" t="s">
        <v>66</v>
      </c>
      <c r="G47" s="1"/>
      <c r="H47" s="1"/>
      <c r="I47" s="1"/>
      <c r="J47" s="1"/>
    </row>
    <row r="48" spans="2:10" x14ac:dyDescent="0.25">
      <c r="B48" s="60" t="s">
        <v>82</v>
      </c>
      <c r="C48" s="229"/>
      <c r="D48" s="229"/>
      <c r="E48" s="42"/>
      <c r="G48" s="1"/>
      <c r="H48" s="1"/>
      <c r="I48" s="1"/>
      <c r="J48" s="1"/>
    </row>
    <row r="49" spans="2:11" x14ac:dyDescent="0.25">
      <c r="B49" s="60" t="s">
        <v>83</v>
      </c>
      <c r="C49" s="229"/>
      <c r="D49" s="229"/>
      <c r="E49" s="106" t="str">
        <f>Mvalloc!D15</f>
        <v xml:space="preserve">  </v>
      </c>
      <c r="G49" s="1"/>
      <c r="H49" s="1"/>
      <c r="I49" s="1"/>
      <c r="J49" s="1"/>
    </row>
    <row r="50" spans="2:11" x14ac:dyDescent="0.25">
      <c r="B50" s="60" t="s">
        <v>84</v>
      </c>
      <c r="C50" s="229"/>
      <c r="D50" s="229"/>
      <c r="E50" s="106" t="str">
        <f>Mvalloc!E15</f>
        <v xml:space="preserve">  </v>
      </c>
      <c r="G50" s="1"/>
      <c r="H50" s="1"/>
      <c r="I50" s="1"/>
      <c r="J50" s="1"/>
    </row>
    <row r="51" spans="2:11" x14ac:dyDescent="0.2">
      <c r="B51" s="139" t="s">
        <v>176</v>
      </c>
      <c r="C51" s="229"/>
      <c r="D51" s="229"/>
      <c r="E51" s="106" t="str">
        <f>Mvalloc!F15</f>
        <v xml:space="preserve">  </v>
      </c>
      <c r="G51" s="646" t="str">
        <f>CONCATENATE("Desired Carryover Into ",E1+1,"")</f>
        <v>Desired Carryover Into 2026</v>
      </c>
      <c r="H51" s="647"/>
      <c r="I51" s="647"/>
      <c r="J51" s="648"/>
    </row>
    <row r="52" spans="2:11" x14ac:dyDescent="0.2">
      <c r="B52" s="137" t="s">
        <v>348</v>
      </c>
      <c r="C52" s="229"/>
      <c r="D52" s="229"/>
      <c r="E52" s="106" t="str">
        <f>Mvalloc!G15</f>
        <v xml:space="preserve">  </v>
      </c>
      <c r="G52" s="298"/>
      <c r="H52" s="299"/>
      <c r="I52" s="300"/>
      <c r="J52" s="301"/>
    </row>
    <row r="53" spans="2:11" x14ac:dyDescent="0.2">
      <c r="B53" s="137" t="s">
        <v>349</v>
      </c>
      <c r="C53" s="229"/>
      <c r="D53" s="229"/>
      <c r="E53" s="106" t="str">
        <f>Mvalloc!H15</f>
        <v xml:space="preserve">  </v>
      </c>
      <c r="G53" s="302" t="s">
        <v>297</v>
      </c>
      <c r="H53" s="300"/>
      <c r="I53" s="300"/>
      <c r="J53" s="303">
        <v>0</v>
      </c>
    </row>
    <row r="54" spans="2:11" x14ac:dyDescent="0.2">
      <c r="B54" s="150"/>
      <c r="C54" s="229"/>
      <c r="D54" s="229"/>
      <c r="E54" s="42"/>
      <c r="G54" s="298" t="s">
        <v>298</v>
      </c>
      <c r="H54" s="299"/>
      <c r="I54" s="299"/>
      <c r="J54" s="304" t="str">
        <f>IF(J53=0,"",ROUND((J53+E82-G66)/inputOth!E6*1000,3)-G71)</f>
        <v/>
      </c>
    </row>
    <row r="55" spans="2:11" x14ac:dyDescent="0.2">
      <c r="B55" s="150"/>
      <c r="C55" s="229"/>
      <c r="D55" s="229"/>
      <c r="E55" s="42"/>
      <c r="G55" s="305" t="str">
        <f>CONCATENATE("",E1," Tot Exp/Non-Appr Must Be:")</f>
        <v>2025 Tot Exp/Non-Appr Must Be:</v>
      </c>
      <c r="H55" s="306"/>
      <c r="I55" s="307"/>
      <c r="J55" s="308">
        <f>IF(J53&gt;0,IF(E79&lt;E64,IF(J53=G66,E79,((J53-G66)*(1-D81))+E64),E79+(J53-G66)),0)</f>
        <v>0</v>
      </c>
    </row>
    <row r="56" spans="2:11" x14ac:dyDescent="0.2">
      <c r="B56" s="150"/>
      <c r="C56" s="229"/>
      <c r="D56" s="229"/>
      <c r="E56" s="42"/>
      <c r="G56" s="309" t="s">
        <v>318</v>
      </c>
      <c r="H56" s="310"/>
      <c r="I56" s="310"/>
      <c r="J56" s="311">
        <f>IF(J53&gt;0,J55-E79,0)</f>
        <v>0</v>
      </c>
    </row>
    <row r="57" spans="2:11" x14ac:dyDescent="0.25">
      <c r="B57" s="150"/>
      <c r="C57" s="229"/>
      <c r="D57" s="229"/>
      <c r="E57" s="42"/>
      <c r="G57" s="1"/>
      <c r="H57" s="1"/>
      <c r="I57" s="1"/>
      <c r="J57" s="1"/>
    </row>
    <row r="58" spans="2:11" x14ac:dyDescent="0.2">
      <c r="B58" s="150"/>
      <c r="C58" s="229"/>
      <c r="D58" s="229"/>
      <c r="E58" s="42"/>
      <c r="G58" s="646" t="str">
        <f>CONCATENATE("Projected Carryover Into ",E1+1,"")</f>
        <v>Projected Carryover Into 2026</v>
      </c>
      <c r="H58" s="668"/>
      <c r="I58" s="668"/>
      <c r="J58" s="667"/>
    </row>
    <row r="59" spans="2:11" x14ac:dyDescent="0.25">
      <c r="B59" s="142" t="s">
        <v>88</v>
      </c>
      <c r="C59" s="229"/>
      <c r="D59" s="229"/>
      <c r="E59" s="42"/>
      <c r="G59" s="327"/>
      <c r="H59" s="299"/>
      <c r="I59" s="299"/>
      <c r="J59" s="322"/>
    </row>
    <row r="60" spans="2:11" x14ac:dyDescent="0.25">
      <c r="B60" s="143" t="s">
        <v>40</v>
      </c>
      <c r="C60" s="229"/>
      <c r="D60" s="229"/>
      <c r="E60" s="106">
        <f>'NR Rebate'!E14*-1</f>
        <v>0</v>
      </c>
      <c r="G60" s="318">
        <f>D76</f>
        <v>0</v>
      </c>
      <c r="H60" s="316" t="str">
        <f>CONCATENATE("",E1-1," Ending Cash Balance (est.)")</f>
        <v>2024 Ending Cash Balance (est.)</v>
      </c>
      <c r="I60" s="319"/>
      <c r="J60" s="322"/>
    </row>
    <row r="61" spans="2:11" x14ac:dyDescent="0.25">
      <c r="B61" s="143" t="s">
        <v>38</v>
      </c>
      <c r="C61" s="229"/>
      <c r="D61" s="229"/>
      <c r="E61" s="42"/>
      <c r="G61" s="318">
        <f>E63</f>
        <v>0</v>
      </c>
      <c r="H61" s="300" t="str">
        <f>CONCATENATE("",E1," Non-AV Receipts (est.)")</f>
        <v>2025 Non-AV Receipts (est.)</v>
      </c>
      <c r="I61" s="319"/>
      <c r="J61" s="322"/>
    </row>
    <row r="62" spans="2:11" x14ac:dyDescent="0.25">
      <c r="B62" s="143" t="s">
        <v>291</v>
      </c>
      <c r="C62" s="230" t="str">
        <f>IF(C63*0.1&lt;C61,"Exceed 10% Rule","")</f>
        <v/>
      </c>
      <c r="D62" s="230" t="str">
        <f>IF(D63*0.1&lt;D61,"Exceed 10% Rule","")</f>
        <v/>
      </c>
      <c r="E62" s="170" t="str">
        <f>IF(E63*0.1+E82&lt;E61,"Exceed 10% Rule","")</f>
        <v/>
      </c>
      <c r="G62" s="320">
        <f>IF(E81&gt;0,E80,E82)</f>
        <v>0</v>
      </c>
      <c r="H62" s="300" t="str">
        <f>CONCATENATE("",E1," Ad Valorem Tax (est.)")</f>
        <v>2025 Ad Valorem Tax (est.)</v>
      </c>
      <c r="I62" s="319"/>
      <c r="J62" s="322"/>
      <c r="K62" s="314" t="str">
        <f>IF(G62=E82,"","Note: Does not include Delinquent Taxes")</f>
        <v/>
      </c>
    </row>
    <row r="63" spans="2:11" x14ac:dyDescent="0.25">
      <c r="B63" s="145" t="s">
        <v>89</v>
      </c>
      <c r="C63" s="463">
        <f>SUM(C47:C61)</f>
        <v>0</v>
      </c>
      <c r="D63" s="463">
        <f>SUM(D47:D61)</f>
        <v>0</v>
      </c>
      <c r="E63" s="463">
        <f>SUM(E47:E61)</f>
        <v>0</v>
      </c>
      <c r="G63" s="328">
        <f>SUM(G60:G62)</f>
        <v>0</v>
      </c>
      <c r="H63" s="300" t="str">
        <f>CONCATENATE("Total ",E1," Resources Available")</f>
        <v>Total 2025 Resources Available</v>
      </c>
      <c r="I63" s="329"/>
      <c r="J63" s="322"/>
    </row>
    <row r="64" spans="2:11" x14ac:dyDescent="0.25">
      <c r="B64" s="145" t="s">
        <v>90</v>
      </c>
      <c r="C64" s="463">
        <f>C45+C63</f>
        <v>0</v>
      </c>
      <c r="D64" s="463">
        <f>D45+D63</f>
        <v>0</v>
      </c>
      <c r="E64" s="463">
        <f>E45+E63</f>
        <v>0</v>
      </c>
      <c r="G64" s="330"/>
      <c r="H64" s="331"/>
      <c r="I64" s="299"/>
      <c r="J64" s="322"/>
    </row>
    <row r="65" spans="2:10" x14ac:dyDescent="0.25">
      <c r="B65" s="60" t="s">
        <v>93</v>
      </c>
      <c r="C65" s="143"/>
      <c r="D65" s="143"/>
      <c r="E65" s="38"/>
      <c r="G65" s="332">
        <f>ROUND(C75*0.05+C75,0)</f>
        <v>0</v>
      </c>
      <c r="H65" s="300" t="str">
        <f>CONCATENATE("Less ",E1-2," Expenditures + 5%")</f>
        <v>Less 2023 Expenditures + 5%</v>
      </c>
      <c r="I65" s="329"/>
      <c r="J65" s="322"/>
    </row>
    <row r="66" spans="2:10" x14ac:dyDescent="0.25">
      <c r="B66" s="150"/>
      <c r="C66" s="229"/>
      <c r="D66" s="229"/>
      <c r="E66" s="42"/>
      <c r="G66" s="333">
        <f>G63-G65</f>
        <v>0</v>
      </c>
      <c r="H66" s="324" t="str">
        <f>CONCATENATE("Projected ",E1+1," carryover (est.)")</f>
        <v>Projected 2026 carryover (est.)</v>
      </c>
      <c r="I66" s="334"/>
      <c r="J66" s="335"/>
    </row>
    <row r="67" spans="2:10" x14ac:dyDescent="0.25">
      <c r="B67" s="150"/>
      <c r="C67" s="229"/>
      <c r="D67" s="229"/>
      <c r="E67" s="42"/>
      <c r="G67" s="1"/>
      <c r="H67" s="1"/>
      <c r="I67" s="1"/>
      <c r="J67" s="1"/>
    </row>
    <row r="68" spans="2:10" x14ac:dyDescent="0.2">
      <c r="B68" s="150"/>
      <c r="C68" s="229"/>
      <c r="D68" s="229"/>
      <c r="E68" s="42"/>
      <c r="G68" s="649" t="s">
        <v>558</v>
      </c>
      <c r="H68" s="650"/>
      <c r="I68" s="650"/>
      <c r="J68" s="651"/>
    </row>
    <row r="69" spans="2:10" x14ac:dyDescent="0.2">
      <c r="B69" s="150"/>
      <c r="C69" s="229"/>
      <c r="D69" s="229"/>
      <c r="E69" s="42"/>
      <c r="G69" s="652"/>
      <c r="H69" s="653"/>
      <c r="I69" s="653"/>
      <c r="J69" s="654"/>
    </row>
    <row r="70" spans="2:10" x14ac:dyDescent="0.2">
      <c r="B70" s="150"/>
      <c r="C70" s="229"/>
      <c r="D70" s="229"/>
      <c r="E70" s="42"/>
      <c r="G70" s="509" t="str">
        <f>'Budget Hearing Notice'!H24</f>
        <v xml:space="preserve">  </v>
      </c>
      <c r="H70" s="316" t="str">
        <f>CONCATENATE("",E1," Estimated Fund Mill Rate")</f>
        <v>2025 Estimated Fund Mill Rate</v>
      </c>
      <c r="I70" s="510"/>
      <c r="J70" s="511"/>
    </row>
    <row r="71" spans="2:10" x14ac:dyDescent="0.2">
      <c r="B71" s="150"/>
      <c r="C71" s="229"/>
      <c r="D71" s="229"/>
      <c r="E71" s="42"/>
      <c r="G71" s="512" t="str">
        <f>'Budget Hearing Notice'!E24</f>
        <v xml:space="preserve">  </v>
      </c>
      <c r="H71" s="316" t="str">
        <f>CONCATENATE("",E1-1," Fund Mill Rate")</f>
        <v>2024 Fund Mill Rate</v>
      </c>
      <c r="I71" s="510"/>
      <c r="J71" s="511"/>
    </row>
    <row r="72" spans="2:10" x14ac:dyDescent="0.2">
      <c r="B72" s="143" t="str">
        <f>CONCATENATE("Cash Reserve (",E1," column)")</f>
        <v>Cash Reserve (2025 column)</v>
      </c>
      <c r="C72" s="229"/>
      <c r="D72" s="229"/>
      <c r="E72" s="42"/>
      <c r="G72" s="513">
        <f>'Budget Hearing Notice'!H62</f>
        <v>0</v>
      </c>
      <c r="H72" s="514" t="s">
        <v>559</v>
      </c>
      <c r="I72" s="510"/>
      <c r="J72" s="511"/>
    </row>
    <row r="73" spans="2:10" x14ac:dyDescent="0.2">
      <c r="B73" s="143" t="s">
        <v>38</v>
      </c>
      <c r="C73" s="229"/>
      <c r="D73" s="229"/>
      <c r="E73" s="42"/>
      <c r="G73" s="509">
        <f>'Budget Hearing Notice'!H61</f>
        <v>0</v>
      </c>
      <c r="H73" s="316" t="str">
        <f>CONCATENATE(E1," Estimated Total Mill Rate")</f>
        <v>2025 Estimated Total Mill Rate</v>
      </c>
      <c r="I73" s="510"/>
      <c r="J73" s="511"/>
    </row>
    <row r="74" spans="2:10" x14ac:dyDescent="0.2">
      <c r="B74" s="143" t="s">
        <v>290</v>
      </c>
      <c r="C74" s="230" t="str">
        <f>IF(C75*0.1&lt;C73,"Exceed 10% Rule","")</f>
        <v/>
      </c>
      <c r="D74" s="230" t="str">
        <f>IF(D75*0.1&lt;D73,"Exceed 10% Rule","")</f>
        <v/>
      </c>
      <c r="E74" s="170" t="str">
        <f>IF(E75*0.1&lt;E73,"Exceed 10% Rule","")</f>
        <v/>
      </c>
      <c r="G74" s="515">
        <f>'Budget Hearing Notice'!E61</f>
        <v>0</v>
      </c>
      <c r="H74" s="316" t="str">
        <f>CONCATENATE(E1-1," Total Mill Rate")</f>
        <v>2024 Total Mill Rate</v>
      </c>
      <c r="I74" s="510"/>
      <c r="J74" s="511"/>
    </row>
    <row r="75" spans="2:10" x14ac:dyDescent="0.2">
      <c r="B75" s="145" t="s">
        <v>94</v>
      </c>
      <c r="C75" s="463">
        <f>SUM(C66:C73)</f>
        <v>0</v>
      </c>
      <c r="D75" s="463">
        <f>SUM(D66:D73)</f>
        <v>0</v>
      </c>
      <c r="E75" s="463">
        <f>SUM(E66:E73)</f>
        <v>0</v>
      </c>
      <c r="G75" s="327"/>
      <c r="H75" s="299"/>
      <c r="I75" s="299"/>
      <c r="J75" s="329"/>
    </row>
    <row r="76" spans="2:10" x14ac:dyDescent="0.2">
      <c r="B76" s="60" t="s">
        <v>196</v>
      </c>
      <c r="C76" s="106">
        <f>C64-C75</f>
        <v>0</v>
      </c>
      <c r="D76" s="106">
        <f>D64-D75</f>
        <v>0</v>
      </c>
      <c r="E76" s="165" t="s">
        <v>66</v>
      </c>
      <c r="G76" s="655" t="s">
        <v>560</v>
      </c>
      <c r="H76" s="656"/>
      <c r="I76" s="656"/>
      <c r="J76" s="659" t="str">
        <f>IF(G73&gt;G72, "Yes", "No")</f>
        <v>No</v>
      </c>
    </row>
    <row r="77" spans="2:10" x14ac:dyDescent="0.2">
      <c r="B77" s="135" t="str">
        <f>CONCATENATE("",E1-2,"/",E1-1,"/",E1," Budget Authority Amount:")</f>
        <v>2023/2024/2025 Budget Authority Amount:</v>
      </c>
      <c r="C77" s="167">
        <f>inputOth!B41</f>
        <v>0</v>
      </c>
      <c r="D77" s="167">
        <f>inputPrYr!D25</f>
        <v>0</v>
      </c>
      <c r="E77" s="106">
        <f>E75</f>
        <v>0</v>
      </c>
      <c r="G77" s="657"/>
      <c r="H77" s="658"/>
      <c r="I77" s="658"/>
      <c r="J77" s="660"/>
    </row>
    <row r="78" spans="2:10" x14ac:dyDescent="0.2">
      <c r="B78" s="125"/>
      <c r="C78" s="636" t="s">
        <v>294</v>
      </c>
      <c r="D78" s="637"/>
      <c r="E78" s="42"/>
      <c r="G78" s="661" t="str">
        <f>IF(J76="Yes", "Follow procedure prescribed by KSA 79-2988 to exceed the Revenue Neutral Rate.", " ")</f>
        <v xml:space="preserve"> </v>
      </c>
      <c r="H78" s="661"/>
      <c r="I78" s="661"/>
      <c r="J78" s="661"/>
    </row>
    <row r="79" spans="2:10" x14ac:dyDescent="0.2">
      <c r="B79" s="266" t="str">
        <f>CONCATENATE(C100,"     ",D100)</f>
        <v xml:space="preserve">     </v>
      </c>
      <c r="C79" s="638" t="s">
        <v>295</v>
      </c>
      <c r="D79" s="639"/>
      <c r="E79" s="106">
        <f>E75+E78</f>
        <v>0</v>
      </c>
      <c r="F79" s="151"/>
      <c r="G79" s="662"/>
      <c r="H79" s="662"/>
      <c r="I79" s="662"/>
      <c r="J79" s="662"/>
    </row>
    <row r="80" spans="2:10" x14ac:dyDescent="0.2">
      <c r="B80" s="266" t="str">
        <f>CONCATENATE(C101,"     ",D101)</f>
        <v xml:space="preserve">     </v>
      </c>
      <c r="C80" s="152"/>
      <c r="D80" s="90" t="s">
        <v>95</v>
      </c>
      <c r="E80" s="106">
        <f>IF(E79-E64&gt;0,E79-E64,0)</f>
        <v>0</v>
      </c>
      <c r="F80" s="238" t="str">
        <f>IF(E75/0.95-E75&lt;E78,"Exceeds 5%","")</f>
        <v/>
      </c>
      <c r="G80" s="662"/>
      <c r="H80" s="662"/>
      <c r="I80" s="662"/>
      <c r="J80" s="662"/>
    </row>
    <row r="81" spans="2:5" x14ac:dyDescent="0.2">
      <c r="B81" s="90"/>
      <c r="C81" s="265" t="s">
        <v>296</v>
      </c>
      <c r="D81" s="297">
        <f>inputOth!$E$26</f>
        <v>0</v>
      </c>
      <c r="E81" s="106">
        <f>ROUND(IF(D81&gt;0,($E$80*D81),0),0)</f>
        <v>0</v>
      </c>
    </row>
    <row r="82" spans="2:5" x14ac:dyDescent="0.2">
      <c r="B82" s="26"/>
      <c r="C82" s="644" t="str">
        <f>CONCATENATE("Amount of  ",$E$1-1," Ad Valorem Tax")</f>
        <v>Amount of  2024 Ad Valorem Tax</v>
      </c>
      <c r="D82" s="663"/>
      <c r="E82" s="106">
        <f>E80+E81</f>
        <v>0</v>
      </c>
    </row>
    <row r="83" spans="2:5" x14ac:dyDescent="0.2">
      <c r="B83" s="26"/>
      <c r="C83" s="125"/>
      <c r="D83" s="26"/>
      <c r="E83" s="125"/>
    </row>
    <row r="84" spans="2:5" x14ac:dyDescent="0.2">
      <c r="B84" s="423" t="s">
        <v>354</v>
      </c>
      <c r="C84" s="402"/>
      <c r="D84" s="347"/>
      <c r="E84" s="409"/>
    </row>
    <row r="85" spans="2:5" x14ac:dyDescent="0.2">
      <c r="B85" s="126"/>
      <c r="C85" s="125"/>
      <c r="D85" s="26"/>
      <c r="E85" s="410"/>
    </row>
    <row r="86" spans="2:5" x14ac:dyDescent="0.2">
      <c r="B86" s="403"/>
      <c r="C86" s="408"/>
      <c r="D86" s="44"/>
      <c r="E86" s="411"/>
    </row>
    <row r="87" spans="2:5" x14ac:dyDescent="0.2">
      <c r="B87" s="26"/>
      <c r="C87" s="125"/>
      <c r="D87" s="26"/>
      <c r="E87" s="125"/>
    </row>
    <row r="88" spans="2:5" x14ac:dyDescent="0.2">
      <c r="B88" s="125" t="s">
        <v>146</v>
      </c>
      <c r="C88" s="368"/>
      <c r="D88" s="26"/>
      <c r="E88" s="26"/>
    </row>
    <row r="93" spans="2:5" x14ac:dyDescent="0.2">
      <c r="C93" s="424"/>
    </row>
    <row r="95" spans="2:5" hidden="1" x14ac:dyDescent="0.2"/>
    <row r="96" spans="2:5" hidden="1" x14ac:dyDescent="0.2"/>
    <row r="97" spans="3:4" hidden="1" x14ac:dyDescent="0.2"/>
    <row r="98" spans="3:4" hidden="1" x14ac:dyDescent="0.2">
      <c r="C98" s="23" t="str">
        <f>IF(C34&gt;C36,"See Tab A","")</f>
        <v/>
      </c>
      <c r="D98" s="23" t="str">
        <f>IF(D34&gt;D36,"See Tab C","")</f>
        <v/>
      </c>
    </row>
    <row r="99" spans="3:4" x14ac:dyDescent="0.2">
      <c r="C99" s="23" t="str">
        <f>IF(C35&lt;0,"See Tab B","")</f>
        <v/>
      </c>
      <c r="D99" s="23" t="str">
        <f>IF(D35&lt;0,"See Tab D","")</f>
        <v/>
      </c>
    </row>
    <row r="100" spans="3:4" x14ac:dyDescent="0.2">
      <c r="C100" s="23" t="str">
        <f>IF(C75&gt;C77,"See Tab A","")</f>
        <v/>
      </c>
      <c r="D100" s="23" t="str">
        <f>IF(D75&gt;D77,"See Tab C","")</f>
        <v/>
      </c>
    </row>
    <row r="101" spans="3:4" x14ac:dyDescent="0.2">
      <c r="C101" s="23" t="str">
        <f>IF(C76&lt;0,"See Tab B","")</f>
        <v/>
      </c>
      <c r="D101" s="23" t="str">
        <f>IF(D76&lt;0,"See Tab D","")</f>
        <v/>
      </c>
    </row>
  </sheetData>
  <sheetProtection sheet="1" objects="1" scenarios="1"/>
  <mergeCells count="18">
    <mergeCell ref="G68:J69"/>
    <mergeCell ref="C78:D78"/>
    <mergeCell ref="C79:D79"/>
    <mergeCell ref="C82:D82"/>
    <mergeCell ref="C41:D41"/>
    <mergeCell ref="G76:I77"/>
    <mergeCell ref="J76:J77"/>
    <mergeCell ref="G78:J80"/>
    <mergeCell ref="G9:J9"/>
    <mergeCell ref="G16:J16"/>
    <mergeCell ref="G51:J51"/>
    <mergeCell ref="G58:J58"/>
    <mergeCell ref="C37:D37"/>
    <mergeCell ref="C38:D38"/>
    <mergeCell ref="G26:J27"/>
    <mergeCell ref="G34:I35"/>
    <mergeCell ref="J34:J35"/>
    <mergeCell ref="G36:J38"/>
  </mergeCells>
  <phoneticPr fontId="0" type="noConversion"/>
  <conditionalFormatting sqref="C20">
    <cfRule type="cellIs" dxfId="300" priority="31" stopIfTrue="1" operator="greaterThan">
      <formula>$C$22*0.1</formula>
    </cfRule>
  </conditionalFormatting>
  <conditionalFormatting sqref="C32">
    <cfRule type="cellIs" dxfId="299" priority="28" stopIfTrue="1" operator="greaterThan">
      <formula>$C$34*0.1</formula>
    </cfRule>
  </conditionalFormatting>
  <conditionalFormatting sqref="C34">
    <cfRule type="cellIs" dxfId="298" priority="8" stopIfTrue="1" operator="greaterThan">
      <formula>$C$36</formula>
    </cfRule>
  </conditionalFormatting>
  <conditionalFormatting sqref="C61">
    <cfRule type="cellIs" dxfId="297" priority="24" stopIfTrue="1" operator="greaterThan">
      <formula>$C$63*0.1</formula>
    </cfRule>
  </conditionalFormatting>
  <conditionalFormatting sqref="C73">
    <cfRule type="cellIs" dxfId="296" priority="21" stopIfTrue="1" operator="greaterThan">
      <formula>$C$75*0.1</formula>
    </cfRule>
  </conditionalFormatting>
  <conditionalFormatting sqref="C75">
    <cfRule type="cellIs" dxfId="295" priority="6" stopIfTrue="1" operator="greaterThan">
      <formula>$C$77</formula>
    </cfRule>
  </conditionalFormatting>
  <conditionalFormatting sqref="C35:D35">
    <cfRule type="cellIs" dxfId="294" priority="1" stopIfTrue="1" operator="lessThan">
      <formula>0</formula>
    </cfRule>
  </conditionalFormatting>
  <conditionalFormatting sqref="C76:D76">
    <cfRule type="cellIs" dxfId="293" priority="3" stopIfTrue="1" operator="lessThan">
      <formula>0</formula>
    </cfRule>
  </conditionalFormatting>
  <conditionalFormatting sqref="D20">
    <cfRule type="cellIs" dxfId="292" priority="32" stopIfTrue="1" operator="greaterThan">
      <formula>$D$22*0.1</formula>
    </cfRule>
  </conditionalFormatting>
  <conditionalFormatting sqref="D32">
    <cfRule type="cellIs" dxfId="291" priority="29" stopIfTrue="1" operator="greaterThan">
      <formula>$D$34*0.1</formula>
    </cfRule>
  </conditionalFormatting>
  <conditionalFormatting sqref="D34">
    <cfRule type="cellIs" dxfId="290" priority="5" stopIfTrue="1" operator="greaterThan">
      <formula>$D$36</formula>
    </cfRule>
  </conditionalFormatting>
  <conditionalFormatting sqref="D61">
    <cfRule type="cellIs" dxfId="289" priority="25" stopIfTrue="1" operator="greaterThan">
      <formula>$D$63*0.1</formula>
    </cfRule>
  </conditionalFormatting>
  <conditionalFormatting sqref="D73">
    <cfRule type="cellIs" dxfId="288" priority="22" stopIfTrue="1" operator="greaterThan">
      <formula>$D$75*0.1</formula>
    </cfRule>
  </conditionalFormatting>
  <conditionalFormatting sqref="D75">
    <cfRule type="cellIs" dxfId="287" priority="7" stopIfTrue="1" operator="greaterThan">
      <formula>$D$77</formula>
    </cfRule>
    <cfRule type="cellIs" dxfId="286" priority="9" stopIfTrue="1" operator="greaterThan">
      <formula>$D$36</formula>
    </cfRule>
  </conditionalFormatting>
  <conditionalFormatting sqref="E20">
    <cfRule type="cellIs" dxfId="285" priority="30" stopIfTrue="1" operator="greaterThan">
      <formula>$E$22*0.1+E41</formula>
    </cfRule>
  </conditionalFormatting>
  <conditionalFormatting sqref="E32">
    <cfRule type="cellIs" dxfId="284" priority="17" stopIfTrue="1" operator="greaterThan">
      <formula>$E$34*0.1</formula>
    </cfRule>
  </conditionalFormatting>
  <conditionalFormatting sqref="E37">
    <cfRule type="cellIs" dxfId="283" priority="16" stopIfTrue="1" operator="greaterThan">
      <formula>$E$34/0.95-$E$34</formula>
    </cfRule>
  </conditionalFormatting>
  <conditionalFormatting sqref="E61">
    <cfRule type="cellIs" dxfId="282" priority="23" stopIfTrue="1" operator="greaterThan">
      <formula>$E$63*0.1+E82</formula>
    </cfRule>
  </conditionalFormatting>
  <conditionalFormatting sqref="E73">
    <cfRule type="cellIs" dxfId="281" priority="14" stopIfTrue="1" operator="greaterThan">
      <formula>$E$75*0.1</formula>
    </cfRule>
  </conditionalFormatting>
  <conditionalFormatting sqref="E78">
    <cfRule type="cellIs" dxfId="280" priority="15" stopIfTrue="1" operator="greaterThan">
      <formula>$E$75/0.95-$E$75</formula>
    </cfRule>
  </conditionalFormatting>
  <conditionalFormatting sqref="J34">
    <cfRule type="containsText" dxfId="279" priority="11" operator="containsText" text="Yes">
      <formula>NOT(ISERROR(SEARCH("Yes",J34)))</formula>
    </cfRule>
  </conditionalFormatting>
  <conditionalFormatting sqref="J76">
    <cfRule type="containsText" dxfId="278" priority="10" operator="containsText" text="Yes">
      <formula>NOT(ISERROR(SEARCH("Yes",J76)))</formula>
    </cfRule>
  </conditionalFormatting>
  <pageMargins left="1.1200000000000001" right="0.5" top="0.74" bottom="0.34" header="0.5" footer="0"/>
  <pageSetup scale="51" orientation="portrait" blackAndWhite="1" horizontalDpi="120" verticalDpi="144" r:id="rId1"/>
  <headerFooter alignWithMargins="0">
    <oddHeader xml:space="preserve">&amp;RState of Kansas
County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6">
    <tabColor rgb="FF00B0F0"/>
    <pageSetUpPr fitToPage="1"/>
  </sheetPr>
  <dimension ref="B1:K100"/>
  <sheetViews>
    <sheetView zoomScaleNormal="100" workbookViewId="0">
      <selection activeCell="C32" sqref="C32:E32"/>
    </sheetView>
  </sheetViews>
  <sheetFormatPr defaultRowHeight="15.75" x14ac:dyDescent="0.2"/>
  <cols>
    <col min="1" max="1" width="2.44140625" style="23" customWidth="1"/>
    <col min="2" max="2" width="31.109375" style="23" customWidth="1"/>
    <col min="3" max="4" width="15.77734375" style="23" customWidth="1"/>
    <col min="5" max="5" width="16.21875" style="23" customWidth="1"/>
    <col min="6" max="6" width="7.44140625" style="23" customWidth="1"/>
    <col min="7" max="7" width="10.21875" style="23" customWidth="1"/>
    <col min="8" max="8" width="8.88671875" style="23"/>
    <col min="9" max="9" width="5.77734375" style="23" customWidth="1"/>
    <col min="10" max="10" width="10" style="23" customWidth="1"/>
    <col min="11" max="16384" width="8.88671875" style="23"/>
  </cols>
  <sheetData>
    <row r="1" spans="2:10" x14ac:dyDescent="0.2">
      <c r="B1" s="57">
        <f>(inputPrYr!C3)</f>
        <v>0</v>
      </c>
      <c r="C1" s="26"/>
      <c r="D1" s="26"/>
      <c r="E1" s="125">
        <f>inputPrYr!C5</f>
        <v>2025</v>
      </c>
    </row>
    <row r="2" spans="2:10" x14ac:dyDescent="0.2">
      <c r="B2" s="26"/>
      <c r="C2" s="26"/>
      <c r="D2" s="26"/>
      <c r="E2" s="90"/>
    </row>
    <row r="3" spans="2:10" x14ac:dyDescent="0.2">
      <c r="B3" s="64" t="s">
        <v>185</v>
      </c>
      <c r="C3" s="161"/>
      <c r="D3" s="161"/>
      <c r="E3" s="162"/>
    </row>
    <row r="4" spans="2:10" x14ac:dyDescent="0.2">
      <c r="B4" s="25" t="s">
        <v>80</v>
      </c>
      <c r="C4" s="339" t="s">
        <v>319</v>
      </c>
      <c r="D4" s="340" t="s">
        <v>320</v>
      </c>
      <c r="E4" s="80" t="s">
        <v>321</v>
      </c>
    </row>
    <row r="5" spans="2:10" x14ac:dyDescent="0.2">
      <c r="B5" s="248">
        <f>inputPrYr!B26</f>
        <v>0</v>
      </c>
      <c r="C5" s="231" t="str">
        <f>CONCATENATE("Actual for ",E1-2,"")</f>
        <v>Actual for 2023</v>
      </c>
      <c r="D5" s="231" t="str">
        <f>CONCATENATE("Estimate for ",E1-1,"")</f>
        <v>Estimate for 2024</v>
      </c>
      <c r="E5" s="136" t="str">
        <f>CONCATENATE("Year for ",E1,"")</f>
        <v>Year for 2025</v>
      </c>
    </row>
    <row r="6" spans="2:10" x14ac:dyDescent="0.2">
      <c r="B6" s="60" t="s">
        <v>195</v>
      </c>
      <c r="C6" s="229"/>
      <c r="D6" s="232">
        <f>C35</f>
        <v>0</v>
      </c>
      <c r="E6" s="106">
        <f>D35</f>
        <v>0</v>
      </c>
    </row>
    <row r="7" spans="2:10" x14ac:dyDescent="0.2">
      <c r="B7" s="128" t="s">
        <v>197</v>
      </c>
      <c r="C7" s="139"/>
      <c r="D7" s="139"/>
      <c r="E7" s="50"/>
    </row>
    <row r="8" spans="2:10" x14ac:dyDescent="0.2">
      <c r="B8" s="60" t="s">
        <v>81</v>
      </c>
      <c r="C8" s="229"/>
      <c r="D8" s="232">
        <f>IF(inputPrYr!H26&gt;0,inputPrYr!H26,inputPrYr!E26)</f>
        <v>0</v>
      </c>
      <c r="E8" s="165" t="s">
        <v>66</v>
      </c>
    </row>
    <row r="9" spans="2:10" x14ac:dyDescent="0.2">
      <c r="B9" s="60" t="s">
        <v>82</v>
      </c>
      <c r="C9" s="229"/>
      <c r="D9" s="229"/>
      <c r="E9" s="42"/>
    </row>
    <row r="10" spans="2:10" x14ac:dyDescent="0.2">
      <c r="B10" s="60" t="s">
        <v>83</v>
      </c>
      <c r="C10" s="229"/>
      <c r="D10" s="229"/>
      <c r="E10" s="106" t="str">
        <f>Mvalloc!D16</f>
        <v xml:space="preserve">  </v>
      </c>
      <c r="G10" s="646" t="str">
        <f>CONCATENATE("Desired Carryover Into ",E1+1,"")</f>
        <v>Desired Carryover Into 2026</v>
      </c>
      <c r="H10" s="647"/>
      <c r="I10" s="647"/>
      <c r="J10" s="648"/>
    </row>
    <row r="11" spans="2:10" x14ac:dyDescent="0.2">
      <c r="B11" s="60" t="s">
        <v>84</v>
      </c>
      <c r="C11" s="229"/>
      <c r="D11" s="229"/>
      <c r="E11" s="106" t="str">
        <f>Mvalloc!E16</f>
        <v xml:space="preserve">  </v>
      </c>
      <c r="G11" s="298"/>
      <c r="H11" s="299"/>
      <c r="I11" s="300"/>
      <c r="J11" s="301"/>
    </row>
    <row r="12" spans="2:10" x14ac:dyDescent="0.2">
      <c r="B12" s="139" t="s">
        <v>176</v>
      </c>
      <c r="C12" s="229"/>
      <c r="D12" s="229"/>
      <c r="E12" s="106" t="str">
        <f>Mvalloc!F16</f>
        <v xml:space="preserve">  </v>
      </c>
      <c r="G12" s="302" t="s">
        <v>297</v>
      </c>
      <c r="H12" s="300"/>
      <c r="I12" s="300"/>
      <c r="J12" s="303">
        <v>0</v>
      </c>
    </row>
    <row r="13" spans="2:10" x14ac:dyDescent="0.2">
      <c r="B13" s="137" t="s">
        <v>348</v>
      </c>
      <c r="C13" s="229"/>
      <c r="D13" s="229"/>
      <c r="E13" s="106" t="str">
        <f>Mvalloc!G16</f>
        <v xml:space="preserve">  </v>
      </c>
      <c r="G13" s="298" t="s">
        <v>298</v>
      </c>
      <c r="H13" s="299"/>
      <c r="I13" s="299"/>
      <c r="J13" s="304" t="str">
        <f>IF(J12=0,"",ROUND((J12+E41-G25)/inputOth!E6*1000,3)-G30)</f>
        <v/>
      </c>
    </row>
    <row r="14" spans="2:10" x14ac:dyDescent="0.2">
      <c r="B14" s="137" t="s">
        <v>349</v>
      </c>
      <c r="C14" s="229"/>
      <c r="D14" s="229"/>
      <c r="E14" s="106" t="str">
        <f>Mvalloc!H16</f>
        <v xml:space="preserve">  </v>
      </c>
      <c r="G14" s="305" t="str">
        <f>CONCATENATE("",E1," Tot Exp/Non-Appr Must Be:")</f>
        <v>2025 Tot Exp/Non-Appr Must Be:</v>
      </c>
      <c r="H14" s="306"/>
      <c r="I14" s="307"/>
      <c r="J14" s="308">
        <f>IF(J12&gt;0,IF(E38&lt;E23,IF(J12=G25,E38,((J12-G25)*(1-D40))+E23),E38+(J12-G25)),0)</f>
        <v>0</v>
      </c>
    </row>
    <row r="15" spans="2:10" x14ac:dyDescent="0.2">
      <c r="B15" s="150"/>
      <c r="C15" s="229"/>
      <c r="D15" s="229"/>
      <c r="E15" s="42"/>
      <c r="G15" s="309" t="s">
        <v>318</v>
      </c>
      <c r="H15" s="310"/>
      <c r="I15" s="310"/>
      <c r="J15" s="311">
        <f>IF(J12&gt;0,J14-E38,0)</f>
        <v>0</v>
      </c>
    </row>
    <row r="16" spans="2:10" x14ac:dyDescent="0.25">
      <c r="B16" s="150"/>
      <c r="C16" s="229"/>
      <c r="D16" s="229"/>
      <c r="E16" s="42"/>
      <c r="G16" s="1"/>
      <c r="H16" s="1"/>
      <c r="I16" s="1"/>
      <c r="J16" s="1"/>
    </row>
    <row r="17" spans="2:11" x14ac:dyDescent="0.2">
      <c r="B17" s="150"/>
      <c r="C17" s="229"/>
      <c r="D17" s="229"/>
      <c r="E17" s="42"/>
      <c r="G17" s="646" t="str">
        <f>CONCATENATE("Projected Carryover Into ",E1+1,"")</f>
        <v>Projected Carryover Into 2026</v>
      </c>
      <c r="H17" s="666"/>
      <c r="I17" s="666"/>
      <c r="J17" s="667"/>
    </row>
    <row r="18" spans="2:11" x14ac:dyDescent="0.2">
      <c r="B18" s="142" t="s">
        <v>88</v>
      </c>
      <c r="C18" s="229"/>
      <c r="D18" s="229"/>
      <c r="E18" s="42"/>
      <c r="G18" s="298"/>
      <c r="H18" s="300"/>
      <c r="I18" s="300"/>
      <c r="J18" s="317"/>
    </row>
    <row r="19" spans="2:11" x14ac:dyDescent="0.2">
      <c r="B19" s="143" t="s">
        <v>40</v>
      </c>
      <c r="C19" s="229"/>
      <c r="D19" s="229"/>
      <c r="E19" s="106">
        <f>'NR Rebate'!E15*-1</f>
        <v>0</v>
      </c>
      <c r="G19" s="318">
        <f>D35</f>
        <v>0</v>
      </c>
      <c r="H19" s="316" t="str">
        <f>CONCATENATE("",E1-1," Ending Cash Balance (est.)")</f>
        <v>2024 Ending Cash Balance (est.)</v>
      </c>
      <c r="I19" s="319"/>
      <c r="J19" s="317"/>
    </row>
    <row r="20" spans="2:11" x14ac:dyDescent="0.2">
      <c r="B20" s="143" t="s">
        <v>38</v>
      </c>
      <c r="C20" s="229"/>
      <c r="D20" s="229"/>
      <c r="E20" s="42"/>
      <c r="G20" s="318">
        <f>E22</f>
        <v>0</v>
      </c>
      <c r="H20" s="300" t="str">
        <f>CONCATENATE("",E1," Non-AV Receipts (est.)")</f>
        <v>2025 Non-AV Receipts (est.)</v>
      </c>
      <c r="I20" s="319"/>
      <c r="J20" s="317"/>
    </row>
    <row r="21" spans="2:11" x14ac:dyDescent="0.2">
      <c r="B21" s="143" t="s">
        <v>291</v>
      </c>
      <c r="C21" s="230" t="str">
        <f>IF(C22*0.1&lt;C20,"Exceed 10% Rule","")</f>
        <v/>
      </c>
      <c r="D21" s="230" t="str">
        <f>IF(D22*0.1&lt;D20,"Exceed 10% Rule","")</f>
        <v/>
      </c>
      <c r="E21" s="170" t="str">
        <f>IF(E22*0.1+E41&lt;E20,"Exceed 10% Rule","")</f>
        <v/>
      </c>
      <c r="G21" s="320">
        <f>IF(E40&gt;0,E39,E41)</f>
        <v>0</v>
      </c>
      <c r="H21" s="300" t="str">
        <f>CONCATENATE("",E1," Ad Valorem Tax (est.)")</f>
        <v>2025 Ad Valorem Tax (est.)</v>
      </c>
      <c r="I21" s="319"/>
      <c r="J21" s="317"/>
      <c r="K21" s="314" t="str">
        <f>IF(G21=E41,"","Note: Does not include Delinquent Taxes")</f>
        <v/>
      </c>
    </row>
    <row r="22" spans="2:11" x14ac:dyDescent="0.2">
      <c r="B22" s="145" t="s">
        <v>89</v>
      </c>
      <c r="C22" s="463">
        <f>SUM(C8:C20)</f>
        <v>0</v>
      </c>
      <c r="D22" s="463">
        <f>SUM(D8:D20)</f>
        <v>0</v>
      </c>
      <c r="E22" s="463">
        <f>SUM(E8:E20)</f>
        <v>0</v>
      </c>
      <c r="G22" s="318">
        <f>SUM(G19:G21)</f>
        <v>0</v>
      </c>
      <c r="H22" s="300" t="str">
        <f>CONCATENATE("Total ",E1," Resources Available")</f>
        <v>Total 2025 Resources Available</v>
      </c>
      <c r="I22" s="319"/>
      <c r="J22" s="317"/>
    </row>
    <row r="23" spans="2:11" x14ac:dyDescent="0.2">
      <c r="B23" s="145" t="s">
        <v>90</v>
      </c>
      <c r="C23" s="463">
        <f>C6+C22</f>
        <v>0</v>
      </c>
      <c r="D23" s="463">
        <f>D6+D22</f>
        <v>0</v>
      </c>
      <c r="E23" s="463">
        <f>E6+E22</f>
        <v>0</v>
      </c>
      <c r="G23" s="321"/>
      <c r="H23" s="300"/>
      <c r="I23" s="300"/>
      <c r="J23" s="317"/>
    </row>
    <row r="24" spans="2:11" x14ac:dyDescent="0.25">
      <c r="B24" s="60" t="s">
        <v>93</v>
      </c>
      <c r="C24" s="143"/>
      <c r="D24" s="143"/>
      <c r="E24" s="38"/>
      <c r="G24" s="320">
        <f>ROUND(C34*0.05+C34,0)</f>
        <v>0</v>
      </c>
      <c r="H24" s="300" t="str">
        <f>CONCATENATE("Less ",E1-2," Expenditures + 5%")</f>
        <v>Less 2023 Expenditures + 5%</v>
      </c>
      <c r="I24" s="319"/>
      <c r="J24" s="322"/>
    </row>
    <row r="25" spans="2:11" x14ac:dyDescent="0.2">
      <c r="B25" s="150"/>
      <c r="C25" s="229"/>
      <c r="D25" s="229"/>
      <c r="E25" s="42"/>
      <c r="G25" s="323">
        <f>G22-G24</f>
        <v>0</v>
      </c>
      <c r="H25" s="324" t="str">
        <f>CONCATENATE("Projected ",E1+1," carryover (est.)")</f>
        <v>Projected 2026 carryover (est.)</v>
      </c>
      <c r="I25" s="325"/>
      <c r="J25" s="326"/>
    </row>
    <row r="26" spans="2:11" x14ac:dyDescent="0.25">
      <c r="B26" s="150"/>
      <c r="C26" s="229"/>
      <c r="D26" s="229"/>
      <c r="E26" s="42"/>
      <c r="G26" s="1"/>
      <c r="H26" s="1"/>
      <c r="I26" s="1"/>
      <c r="J26" s="1"/>
    </row>
    <row r="27" spans="2:11" x14ac:dyDescent="0.2">
      <c r="B27" s="150"/>
      <c r="C27" s="229"/>
      <c r="D27" s="229"/>
      <c r="E27" s="42"/>
      <c r="G27" s="649" t="s">
        <v>558</v>
      </c>
      <c r="H27" s="650"/>
      <c r="I27" s="650"/>
      <c r="J27" s="651"/>
    </row>
    <row r="28" spans="2:11" x14ac:dyDescent="0.2">
      <c r="B28" s="150"/>
      <c r="C28" s="229"/>
      <c r="D28" s="229"/>
      <c r="E28" s="42"/>
      <c r="G28" s="652"/>
      <c r="H28" s="653"/>
      <c r="I28" s="653"/>
      <c r="J28" s="654"/>
    </row>
    <row r="29" spans="2:11" x14ac:dyDescent="0.2">
      <c r="B29" s="150"/>
      <c r="C29" s="229"/>
      <c r="D29" s="229"/>
      <c r="E29" s="42"/>
      <c r="G29" s="509" t="str">
        <f>'Budget Hearing Notice'!H25</f>
        <v xml:space="preserve">  </v>
      </c>
      <c r="H29" s="316" t="str">
        <f>CONCATENATE("",E1," Estimated Fund Mill Rate")</f>
        <v>2025 Estimated Fund Mill Rate</v>
      </c>
      <c r="I29" s="510"/>
      <c r="J29" s="511"/>
    </row>
    <row r="30" spans="2:11" x14ac:dyDescent="0.2">
      <c r="B30" s="150"/>
      <c r="C30" s="229"/>
      <c r="D30" s="229"/>
      <c r="E30" s="42"/>
      <c r="G30" s="512" t="str">
        <f>'Budget Hearing Notice'!E25</f>
        <v xml:space="preserve">  </v>
      </c>
      <c r="H30" s="316" t="str">
        <f>CONCATENATE("",E1-1," Fund Mill Rate")</f>
        <v>2024 Fund Mill Rate</v>
      </c>
      <c r="I30" s="510"/>
      <c r="J30" s="511"/>
    </row>
    <row r="31" spans="2:11" x14ac:dyDescent="0.2">
      <c r="B31" s="143" t="str">
        <f>CONCATENATE("Cash Reserve (",E1," column)")</f>
        <v>Cash Reserve (2025 column)</v>
      </c>
      <c r="C31" s="229"/>
      <c r="D31" s="229"/>
      <c r="E31" s="42"/>
      <c r="G31" s="513">
        <f>'Budget Hearing Notice'!H62</f>
        <v>0</v>
      </c>
      <c r="H31" s="514" t="s">
        <v>559</v>
      </c>
      <c r="I31" s="510"/>
      <c r="J31" s="511"/>
    </row>
    <row r="32" spans="2:11" x14ac:dyDescent="0.2">
      <c r="B32" s="143" t="s">
        <v>38</v>
      </c>
      <c r="C32" s="229"/>
      <c r="D32" s="229"/>
      <c r="E32" s="42"/>
      <c r="G32" s="509">
        <f>'Budget Hearing Notice'!H61</f>
        <v>0</v>
      </c>
      <c r="H32" s="316" t="str">
        <f>CONCATENATE(E1," Estimated Total Mill Rate")</f>
        <v>2025 Estimated Total Mill Rate</v>
      </c>
      <c r="I32" s="510"/>
      <c r="J32" s="511"/>
    </row>
    <row r="33" spans="2:10" x14ac:dyDescent="0.2">
      <c r="B33" s="143" t="s">
        <v>290</v>
      </c>
      <c r="C33" s="230" t="str">
        <f>IF(C34*0.1&lt;C32,"Exceed 10% Rule","")</f>
        <v/>
      </c>
      <c r="D33" s="230" t="str">
        <f>IF(D34*0.1&lt;D32,"Exceed 10% Rule","")</f>
        <v/>
      </c>
      <c r="E33" s="170" t="str">
        <f>IF(E34*0.1&lt;E32,"Exceed 10% Rule","")</f>
        <v/>
      </c>
      <c r="G33" s="515">
        <f>'Budget Hearing Notice'!E61</f>
        <v>0</v>
      </c>
      <c r="H33" s="316" t="str">
        <f>CONCATENATE(E1-1," Total Mill Rate")</f>
        <v>2024 Total Mill Rate</v>
      </c>
      <c r="I33" s="510"/>
      <c r="J33" s="511"/>
    </row>
    <row r="34" spans="2:10" x14ac:dyDescent="0.2">
      <c r="B34" s="145" t="s">
        <v>94</v>
      </c>
      <c r="C34" s="463">
        <f>SUM(C25:C32)</f>
        <v>0</v>
      </c>
      <c r="D34" s="463">
        <f>SUM(D25:D32)</f>
        <v>0</v>
      </c>
      <c r="E34" s="463">
        <f>SUM(E25:E32)</f>
        <v>0</v>
      </c>
      <c r="G34" s="327"/>
      <c r="H34" s="299"/>
      <c r="I34" s="299"/>
      <c r="J34" s="329"/>
    </row>
    <row r="35" spans="2:10" x14ac:dyDescent="0.2">
      <c r="B35" s="60" t="s">
        <v>196</v>
      </c>
      <c r="C35" s="106">
        <f>C23-C34</f>
        <v>0</v>
      </c>
      <c r="D35" s="106">
        <f>D23-D34</f>
        <v>0</v>
      </c>
      <c r="E35" s="165" t="s">
        <v>66</v>
      </c>
      <c r="G35" s="655" t="s">
        <v>560</v>
      </c>
      <c r="H35" s="656"/>
      <c r="I35" s="656"/>
      <c r="J35" s="659" t="str">
        <f>IF(G32&gt;G31, "Yes", "No")</f>
        <v>No</v>
      </c>
    </row>
    <row r="36" spans="2:10" x14ac:dyDescent="0.2">
      <c r="B36" s="135" t="str">
        <f>CONCATENATE("",E1-2,"/",E1-1,"/",E1," Budget Authority Amount:")</f>
        <v>2023/2024/2025 Budget Authority Amount:</v>
      </c>
      <c r="C36" s="167">
        <f>inputOth!B42</f>
        <v>0</v>
      </c>
      <c r="D36" s="167">
        <f>inputPrYr!D26</f>
        <v>0</v>
      </c>
      <c r="E36" s="106">
        <f>E34</f>
        <v>0</v>
      </c>
      <c r="G36" s="657"/>
      <c r="H36" s="658"/>
      <c r="I36" s="658"/>
      <c r="J36" s="660"/>
    </row>
    <row r="37" spans="2:10" x14ac:dyDescent="0.2">
      <c r="B37" s="125"/>
      <c r="C37" s="636" t="s">
        <v>294</v>
      </c>
      <c r="D37" s="637"/>
      <c r="E37" s="42"/>
      <c r="F37" s="151"/>
      <c r="G37" s="661" t="str">
        <f>IF(J35="Yes", "Follow procedure prescribed by KSA 79-2988 to exceed the Revenue Neutral Rate.", " ")</f>
        <v xml:space="preserve"> </v>
      </c>
      <c r="H37" s="661"/>
      <c r="I37" s="661"/>
      <c r="J37" s="661"/>
    </row>
    <row r="38" spans="2:10" x14ac:dyDescent="0.2">
      <c r="B38" s="266" t="str">
        <f>CONCATENATE(C97,"     ",D97)</f>
        <v xml:space="preserve">     </v>
      </c>
      <c r="C38" s="638" t="s">
        <v>295</v>
      </c>
      <c r="D38" s="639"/>
      <c r="E38" s="106">
        <f>E34+E37</f>
        <v>0</v>
      </c>
      <c r="F38" s="238" t="str">
        <f>IF(E34/0.95-E34&lt;E37,"Exceeds 5%","")</f>
        <v/>
      </c>
      <c r="G38" s="662"/>
      <c r="H38" s="662"/>
      <c r="I38" s="662"/>
      <c r="J38" s="662"/>
    </row>
    <row r="39" spans="2:10" x14ac:dyDescent="0.2">
      <c r="B39" s="266" t="str">
        <f>CONCATENATE(C98,"     ",D98)</f>
        <v xml:space="preserve">     </v>
      </c>
      <c r="C39" s="152"/>
      <c r="D39" s="90" t="s">
        <v>95</v>
      </c>
      <c r="E39" s="106">
        <f>IF(E38-E23&gt;0,E38-E23,0)</f>
        <v>0</v>
      </c>
      <c r="G39" s="662"/>
      <c r="H39" s="662"/>
      <c r="I39" s="662"/>
      <c r="J39" s="662"/>
    </row>
    <row r="40" spans="2:10" x14ac:dyDescent="0.25">
      <c r="B40" s="90"/>
      <c r="C40" s="265" t="s">
        <v>296</v>
      </c>
      <c r="D40" s="297">
        <f>inputOth!$E$26</f>
        <v>0</v>
      </c>
      <c r="E40" s="106">
        <f>ROUND(IF(D40&gt;0,($E$39*D40),0),0)</f>
        <v>0</v>
      </c>
      <c r="G40" s="1"/>
      <c r="H40" s="1"/>
      <c r="I40" s="1"/>
      <c r="J40" s="1"/>
    </row>
    <row r="41" spans="2:10" x14ac:dyDescent="0.25">
      <c r="B41" s="26"/>
      <c r="C41" s="644" t="str">
        <f>CONCATENATE("Amount of  ",$E$1-1," Ad Valorem Tax")</f>
        <v>Amount of  2024 Ad Valorem Tax</v>
      </c>
      <c r="D41" s="663"/>
      <c r="E41" s="106">
        <f>E39+E40</f>
        <v>0</v>
      </c>
      <c r="G41" s="1"/>
      <c r="H41" s="1"/>
      <c r="I41" s="1"/>
      <c r="J41" s="1"/>
    </row>
    <row r="42" spans="2:10" x14ac:dyDescent="0.25">
      <c r="B42" s="26"/>
      <c r="C42" s="155"/>
      <c r="D42" s="155"/>
      <c r="E42" s="155"/>
      <c r="G42" s="1"/>
      <c r="H42" s="1"/>
      <c r="I42" s="1"/>
      <c r="J42" s="1"/>
    </row>
    <row r="43" spans="2:10" x14ac:dyDescent="0.25">
      <c r="B43" s="25" t="s">
        <v>80</v>
      </c>
      <c r="C43" s="339" t="str">
        <f t="shared" ref="C43:E44" si="0">C4</f>
        <v xml:space="preserve">Prior Year </v>
      </c>
      <c r="D43" s="340" t="str">
        <f t="shared" si="0"/>
        <v xml:space="preserve">Current Year </v>
      </c>
      <c r="E43" s="80" t="str">
        <f t="shared" si="0"/>
        <v xml:space="preserve">Proposed Budget </v>
      </c>
      <c r="G43" s="1"/>
      <c r="H43" s="1"/>
      <c r="I43" s="1"/>
      <c r="J43" s="1"/>
    </row>
    <row r="44" spans="2:10" x14ac:dyDescent="0.25">
      <c r="B44" s="247">
        <f>inputPrYr!B27</f>
        <v>0</v>
      </c>
      <c r="C44" s="231" t="str">
        <f t="shared" si="0"/>
        <v>Actual for 2023</v>
      </c>
      <c r="D44" s="231" t="str">
        <f t="shared" si="0"/>
        <v>Estimate for 2024</v>
      </c>
      <c r="E44" s="136" t="str">
        <f t="shared" si="0"/>
        <v>Year for 2025</v>
      </c>
      <c r="G44" s="1"/>
      <c r="H44" s="1"/>
      <c r="I44" s="1"/>
      <c r="J44" s="1"/>
    </row>
    <row r="45" spans="2:10" x14ac:dyDescent="0.25">
      <c r="B45" s="60" t="s">
        <v>195</v>
      </c>
      <c r="C45" s="229"/>
      <c r="D45" s="232">
        <f>C75</f>
        <v>0</v>
      </c>
      <c r="E45" s="106">
        <f>D75</f>
        <v>0</v>
      </c>
      <c r="G45" s="1"/>
      <c r="H45" s="1"/>
      <c r="I45" s="1"/>
      <c r="J45" s="1"/>
    </row>
    <row r="46" spans="2:10" x14ac:dyDescent="0.25">
      <c r="B46" s="137" t="s">
        <v>197</v>
      </c>
      <c r="C46" s="139"/>
      <c r="D46" s="139"/>
      <c r="E46" s="50"/>
      <c r="G46" s="1"/>
      <c r="H46" s="1"/>
      <c r="I46" s="1"/>
      <c r="J46" s="1"/>
    </row>
    <row r="47" spans="2:10" x14ac:dyDescent="0.25">
      <c r="B47" s="60" t="s">
        <v>81</v>
      </c>
      <c r="C47" s="229"/>
      <c r="D47" s="232">
        <f>IF(inputPrYr!H27&gt;0,inputPrYr!H27,inputPrYr!E27)</f>
        <v>0</v>
      </c>
      <c r="E47" s="165" t="s">
        <v>66</v>
      </c>
      <c r="G47" s="1"/>
      <c r="H47" s="1"/>
      <c r="I47" s="1"/>
      <c r="J47" s="1"/>
    </row>
    <row r="48" spans="2:10" x14ac:dyDescent="0.25">
      <c r="B48" s="60" t="s">
        <v>82</v>
      </c>
      <c r="C48" s="229"/>
      <c r="D48" s="229"/>
      <c r="E48" s="42"/>
      <c r="G48" s="1"/>
      <c r="H48" s="1"/>
      <c r="I48" s="1"/>
      <c r="J48" s="1"/>
    </row>
    <row r="49" spans="2:11" x14ac:dyDescent="0.25">
      <c r="B49" s="60" t="s">
        <v>83</v>
      </c>
      <c r="C49" s="229"/>
      <c r="D49" s="229"/>
      <c r="E49" s="106" t="str">
        <f>Mvalloc!D17</f>
        <v xml:space="preserve">  </v>
      </c>
      <c r="G49" s="1"/>
      <c r="H49" s="1"/>
      <c r="I49" s="1"/>
      <c r="J49" s="1"/>
    </row>
    <row r="50" spans="2:11" x14ac:dyDescent="0.2">
      <c r="B50" s="60" t="s">
        <v>84</v>
      </c>
      <c r="C50" s="229"/>
      <c r="D50" s="229"/>
      <c r="E50" s="106" t="str">
        <f>Mvalloc!E17</f>
        <v xml:space="preserve">  </v>
      </c>
      <c r="G50" s="646" t="str">
        <f>CONCATENATE("Desired Carryover Into ",E1+1,"")</f>
        <v>Desired Carryover Into 2026</v>
      </c>
      <c r="H50" s="647"/>
      <c r="I50" s="647"/>
      <c r="J50" s="648"/>
    </row>
    <row r="51" spans="2:11" x14ac:dyDescent="0.2">
      <c r="B51" s="139" t="s">
        <v>176</v>
      </c>
      <c r="C51" s="229"/>
      <c r="D51" s="229"/>
      <c r="E51" s="106" t="str">
        <f>Mvalloc!F17</f>
        <v xml:space="preserve">  </v>
      </c>
      <c r="G51" s="298"/>
      <c r="H51" s="299"/>
      <c r="I51" s="300"/>
      <c r="J51" s="301"/>
    </row>
    <row r="52" spans="2:11" x14ac:dyDescent="0.2">
      <c r="B52" s="137" t="s">
        <v>348</v>
      </c>
      <c r="C52" s="229"/>
      <c r="D52" s="229"/>
      <c r="E52" s="106" t="str">
        <f>Mvalloc!G17</f>
        <v xml:space="preserve">  </v>
      </c>
      <c r="G52" s="302" t="s">
        <v>297</v>
      </c>
      <c r="H52" s="300"/>
      <c r="I52" s="300"/>
      <c r="J52" s="303">
        <v>0</v>
      </c>
    </row>
    <row r="53" spans="2:11" x14ac:dyDescent="0.2">
      <c r="B53" s="137" t="s">
        <v>349</v>
      </c>
      <c r="C53" s="229"/>
      <c r="D53" s="229"/>
      <c r="E53" s="106" t="str">
        <f>Mvalloc!H17</f>
        <v xml:space="preserve">  </v>
      </c>
      <c r="G53" s="298" t="s">
        <v>298</v>
      </c>
      <c r="H53" s="299"/>
      <c r="I53" s="299"/>
      <c r="J53" s="304" t="str">
        <f>IF(J52=0,"",ROUND((J52+E81-G65)/inputOth!E6*1000,3)-G70)</f>
        <v/>
      </c>
    </row>
    <row r="54" spans="2:11" x14ac:dyDescent="0.2">
      <c r="B54" s="150"/>
      <c r="C54" s="229"/>
      <c r="D54" s="229"/>
      <c r="E54" s="42"/>
      <c r="G54" s="305" t="str">
        <f>CONCATENATE("",E1," Tot Exp/Non-Appr Must Be:")</f>
        <v>2025 Tot Exp/Non-Appr Must Be:</v>
      </c>
      <c r="H54" s="306"/>
      <c r="I54" s="307"/>
      <c r="J54" s="308">
        <f>IF(J52&gt;0,IF(E78&lt;E64,IF(J52=G65,E78,((J52-G65)*(1-D80))+E64),E78+(J52-G65)),0)</f>
        <v>0</v>
      </c>
    </row>
    <row r="55" spans="2:11" x14ac:dyDescent="0.2">
      <c r="B55" s="150"/>
      <c r="C55" s="229"/>
      <c r="D55" s="229"/>
      <c r="E55" s="42"/>
      <c r="G55" s="309" t="s">
        <v>318</v>
      </c>
      <c r="H55" s="310"/>
      <c r="I55" s="310"/>
      <c r="J55" s="311">
        <f>IF(J52&gt;0,J54-E78,0)</f>
        <v>0</v>
      </c>
    </row>
    <row r="56" spans="2:11" x14ac:dyDescent="0.25">
      <c r="B56" s="150"/>
      <c r="C56" s="229"/>
      <c r="D56" s="229"/>
      <c r="E56" s="42"/>
      <c r="G56" s="1"/>
      <c r="H56" s="1"/>
      <c r="I56" s="1"/>
      <c r="J56" s="1"/>
    </row>
    <row r="57" spans="2:11" x14ac:dyDescent="0.2">
      <c r="B57" s="150"/>
      <c r="C57" s="229"/>
      <c r="D57" s="229"/>
      <c r="E57" s="42"/>
      <c r="G57" s="646" t="str">
        <f>CONCATENATE("Projected Carryover Into ",E1+1,"")</f>
        <v>Projected Carryover Into 2026</v>
      </c>
      <c r="H57" s="668"/>
      <c r="I57" s="668"/>
      <c r="J57" s="667"/>
    </row>
    <row r="58" spans="2:11" x14ac:dyDescent="0.25">
      <c r="B58" s="150"/>
      <c r="C58" s="229"/>
      <c r="D58" s="229"/>
      <c r="E58" s="42"/>
      <c r="G58" s="327"/>
      <c r="H58" s="299"/>
      <c r="I58" s="299"/>
      <c r="J58" s="322"/>
    </row>
    <row r="59" spans="2:11" x14ac:dyDescent="0.25">
      <c r="B59" s="142" t="s">
        <v>88</v>
      </c>
      <c r="C59" s="229"/>
      <c r="D59" s="229"/>
      <c r="E59" s="42"/>
      <c r="G59" s="318">
        <f>D75</f>
        <v>0</v>
      </c>
      <c r="H59" s="316" t="str">
        <f>CONCATENATE("",E1-1," Ending Cash Balance (est.)")</f>
        <v>2024 Ending Cash Balance (est.)</v>
      </c>
      <c r="I59" s="319"/>
      <c r="J59" s="322"/>
    </row>
    <row r="60" spans="2:11" x14ac:dyDescent="0.25">
      <c r="B60" s="143" t="s">
        <v>40</v>
      </c>
      <c r="C60" s="229"/>
      <c r="D60" s="229"/>
      <c r="E60" s="106">
        <f>'NR Rebate'!E16*-1</f>
        <v>0</v>
      </c>
      <c r="G60" s="318">
        <f>E63</f>
        <v>0</v>
      </c>
      <c r="H60" s="300" t="str">
        <f>CONCATENATE("",E1," Non-AV Receipts (est.)")</f>
        <v>2025 Non-AV Receipts (est.)</v>
      </c>
      <c r="I60" s="319"/>
      <c r="J60" s="322"/>
    </row>
    <row r="61" spans="2:11" x14ac:dyDescent="0.25">
      <c r="B61" s="143" t="s">
        <v>38</v>
      </c>
      <c r="C61" s="229"/>
      <c r="D61" s="229"/>
      <c r="E61" s="42"/>
      <c r="G61" s="320">
        <f>IF(E80&gt;0,E79,E81)</f>
        <v>0</v>
      </c>
      <c r="H61" s="300" t="str">
        <f>CONCATENATE("",E1," Ad Valorem Tax (est.)")</f>
        <v>2025 Ad Valorem Tax (est.)</v>
      </c>
      <c r="I61" s="319"/>
      <c r="J61" s="322"/>
      <c r="K61" s="314" t="str">
        <f>IF(G61=E81,"","Note: Does not include Delinquent Taxes")</f>
        <v/>
      </c>
    </row>
    <row r="62" spans="2:11" x14ac:dyDescent="0.25">
      <c r="B62" s="143" t="s">
        <v>291</v>
      </c>
      <c r="C62" s="230" t="str">
        <f>IF(C63*0.1&lt;C61,"Exceed 10% Rule","")</f>
        <v/>
      </c>
      <c r="D62" s="230" t="str">
        <f>IF(D63*0.1&lt;D61,"Exceed 10% Rule","")</f>
        <v/>
      </c>
      <c r="E62" s="170" t="str">
        <f>IF(E63*0.1+E81&lt;E61,"Exceed 10% Rule","")</f>
        <v/>
      </c>
      <c r="G62" s="328">
        <f>SUM(G59:G61)</f>
        <v>0</v>
      </c>
      <c r="H62" s="300" t="str">
        <f>CONCATENATE("Total ",E1," Resources Available")</f>
        <v>Total 2025 Resources Available</v>
      </c>
      <c r="I62" s="329"/>
      <c r="J62" s="322"/>
    </row>
    <row r="63" spans="2:11" x14ac:dyDescent="0.25">
      <c r="B63" s="145" t="s">
        <v>89</v>
      </c>
      <c r="C63" s="463">
        <f>SUM(C47:C61)</f>
        <v>0</v>
      </c>
      <c r="D63" s="463">
        <f>SUM(D47:D61)</f>
        <v>0</v>
      </c>
      <c r="E63" s="463">
        <f>SUM(E47:E61)</f>
        <v>0</v>
      </c>
      <c r="G63" s="330"/>
      <c r="H63" s="331"/>
      <c r="I63" s="299"/>
      <c r="J63" s="322"/>
    </row>
    <row r="64" spans="2:11" x14ac:dyDescent="0.25">
      <c r="B64" s="145" t="s">
        <v>90</v>
      </c>
      <c r="C64" s="463">
        <f>C45+C63</f>
        <v>0</v>
      </c>
      <c r="D64" s="463">
        <f>D45+D63</f>
        <v>0</v>
      </c>
      <c r="E64" s="463">
        <f>E45+E63</f>
        <v>0</v>
      </c>
      <c r="G64" s="332">
        <f>ROUND(C74*0.05+C74,0)</f>
        <v>0</v>
      </c>
      <c r="H64" s="300" t="str">
        <f>CONCATENATE("Less ",E1-2," Expenditures + 5%")</f>
        <v>Less 2023 Expenditures + 5%</v>
      </c>
      <c r="I64" s="329"/>
      <c r="J64" s="322"/>
    </row>
    <row r="65" spans="2:10" x14ac:dyDescent="0.25">
      <c r="B65" s="60" t="s">
        <v>93</v>
      </c>
      <c r="C65" s="143"/>
      <c r="D65" s="143"/>
      <c r="E65" s="38"/>
      <c r="G65" s="333">
        <f>G62-G64</f>
        <v>0</v>
      </c>
      <c r="H65" s="324" t="str">
        <f>CONCATENATE("Projected ",E1+1," carryover (est.)")</f>
        <v>Projected 2026 carryover (est.)</v>
      </c>
      <c r="I65" s="334"/>
      <c r="J65" s="335"/>
    </row>
    <row r="66" spans="2:10" x14ac:dyDescent="0.25">
      <c r="B66" s="150"/>
      <c r="C66" s="229"/>
      <c r="D66" s="229"/>
      <c r="E66" s="42"/>
      <c r="G66" s="1"/>
      <c r="H66" s="1"/>
      <c r="I66" s="1"/>
      <c r="J66" s="1"/>
    </row>
    <row r="67" spans="2:10" x14ac:dyDescent="0.2">
      <c r="B67" s="150"/>
      <c r="C67" s="229"/>
      <c r="D67" s="229"/>
      <c r="E67" s="42"/>
      <c r="G67" s="649" t="s">
        <v>558</v>
      </c>
      <c r="H67" s="650"/>
      <c r="I67" s="650"/>
      <c r="J67" s="651"/>
    </row>
    <row r="68" spans="2:10" x14ac:dyDescent="0.2">
      <c r="B68" s="150"/>
      <c r="C68" s="229"/>
      <c r="D68" s="229"/>
      <c r="E68" s="42"/>
      <c r="G68" s="652"/>
      <c r="H68" s="653"/>
      <c r="I68" s="653"/>
      <c r="J68" s="654"/>
    </row>
    <row r="69" spans="2:10" x14ac:dyDescent="0.2">
      <c r="B69" s="150"/>
      <c r="C69" s="229"/>
      <c r="D69" s="229"/>
      <c r="E69" s="42"/>
      <c r="G69" s="509" t="str">
        <f>'Budget Hearing Notice'!H26</f>
        <v xml:space="preserve">  </v>
      </c>
      <c r="H69" s="316" t="str">
        <f>CONCATENATE("",E1," Estimated Fund Mill Rate")</f>
        <v>2025 Estimated Fund Mill Rate</v>
      </c>
      <c r="I69" s="510"/>
      <c r="J69" s="511"/>
    </row>
    <row r="70" spans="2:10" x14ac:dyDescent="0.2">
      <c r="B70" s="150"/>
      <c r="C70" s="229"/>
      <c r="D70" s="229"/>
      <c r="E70" s="42"/>
      <c r="G70" s="512" t="str">
        <f>'Budget Hearing Notice'!E26</f>
        <v xml:space="preserve">  </v>
      </c>
      <c r="H70" s="316" t="str">
        <f>CONCATENATE("",E1-1," Fund Mill Rate")</f>
        <v>2024 Fund Mill Rate</v>
      </c>
      <c r="I70" s="510"/>
      <c r="J70" s="511"/>
    </row>
    <row r="71" spans="2:10" x14ac:dyDescent="0.2">
      <c r="B71" s="143" t="str">
        <f>CONCATENATE("Cash Reserve (",E1," column)")</f>
        <v>Cash Reserve (2025 column)</v>
      </c>
      <c r="C71" s="229"/>
      <c r="D71" s="229"/>
      <c r="E71" s="42"/>
      <c r="G71" s="513">
        <f>'Budget Hearing Notice'!H62</f>
        <v>0</v>
      </c>
      <c r="H71" s="514" t="s">
        <v>559</v>
      </c>
      <c r="I71" s="510"/>
      <c r="J71" s="511"/>
    </row>
    <row r="72" spans="2:10" x14ac:dyDescent="0.2">
      <c r="B72" s="143" t="s">
        <v>38</v>
      </c>
      <c r="C72" s="229"/>
      <c r="D72" s="229"/>
      <c r="E72" s="42"/>
      <c r="G72" s="509">
        <f>'Budget Hearing Notice'!H61</f>
        <v>0</v>
      </c>
      <c r="H72" s="316" t="str">
        <f>CONCATENATE(E1," Estimated Total Mill Rate")</f>
        <v>2025 Estimated Total Mill Rate</v>
      </c>
      <c r="I72" s="510"/>
      <c r="J72" s="511"/>
    </row>
    <row r="73" spans="2:10" x14ac:dyDescent="0.2">
      <c r="B73" s="143" t="s">
        <v>290</v>
      </c>
      <c r="C73" s="230" t="str">
        <f>IF(C74*0.1&lt;C72,"Exceed 10% Rule","")</f>
        <v/>
      </c>
      <c r="D73" s="230" t="str">
        <f>IF(D74*0.1&lt;D72,"Exceed 10% Rule","")</f>
        <v/>
      </c>
      <c r="E73" s="170" t="str">
        <f>IF(E74*0.1&lt;E72,"Exceed 10% Rule","")</f>
        <v/>
      </c>
      <c r="G73" s="515">
        <f>'Budget Hearing Notice'!E61</f>
        <v>0</v>
      </c>
      <c r="H73" s="316" t="str">
        <f>CONCATENATE(E1-1," Total Mill Rate")</f>
        <v>2024 Total Mill Rate</v>
      </c>
      <c r="I73" s="510"/>
      <c r="J73" s="511"/>
    </row>
    <row r="74" spans="2:10" x14ac:dyDescent="0.2">
      <c r="B74" s="145" t="s">
        <v>94</v>
      </c>
      <c r="C74" s="463">
        <f>SUM(C66:C72)</f>
        <v>0</v>
      </c>
      <c r="D74" s="463">
        <f>SUM(D66:D72)</f>
        <v>0</v>
      </c>
      <c r="E74" s="463">
        <f>SUM(E66:E72)</f>
        <v>0</v>
      </c>
      <c r="G74" s="327"/>
      <c r="H74" s="299"/>
      <c r="I74" s="299"/>
      <c r="J74" s="329"/>
    </row>
    <row r="75" spans="2:10" x14ac:dyDescent="0.2">
      <c r="B75" s="60" t="s">
        <v>196</v>
      </c>
      <c r="C75" s="106">
        <f>C64-C74</f>
        <v>0</v>
      </c>
      <c r="D75" s="106">
        <f>D64-D74</f>
        <v>0</v>
      </c>
      <c r="E75" s="165" t="s">
        <v>66</v>
      </c>
      <c r="G75" s="655" t="s">
        <v>560</v>
      </c>
      <c r="H75" s="656"/>
      <c r="I75" s="656"/>
      <c r="J75" s="659" t="str">
        <f>IF(G72&gt;G71, "Yes", "No")</f>
        <v>No</v>
      </c>
    </row>
    <row r="76" spans="2:10" x14ac:dyDescent="0.2">
      <c r="B76" s="135" t="str">
        <f>CONCATENATE("",E1-2,"/",E1-1,"/",E1," Budget Authority Amount:")</f>
        <v>2023/2024/2025 Budget Authority Amount:</v>
      </c>
      <c r="C76" s="167">
        <f>inputOth!B43</f>
        <v>0</v>
      </c>
      <c r="D76" s="167">
        <f>inputPrYr!D27</f>
        <v>0</v>
      </c>
      <c r="E76" s="106">
        <f>E74</f>
        <v>0</v>
      </c>
      <c r="G76" s="657"/>
      <c r="H76" s="658"/>
      <c r="I76" s="658"/>
      <c r="J76" s="660"/>
    </row>
    <row r="77" spans="2:10" x14ac:dyDescent="0.2">
      <c r="B77" s="125"/>
      <c r="C77" s="636" t="s">
        <v>294</v>
      </c>
      <c r="D77" s="637"/>
      <c r="E77" s="42"/>
      <c r="G77" s="661" t="str">
        <f>IF(J75="Yes", "Follow procedure prescribed by KSA 79-2988 to exceed the Revenue Neutral Rate.", " ")</f>
        <v xml:space="preserve"> </v>
      </c>
      <c r="H77" s="661"/>
      <c r="I77" s="661"/>
      <c r="J77" s="661"/>
    </row>
    <row r="78" spans="2:10" x14ac:dyDescent="0.2">
      <c r="B78" s="266" t="str">
        <f>CONCATENATE(C99,"     ",D99)</f>
        <v xml:space="preserve">     </v>
      </c>
      <c r="C78" s="638" t="s">
        <v>295</v>
      </c>
      <c r="D78" s="639"/>
      <c r="E78" s="106">
        <f>E74+E77</f>
        <v>0</v>
      </c>
      <c r="G78" s="662"/>
      <c r="H78" s="662"/>
      <c r="I78" s="662"/>
      <c r="J78" s="662"/>
    </row>
    <row r="79" spans="2:10" x14ac:dyDescent="0.2">
      <c r="B79" s="266" t="str">
        <f>CONCATENATE(C100,"     ",D100)</f>
        <v xml:space="preserve">     </v>
      </c>
      <c r="C79" s="152"/>
      <c r="D79" s="90" t="s">
        <v>95</v>
      </c>
      <c r="E79" s="106">
        <f>IF(E78-E64&gt;0,E78-E64,0)</f>
        <v>0</v>
      </c>
      <c r="F79" s="151"/>
      <c r="G79" s="662"/>
      <c r="H79" s="662"/>
      <c r="I79" s="662"/>
      <c r="J79" s="662"/>
    </row>
    <row r="80" spans="2:10" x14ac:dyDescent="0.2">
      <c r="B80" s="90"/>
      <c r="C80" s="265" t="s">
        <v>296</v>
      </c>
      <c r="D80" s="297">
        <f>inputOth!$E$26</f>
        <v>0</v>
      </c>
      <c r="E80" s="106">
        <f>ROUND(IF(D80&gt;0,($E$79*D80),0),0)</f>
        <v>0</v>
      </c>
      <c r="F80" s="238" t="str">
        <f>IF(E74/0.95-E74&lt;E77,"Exceeds 5%","")</f>
        <v/>
      </c>
    </row>
    <row r="81" spans="2:5" x14ac:dyDescent="0.2">
      <c r="B81" s="26"/>
      <c r="C81" s="644" t="str">
        <f>CONCATENATE("Amount of  ",$E$1-1," Ad Valorem Tax")</f>
        <v>Amount of  2024 Ad Valorem Tax</v>
      </c>
      <c r="D81" s="663"/>
      <c r="E81" s="106">
        <f>E79+E80</f>
        <v>0</v>
      </c>
    </row>
    <row r="82" spans="2:5" x14ac:dyDescent="0.2">
      <c r="B82" s="26"/>
      <c r="C82" s="125"/>
      <c r="D82" s="26"/>
      <c r="E82" s="125"/>
    </row>
    <row r="83" spans="2:5" x14ac:dyDescent="0.2">
      <c r="B83" s="423" t="s">
        <v>354</v>
      </c>
      <c r="C83" s="402"/>
      <c r="D83" s="347"/>
      <c r="E83" s="409"/>
    </row>
    <row r="84" spans="2:5" x14ac:dyDescent="0.2">
      <c r="B84" s="126"/>
      <c r="C84" s="125"/>
      <c r="D84" s="26"/>
      <c r="E84" s="410"/>
    </row>
    <row r="85" spans="2:5" x14ac:dyDescent="0.2">
      <c r="B85" s="403"/>
      <c r="C85" s="408"/>
      <c r="D85" s="44"/>
      <c r="E85" s="411"/>
    </row>
    <row r="86" spans="2:5" x14ac:dyDescent="0.2">
      <c r="B86" s="26"/>
      <c r="C86" s="125"/>
      <c r="D86" s="26"/>
      <c r="E86" s="125"/>
    </row>
    <row r="87" spans="2:5" x14ac:dyDescent="0.2">
      <c r="B87" s="125" t="s">
        <v>146</v>
      </c>
      <c r="C87" s="368"/>
      <c r="D87" s="26"/>
      <c r="E87" s="26"/>
    </row>
    <row r="94" spans="2:5" hidden="1" x14ac:dyDescent="0.2"/>
    <row r="95" spans="2:5" hidden="1" x14ac:dyDescent="0.2"/>
    <row r="96" spans="2:5" hidden="1" x14ac:dyDescent="0.2"/>
    <row r="97" spans="3:4" hidden="1" x14ac:dyDescent="0.2">
      <c r="C97" s="23" t="str">
        <f>IF(C34&gt;C36,"See Tab A","")</f>
        <v/>
      </c>
      <c r="D97" s="23" t="str">
        <f>IF(D34&gt;D36,"See Tab C","")</f>
        <v/>
      </c>
    </row>
    <row r="98" spans="3:4" x14ac:dyDescent="0.2">
      <c r="C98" s="23" t="str">
        <f>IF(C35&lt;0,"See Tab B","")</f>
        <v/>
      </c>
      <c r="D98" s="23" t="str">
        <f>IF(D35&lt;0,"See Tab D","")</f>
        <v/>
      </c>
    </row>
    <row r="99" spans="3:4" x14ac:dyDescent="0.2">
      <c r="C99" s="23" t="str">
        <f>IF(C74&gt;C76,"See Tab A","")</f>
        <v/>
      </c>
      <c r="D99" s="23" t="str">
        <f>IF(D74&gt;D76,"See Tab C","")</f>
        <v/>
      </c>
    </row>
    <row r="100" spans="3:4" x14ac:dyDescent="0.2">
      <c r="C100" s="23" t="str">
        <f>IF(C75&lt;0,"See Tab B","")</f>
        <v/>
      </c>
      <c r="D100" s="23" t="str">
        <f>IF(D75&lt;0,"See Tab D","")</f>
        <v/>
      </c>
    </row>
  </sheetData>
  <sheetProtection sheet="1" objects="1" scenarios="1"/>
  <mergeCells count="18">
    <mergeCell ref="C81:D81"/>
    <mergeCell ref="C41:D41"/>
    <mergeCell ref="G67:J68"/>
    <mergeCell ref="G75:I76"/>
    <mergeCell ref="J75:J76"/>
    <mergeCell ref="G77:J79"/>
    <mergeCell ref="C37:D37"/>
    <mergeCell ref="C38:D38"/>
    <mergeCell ref="C77:D77"/>
    <mergeCell ref="C78:D78"/>
    <mergeCell ref="G37:J39"/>
    <mergeCell ref="G10:J10"/>
    <mergeCell ref="G17:J17"/>
    <mergeCell ref="G50:J50"/>
    <mergeCell ref="G57:J57"/>
    <mergeCell ref="G27:J28"/>
    <mergeCell ref="G35:I36"/>
    <mergeCell ref="J35:J36"/>
  </mergeCells>
  <phoneticPr fontId="0" type="noConversion"/>
  <conditionalFormatting sqref="C20">
    <cfRule type="cellIs" dxfId="277" priority="32" stopIfTrue="1" operator="greaterThan">
      <formula>$C$22*0.1</formula>
    </cfRule>
  </conditionalFormatting>
  <conditionalFormatting sqref="C32">
    <cfRule type="cellIs" dxfId="276" priority="29" stopIfTrue="1" operator="greaterThan">
      <formula>$C$34*0.1</formula>
    </cfRule>
  </conditionalFormatting>
  <conditionalFormatting sqref="C34">
    <cfRule type="cellIs" dxfId="275" priority="1" stopIfTrue="1" operator="greaterThan">
      <formula>$C$36</formula>
    </cfRule>
  </conditionalFormatting>
  <conditionalFormatting sqref="C36">
    <cfRule type="cellIs" dxfId="274" priority="7" stopIfTrue="1" operator="greaterThan">
      <formula>$C$36</formula>
    </cfRule>
  </conditionalFormatting>
  <conditionalFormatting sqref="C61">
    <cfRule type="cellIs" dxfId="273" priority="25" stopIfTrue="1" operator="greaterThan">
      <formula>$C$63*0.1</formula>
    </cfRule>
  </conditionalFormatting>
  <conditionalFormatting sqref="C72">
    <cfRule type="cellIs" dxfId="272" priority="22" stopIfTrue="1" operator="greaterThan">
      <formula>$C$74*0.1</formula>
    </cfRule>
  </conditionalFormatting>
  <conditionalFormatting sqref="C74">
    <cfRule type="cellIs" dxfId="271" priority="9" stopIfTrue="1" operator="greaterThan">
      <formula>$C$76</formula>
    </cfRule>
  </conditionalFormatting>
  <conditionalFormatting sqref="C35:D35">
    <cfRule type="cellIs" dxfId="270" priority="3" stopIfTrue="1" operator="lessThan">
      <formula>0</formula>
    </cfRule>
  </conditionalFormatting>
  <conditionalFormatting sqref="C75:D75">
    <cfRule type="cellIs" dxfId="269" priority="5" stopIfTrue="1" operator="lessThan">
      <formula>0</formula>
    </cfRule>
  </conditionalFormatting>
  <conditionalFormatting sqref="D20">
    <cfRule type="cellIs" dxfId="268" priority="33" stopIfTrue="1" operator="greaterThan">
      <formula>$D$22*0.1</formula>
    </cfRule>
  </conditionalFormatting>
  <conditionalFormatting sqref="D32">
    <cfRule type="cellIs" dxfId="267" priority="30" stopIfTrue="1" operator="greaterThan">
      <formula>$D$34*0.1</formula>
    </cfRule>
  </conditionalFormatting>
  <conditionalFormatting sqref="D34">
    <cfRule type="cellIs" dxfId="266" priority="8" stopIfTrue="1" operator="greaterThan">
      <formula>$D$36</formula>
    </cfRule>
  </conditionalFormatting>
  <conditionalFormatting sqref="D61">
    <cfRule type="cellIs" dxfId="265" priority="26" stopIfTrue="1" operator="greaterThan">
      <formula>$D$63*0.1</formula>
    </cfRule>
  </conditionalFormatting>
  <conditionalFormatting sqref="D72">
    <cfRule type="cellIs" dxfId="264" priority="23" stopIfTrue="1" operator="greaterThan">
      <formula>$D$74*0.1</formula>
    </cfRule>
  </conditionalFormatting>
  <conditionalFormatting sqref="D74">
    <cfRule type="cellIs" dxfId="263" priority="10" stopIfTrue="1" operator="greaterThan">
      <formula>$D$76</formula>
    </cfRule>
  </conditionalFormatting>
  <conditionalFormatting sqref="E20">
    <cfRule type="cellIs" dxfId="262" priority="31" stopIfTrue="1" operator="greaterThan">
      <formula>$E$22*0.1+E41</formula>
    </cfRule>
  </conditionalFormatting>
  <conditionalFormatting sqref="E32">
    <cfRule type="cellIs" dxfId="261" priority="18" stopIfTrue="1" operator="greaterThan">
      <formula>$E$34*0.1</formula>
    </cfRule>
  </conditionalFormatting>
  <conditionalFormatting sqref="E37">
    <cfRule type="cellIs" dxfId="260" priority="17" stopIfTrue="1" operator="greaterThan">
      <formula>$E$34/0.95-$E$34</formula>
    </cfRule>
  </conditionalFormatting>
  <conditionalFormatting sqref="E61">
    <cfRule type="cellIs" dxfId="259" priority="24" stopIfTrue="1" operator="greaterThan">
      <formula>$E$63*0.1+E81</formula>
    </cfRule>
  </conditionalFormatting>
  <conditionalFormatting sqref="E72">
    <cfRule type="cellIs" dxfId="258" priority="15" stopIfTrue="1" operator="greaterThan">
      <formula>$E$74*0.1</formula>
    </cfRule>
  </conditionalFormatting>
  <conditionalFormatting sqref="E77">
    <cfRule type="cellIs" dxfId="257" priority="16" stopIfTrue="1" operator="greaterThan">
      <formula>$E$74/0.95-$E$74</formula>
    </cfRule>
  </conditionalFormatting>
  <conditionalFormatting sqref="J35">
    <cfRule type="containsText" dxfId="256" priority="11" operator="containsText" text="Yes">
      <formula>NOT(ISERROR(SEARCH("Yes",J35)))</formula>
    </cfRule>
  </conditionalFormatting>
  <conditionalFormatting sqref="J75">
    <cfRule type="containsText" dxfId="255" priority="12" operator="containsText" text="Yes">
      <formula>NOT(ISERROR(SEARCH("Yes",J75)))</formula>
    </cfRule>
  </conditionalFormatting>
  <pageMargins left="1.1200000000000001" right="0.5" top="0.74" bottom="0.34" header="0.5" footer="0"/>
  <pageSetup scale="51" orientation="portrait" blackAndWhite="1" horizontalDpi="120" verticalDpi="144" r:id="rId1"/>
  <headerFooter alignWithMargins="0">
    <oddHeader xml:space="preserve">&amp;RState of Kansas
County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rgb="FF00B0F0"/>
    <pageSetUpPr fitToPage="1"/>
  </sheetPr>
  <dimension ref="B1:K99"/>
  <sheetViews>
    <sheetView zoomScaleNormal="100" workbookViewId="0">
      <selection activeCell="C71" sqref="C71:E71"/>
    </sheetView>
  </sheetViews>
  <sheetFormatPr defaultRowHeight="15.75" x14ac:dyDescent="0.2"/>
  <cols>
    <col min="1" max="1" width="2.44140625" style="23" customWidth="1"/>
    <col min="2" max="2" width="31.109375" style="23" customWidth="1"/>
    <col min="3" max="4" width="15.77734375" style="23" customWidth="1"/>
    <col min="5" max="5" width="16.109375" style="23" customWidth="1"/>
    <col min="6" max="6" width="7.44140625" style="23" customWidth="1"/>
    <col min="7" max="7" width="10.21875" style="23" customWidth="1"/>
    <col min="8" max="8" width="8.88671875" style="23"/>
    <col min="9" max="9" width="5.88671875" style="23" customWidth="1"/>
    <col min="10" max="10" width="10" style="23" customWidth="1"/>
    <col min="11" max="16384" width="8.88671875" style="23"/>
  </cols>
  <sheetData>
    <row r="1" spans="2:10" x14ac:dyDescent="0.2">
      <c r="B1" s="57">
        <f>(inputPrYr!C3)</f>
        <v>0</v>
      </c>
      <c r="C1" s="26"/>
      <c r="D1" s="26"/>
      <c r="E1" s="125">
        <f>inputPrYr!C5</f>
        <v>2025</v>
      </c>
    </row>
    <row r="2" spans="2:10" x14ac:dyDescent="0.2">
      <c r="B2" s="26"/>
      <c r="C2" s="26"/>
      <c r="D2" s="26"/>
      <c r="E2" s="90"/>
    </row>
    <row r="3" spans="2:10" x14ac:dyDescent="0.2">
      <c r="B3" s="64" t="s">
        <v>185</v>
      </c>
      <c r="C3" s="161"/>
      <c r="D3" s="161"/>
      <c r="E3" s="162"/>
    </row>
    <row r="4" spans="2:10" x14ac:dyDescent="0.2">
      <c r="B4" s="25" t="s">
        <v>80</v>
      </c>
      <c r="C4" s="339" t="s">
        <v>319</v>
      </c>
      <c r="D4" s="340" t="s">
        <v>320</v>
      </c>
      <c r="E4" s="80" t="s">
        <v>321</v>
      </c>
    </row>
    <row r="5" spans="2:10" x14ac:dyDescent="0.2">
      <c r="B5" s="248">
        <f>inputPrYr!B28</f>
        <v>0</v>
      </c>
      <c r="C5" s="231" t="str">
        <f>CONCATENATE("Actual for ",E1-2,"")</f>
        <v>Actual for 2023</v>
      </c>
      <c r="D5" s="231" t="str">
        <f>CONCATENATE("Estimate for ",E1-1,"")</f>
        <v>Estimate for 2024</v>
      </c>
      <c r="E5" s="136" t="str">
        <f>CONCATENATE("Year for ",E1,"")</f>
        <v>Year for 2025</v>
      </c>
    </row>
    <row r="6" spans="2:10" x14ac:dyDescent="0.2">
      <c r="B6" s="60" t="s">
        <v>195</v>
      </c>
      <c r="C6" s="229"/>
      <c r="D6" s="232">
        <f>C34</f>
        <v>0</v>
      </c>
      <c r="E6" s="106">
        <f>D34</f>
        <v>0</v>
      </c>
    </row>
    <row r="7" spans="2:10" x14ac:dyDescent="0.2">
      <c r="B7" s="128" t="s">
        <v>197</v>
      </c>
      <c r="C7" s="139"/>
      <c r="D7" s="139"/>
      <c r="E7" s="50"/>
    </row>
    <row r="8" spans="2:10" x14ac:dyDescent="0.2">
      <c r="B8" s="60" t="s">
        <v>81</v>
      </c>
      <c r="C8" s="229"/>
      <c r="D8" s="232">
        <f>IF(inputPrYr!H28&gt;0,inputPrYr!H28,inputPrYr!E28)</f>
        <v>0</v>
      </c>
      <c r="E8" s="165" t="s">
        <v>66</v>
      </c>
      <c r="G8" s="646" t="str">
        <f>CONCATENATE("Desired Carryover Into ",E1+1,"")</f>
        <v>Desired Carryover Into 2026</v>
      </c>
      <c r="H8" s="647"/>
      <c r="I8" s="647"/>
      <c r="J8" s="648"/>
    </row>
    <row r="9" spans="2:10" x14ac:dyDescent="0.2">
      <c r="B9" s="60" t="s">
        <v>82</v>
      </c>
      <c r="C9" s="229"/>
      <c r="D9" s="229"/>
      <c r="E9" s="42"/>
      <c r="G9" s="298"/>
      <c r="H9" s="299"/>
      <c r="I9" s="300"/>
      <c r="J9" s="301"/>
    </row>
    <row r="10" spans="2:10" x14ac:dyDescent="0.2">
      <c r="B10" s="60" t="s">
        <v>83</v>
      </c>
      <c r="C10" s="229"/>
      <c r="D10" s="229"/>
      <c r="E10" s="106" t="str">
        <f>Mvalloc!D18</f>
        <v xml:space="preserve">  </v>
      </c>
      <c r="G10" s="302" t="s">
        <v>297</v>
      </c>
      <c r="H10" s="300"/>
      <c r="I10" s="300"/>
      <c r="J10" s="303">
        <v>0</v>
      </c>
    </row>
    <row r="11" spans="2:10" x14ac:dyDescent="0.2">
      <c r="B11" s="60" t="s">
        <v>84</v>
      </c>
      <c r="C11" s="229"/>
      <c r="D11" s="229"/>
      <c r="E11" s="106" t="str">
        <f>Mvalloc!E18</f>
        <v xml:space="preserve">  </v>
      </c>
      <c r="G11" s="298" t="s">
        <v>298</v>
      </c>
      <c r="H11" s="299"/>
      <c r="I11" s="299"/>
      <c r="J11" s="304" t="str">
        <f>IF(J10=0,"",ROUND((J10+E40-G23)/inputOth!E6*1000,3)-G28)</f>
        <v/>
      </c>
    </row>
    <row r="12" spans="2:10" x14ac:dyDescent="0.2">
      <c r="B12" s="139" t="s">
        <v>176</v>
      </c>
      <c r="C12" s="229"/>
      <c r="D12" s="229"/>
      <c r="E12" s="106" t="str">
        <f>Mvalloc!F18</f>
        <v xml:space="preserve">  </v>
      </c>
      <c r="G12" s="305" t="str">
        <f>CONCATENATE("",E1," Tot Exp/Non-Appr Must Be:")</f>
        <v>2025 Tot Exp/Non-Appr Must Be:</v>
      </c>
      <c r="H12" s="306"/>
      <c r="I12" s="307"/>
      <c r="J12" s="308">
        <f>IF(J10&gt;0,IF(E37&lt;E23,IF(J10=G23,E37,((J10-G23)*(1-D39))+E23),E37+(J10-G23)),0)</f>
        <v>0</v>
      </c>
    </row>
    <row r="13" spans="2:10" x14ac:dyDescent="0.2">
      <c r="B13" s="137" t="s">
        <v>348</v>
      </c>
      <c r="C13" s="229"/>
      <c r="D13" s="229"/>
      <c r="E13" s="106" t="str">
        <f>Mvalloc!G18</f>
        <v xml:space="preserve">  </v>
      </c>
      <c r="G13" s="309" t="s">
        <v>318</v>
      </c>
      <c r="H13" s="310"/>
      <c r="I13" s="310"/>
      <c r="J13" s="311">
        <f>IF(J10&gt;0,J12-E37,0)</f>
        <v>0</v>
      </c>
    </row>
    <row r="14" spans="2:10" x14ac:dyDescent="0.25">
      <c r="B14" s="137" t="s">
        <v>349</v>
      </c>
      <c r="C14" s="229"/>
      <c r="D14" s="229"/>
      <c r="E14" s="106" t="str">
        <f>Mvalloc!H18</f>
        <v xml:space="preserve">  </v>
      </c>
      <c r="G14" s="1"/>
      <c r="H14" s="1"/>
      <c r="I14" s="1"/>
      <c r="J14" s="1"/>
    </row>
    <row r="15" spans="2:10" x14ac:dyDescent="0.2">
      <c r="B15" s="150"/>
      <c r="C15" s="229"/>
      <c r="D15" s="229"/>
      <c r="E15" s="42"/>
      <c r="G15" s="646" t="str">
        <f>CONCATENATE("Projected Carryover Into ",E1+1,"")</f>
        <v>Projected Carryover Into 2026</v>
      </c>
      <c r="H15" s="666"/>
      <c r="I15" s="666"/>
      <c r="J15" s="667"/>
    </row>
    <row r="16" spans="2:10" x14ac:dyDescent="0.2">
      <c r="B16" s="150"/>
      <c r="C16" s="229"/>
      <c r="D16" s="229"/>
      <c r="E16" s="42"/>
      <c r="G16" s="298"/>
      <c r="H16" s="300"/>
      <c r="I16" s="300"/>
      <c r="J16" s="317"/>
    </row>
    <row r="17" spans="2:11" x14ac:dyDescent="0.2">
      <c r="B17" s="150"/>
      <c r="C17" s="229"/>
      <c r="D17" s="229"/>
      <c r="E17" s="42"/>
      <c r="G17" s="318">
        <f>D34</f>
        <v>0</v>
      </c>
      <c r="H17" s="316" t="str">
        <f>CONCATENATE("",E1-1," Ending Cash Balance (est.)")</f>
        <v>2024 Ending Cash Balance (est.)</v>
      </c>
      <c r="I17" s="319"/>
      <c r="J17" s="317"/>
    </row>
    <row r="18" spans="2:11" x14ac:dyDescent="0.2">
      <c r="B18" s="142" t="s">
        <v>88</v>
      </c>
      <c r="C18" s="229"/>
      <c r="D18" s="229"/>
      <c r="E18" s="42"/>
      <c r="G18" s="318">
        <f>E22</f>
        <v>0</v>
      </c>
      <c r="H18" s="300" t="str">
        <f>CONCATENATE("",E1," Non-AV Receipts (est.)")</f>
        <v>2025 Non-AV Receipts (est.)</v>
      </c>
      <c r="I18" s="319"/>
      <c r="J18" s="317"/>
    </row>
    <row r="19" spans="2:11" x14ac:dyDescent="0.2">
      <c r="B19" s="143" t="s">
        <v>40</v>
      </c>
      <c r="C19" s="229"/>
      <c r="D19" s="229"/>
      <c r="E19" s="106">
        <f>'NR Rebate'!E17*-1</f>
        <v>0</v>
      </c>
      <c r="G19" s="320">
        <f>IF(E39&gt;0,E38,E40)</f>
        <v>0</v>
      </c>
      <c r="H19" s="300" t="str">
        <f>CONCATENATE("",E1," Ad Valorem Tax (est.)")</f>
        <v>2025 Ad Valorem Tax (est.)</v>
      </c>
      <c r="I19" s="319"/>
      <c r="J19" s="317"/>
      <c r="K19" s="314" t="str">
        <f>IF(G19=E40,"","Note: Does not include Delinquent Taxes")</f>
        <v/>
      </c>
    </row>
    <row r="20" spans="2:11" x14ac:dyDescent="0.2">
      <c r="B20" s="143" t="s">
        <v>38</v>
      </c>
      <c r="C20" s="229"/>
      <c r="D20" s="229"/>
      <c r="E20" s="42"/>
      <c r="G20" s="318">
        <f>SUM(G17:G19)</f>
        <v>0</v>
      </c>
      <c r="H20" s="300" t="str">
        <f>CONCATENATE("Total ",E1," Resources Available")</f>
        <v>Total 2025 Resources Available</v>
      </c>
      <c r="I20" s="319"/>
      <c r="J20" s="317"/>
    </row>
    <row r="21" spans="2:11" x14ac:dyDescent="0.2">
      <c r="B21" s="143" t="s">
        <v>291</v>
      </c>
      <c r="C21" s="230" t="str">
        <f>IF(C22*0.1&lt;C20,"Exceed 10% Rule","")</f>
        <v/>
      </c>
      <c r="D21" s="230" t="str">
        <f>IF(D22*0.1&lt;D20,"Exceed 10% Rule","")</f>
        <v/>
      </c>
      <c r="E21" s="170" t="str">
        <f>IF(E22*0.1+E40&lt;E20,"Exceed 10% Rule","")</f>
        <v/>
      </c>
      <c r="G21" s="321"/>
      <c r="H21" s="300"/>
      <c r="I21" s="300"/>
      <c r="J21" s="317"/>
    </row>
    <row r="22" spans="2:11" x14ac:dyDescent="0.25">
      <c r="B22" s="145" t="s">
        <v>89</v>
      </c>
      <c r="C22" s="463">
        <f>SUM(C8:C20)</f>
        <v>0</v>
      </c>
      <c r="D22" s="463">
        <f>SUM(D8:D20)</f>
        <v>0</v>
      </c>
      <c r="E22" s="463">
        <f>SUM(E8:E20)</f>
        <v>0</v>
      </c>
      <c r="G22" s="320">
        <f>ROUND(C33*0.05+C33,0)</f>
        <v>0</v>
      </c>
      <c r="H22" s="300" t="str">
        <f>CONCATENATE("Less ",E1-2," Expenditures + 5%")</f>
        <v>Less 2023 Expenditures + 5%</v>
      </c>
      <c r="I22" s="319"/>
      <c r="J22" s="322"/>
    </row>
    <row r="23" spans="2:11" x14ac:dyDescent="0.2">
      <c r="B23" s="145" t="s">
        <v>90</v>
      </c>
      <c r="C23" s="463">
        <f>C6+C22</f>
        <v>0</v>
      </c>
      <c r="D23" s="463">
        <f>D6+D22</f>
        <v>0</v>
      </c>
      <c r="E23" s="463">
        <f>E6+E22</f>
        <v>0</v>
      </c>
      <c r="G23" s="323">
        <f>G20-G22</f>
        <v>0</v>
      </c>
      <c r="H23" s="324" t="str">
        <f>CONCATENATE("Projected ",E1+1," carryover (est.)")</f>
        <v>Projected 2026 carryover (est.)</v>
      </c>
      <c r="I23" s="325"/>
      <c r="J23" s="326"/>
    </row>
    <row r="24" spans="2:11" x14ac:dyDescent="0.25">
      <c r="B24" s="60" t="s">
        <v>93</v>
      </c>
      <c r="C24" s="143"/>
      <c r="D24" s="143"/>
      <c r="E24" s="38"/>
      <c r="G24" s="1"/>
      <c r="H24" s="1"/>
      <c r="I24" s="1"/>
      <c r="J24" s="1"/>
    </row>
    <row r="25" spans="2:11" x14ac:dyDescent="0.2">
      <c r="B25" s="150"/>
      <c r="C25" s="229"/>
      <c r="D25" s="229"/>
      <c r="E25" s="42"/>
      <c r="G25" s="649" t="s">
        <v>558</v>
      </c>
      <c r="H25" s="650"/>
      <c r="I25" s="650"/>
      <c r="J25" s="651"/>
    </row>
    <row r="26" spans="2:11" x14ac:dyDescent="0.2">
      <c r="B26" s="150"/>
      <c r="C26" s="229"/>
      <c r="D26" s="229"/>
      <c r="E26" s="42"/>
      <c r="G26" s="652"/>
      <c r="H26" s="653"/>
      <c r="I26" s="653"/>
      <c r="J26" s="654"/>
    </row>
    <row r="27" spans="2:11" x14ac:dyDescent="0.2">
      <c r="B27" s="150"/>
      <c r="C27" s="229"/>
      <c r="D27" s="229"/>
      <c r="E27" s="42"/>
      <c r="G27" s="509" t="str">
        <f>'Budget Hearing Notice'!H27</f>
        <v xml:space="preserve">  </v>
      </c>
      <c r="H27" s="316" t="str">
        <f>CONCATENATE("",E1," Estimated Fund Mill Rate")</f>
        <v>2025 Estimated Fund Mill Rate</v>
      </c>
      <c r="I27" s="510"/>
      <c r="J27" s="511"/>
    </row>
    <row r="28" spans="2:11" x14ac:dyDescent="0.2">
      <c r="B28" s="150"/>
      <c r="C28" s="229"/>
      <c r="D28" s="229"/>
      <c r="E28" s="42"/>
      <c r="G28" s="512" t="str">
        <f>'Budget Hearing Notice'!E27</f>
        <v xml:space="preserve">  </v>
      </c>
      <c r="H28" s="316" t="str">
        <f>CONCATENATE("",E1-1," Fund Mill Rate")</f>
        <v>2024 Fund Mill Rate</v>
      </c>
      <c r="I28" s="510"/>
      <c r="J28" s="511"/>
    </row>
    <row r="29" spans="2:11" x14ac:dyDescent="0.2">
      <c r="B29" s="150"/>
      <c r="C29" s="229"/>
      <c r="D29" s="229"/>
      <c r="E29" s="42"/>
      <c r="G29" s="513">
        <f>'Budget Hearing Notice'!H62</f>
        <v>0</v>
      </c>
      <c r="H29" s="514" t="s">
        <v>559</v>
      </c>
      <c r="I29" s="510"/>
      <c r="J29" s="511"/>
    </row>
    <row r="30" spans="2:11" x14ac:dyDescent="0.2">
      <c r="B30" s="143" t="str">
        <f>CONCATENATE("Cash Reserve (",E1," column)")</f>
        <v>Cash Reserve (2025 column)</v>
      </c>
      <c r="C30" s="229"/>
      <c r="D30" s="229"/>
      <c r="E30" s="42"/>
      <c r="G30" s="509">
        <f>'Budget Hearing Notice'!H61</f>
        <v>0</v>
      </c>
      <c r="H30" s="316" t="str">
        <f>CONCATENATE(E1," Estimated Total Mill Rate")</f>
        <v>2025 Estimated Total Mill Rate</v>
      </c>
      <c r="I30" s="510"/>
      <c r="J30" s="511"/>
    </row>
    <row r="31" spans="2:11" x14ac:dyDescent="0.2">
      <c r="B31" s="143" t="s">
        <v>38</v>
      </c>
      <c r="C31" s="229"/>
      <c r="D31" s="229"/>
      <c r="E31" s="42"/>
      <c r="G31" s="515">
        <f>'Budget Hearing Notice'!E61</f>
        <v>0</v>
      </c>
      <c r="H31" s="316" t="str">
        <f>CONCATENATE(E1-1," Total Mill Rate")</f>
        <v>2024 Total Mill Rate</v>
      </c>
      <c r="I31" s="510"/>
      <c r="J31" s="511"/>
    </row>
    <row r="32" spans="2:11" x14ac:dyDescent="0.2">
      <c r="B32" s="143" t="s">
        <v>290</v>
      </c>
      <c r="C32" s="230" t="str">
        <f>IF(C33*0.1&lt;C31,"Exceed 10% Rule","")</f>
        <v/>
      </c>
      <c r="D32" s="230" t="str">
        <f>IF(D33*0.1&lt;D31,"Exceed 10% Rule","")</f>
        <v/>
      </c>
      <c r="E32" s="170" t="str">
        <f>IF(E33*0.1&lt;E31,"Exceed 10% Rule","")</f>
        <v/>
      </c>
      <c r="G32" s="327"/>
      <c r="H32" s="299"/>
      <c r="I32" s="299"/>
      <c r="J32" s="329"/>
    </row>
    <row r="33" spans="2:10" x14ac:dyDescent="0.2">
      <c r="B33" s="145" t="s">
        <v>94</v>
      </c>
      <c r="C33" s="463">
        <f>SUM(C25:C31)</f>
        <v>0</v>
      </c>
      <c r="D33" s="463">
        <f>SUM(D25:D31)</f>
        <v>0</v>
      </c>
      <c r="E33" s="463">
        <f>SUM(E25:E31)</f>
        <v>0</v>
      </c>
      <c r="G33" s="655" t="s">
        <v>560</v>
      </c>
      <c r="H33" s="656"/>
      <c r="I33" s="656"/>
      <c r="J33" s="659" t="str">
        <f>IF(G30&gt;G29, "Yes", "No")</f>
        <v>No</v>
      </c>
    </row>
    <row r="34" spans="2:10" x14ac:dyDescent="0.2">
      <c r="B34" s="60" t="s">
        <v>196</v>
      </c>
      <c r="C34" s="106">
        <f>C23-C33</f>
        <v>0</v>
      </c>
      <c r="D34" s="106">
        <f>D23-D33</f>
        <v>0</v>
      </c>
      <c r="E34" s="165" t="s">
        <v>66</v>
      </c>
      <c r="G34" s="657"/>
      <c r="H34" s="658"/>
      <c r="I34" s="658"/>
      <c r="J34" s="660"/>
    </row>
    <row r="35" spans="2:10" x14ac:dyDescent="0.2">
      <c r="B35" s="135" t="str">
        <f>CONCATENATE("",E1-2,"/",E1-1,"/",E1," Budget Authority Amount:")</f>
        <v>2023/2024/2025 Budget Authority Amount:</v>
      </c>
      <c r="C35" s="167">
        <f>inputOth!B44</f>
        <v>0</v>
      </c>
      <c r="D35" s="167">
        <f>inputPrYr!D28</f>
        <v>0</v>
      </c>
      <c r="E35" s="106">
        <f>E33</f>
        <v>0</v>
      </c>
      <c r="G35" s="661" t="str">
        <f>IF(J33="Yes", "Follow procedure prescribed by KSA 79-2988 to exceed the Revenue Neutral Rate.", " ")</f>
        <v xml:space="preserve"> </v>
      </c>
      <c r="H35" s="661"/>
      <c r="I35" s="661"/>
      <c r="J35" s="661"/>
    </row>
    <row r="36" spans="2:10" x14ac:dyDescent="0.2">
      <c r="B36" s="125"/>
      <c r="C36" s="636" t="s">
        <v>294</v>
      </c>
      <c r="D36" s="637"/>
      <c r="E36" s="42"/>
      <c r="G36" s="662"/>
      <c r="H36" s="662"/>
      <c r="I36" s="662"/>
      <c r="J36" s="662"/>
    </row>
    <row r="37" spans="2:10" x14ac:dyDescent="0.2">
      <c r="B37" s="266" t="str">
        <f>CONCATENATE(C96,"     ",D96)</f>
        <v xml:space="preserve">     </v>
      </c>
      <c r="C37" s="638" t="s">
        <v>295</v>
      </c>
      <c r="D37" s="639"/>
      <c r="E37" s="106">
        <f>E33+E36</f>
        <v>0</v>
      </c>
      <c r="F37" s="151"/>
      <c r="G37" s="662"/>
      <c r="H37" s="662"/>
      <c r="I37" s="662"/>
      <c r="J37" s="662"/>
    </row>
    <row r="38" spans="2:10" x14ac:dyDescent="0.25">
      <c r="B38" s="266" t="str">
        <f>CONCATENATE(C97,"     ",D97)</f>
        <v xml:space="preserve">     </v>
      </c>
      <c r="C38" s="152"/>
      <c r="D38" s="90" t="s">
        <v>95</v>
      </c>
      <c r="E38" s="106">
        <f>IF(E37-E23&gt;0,E37-E23,0)</f>
        <v>0</v>
      </c>
      <c r="F38" s="238" t="str">
        <f>IF(E33/0.95-E33&lt;E36,"Exceeds 5%","")</f>
        <v/>
      </c>
      <c r="G38" s="1"/>
      <c r="H38" s="1"/>
      <c r="I38" s="1"/>
      <c r="J38" s="1"/>
    </row>
    <row r="39" spans="2:10" x14ac:dyDescent="0.25">
      <c r="B39" s="90"/>
      <c r="C39" s="265" t="s">
        <v>296</v>
      </c>
      <c r="D39" s="297">
        <f>inputOth!$E$26</f>
        <v>0</v>
      </c>
      <c r="E39" s="106">
        <f>ROUND(IF(D39&gt;0,($E$38*D39),0),0)</f>
        <v>0</v>
      </c>
      <c r="G39" s="1"/>
      <c r="H39" s="1"/>
      <c r="I39" s="1"/>
      <c r="J39" s="1"/>
    </row>
    <row r="40" spans="2:10" x14ac:dyDescent="0.25">
      <c r="B40" s="26"/>
      <c r="C40" s="644" t="str">
        <f>CONCATENATE("Amount of  ",$E$1-1," Ad Valorem Tax")</f>
        <v>Amount of  2024 Ad Valorem Tax</v>
      </c>
      <c r="D40" s="663"/>
      <c r="E40" s="106">
        <f>E38+E39</f>
        <v>0</v>
      </c>
      <c r="G40" s="1"/>
      <c r="H40" s="1"/>
      <c r="I40" s="1"/>
      <c r="J40" s="1"/>
    </row>
    <row r="41" spans="2:10" x14ac:dyDescent="0.25">
      <c r="B41" s="26"/>
      <c r="C41" s="155"/>
      <c r="D41" s="155"/>
      <c r="E41" s="155"/>
      <c r="G41" s="1"/>
      <c r="H41" s="1"/>
      <c r="I41" s="1"/>
      <c r="J41" s="1"/>
    </row>
    <row r="42" spans="2:10" x14ac:dyDescent="0.25">
      <c r="B42" s="25" t="s">
        <v>80</v>
      </c>
      <c r="C42" s="339" t="str">
        <f t="shared" ref="C42:E43" si="0">C4</f>
        <v xml:space="preserve">Prior Year </v>
      </c>
      <c r="D42" s="340" t="str">
        <f t="shared" si="0"/>
        <v xml:space="preserve">Current Year </v>
      </c>
      <c r="E42" s="80" t="str">
        <f t="shared" si="0"/>
        <v xml:space="preserve">Proposed Budget </v>
      </c>
      <c r="G42" s="1"/>
      <c r="H42" s="1"/>
      <c r="I42" s="1"/>
      <c r="J42" s="1"/>
    </row>
    <row r="43" spans="2:10" x14ac:dyDescent="0.25">
      <c r="B43" s="247">
        <f>inputPrYr!B29</f>
        <v>0</v>
      </c>
      <c r="C43" s="231" t="str">
        <f t="shared" si="0"/>
        <v>Actual for 2023</v>
      </c>
      <c r="D43" s="231" t="str">
        <f t="shared" si="0"/>
        <v>Estimate for 2024</v>
      </c>
      <c r="E43" s="136" t="str">
        <f t="shared" si="0"/>
        <v>Year for 2025</v>
      </c>
      <c r="G43" s="1"/>
      <c r="H43" s="1"/>
      <c r="I43" s="1"/>
      <c r="J43" s="1"/>
    </row>
    <row r="44" spans="2:10" x14ac:dyDescent="0.25">
      <c r="B44" s="60" t="s">
        <v>195</v>
      </c>
      <c r="C44" s="229"/>
      <c r="D44" s="232">
        <f>C74</f>
        <v>0</v>
      </c>
      <c r="E44" s="106">
        <f>D74</f>
        <v>0</v>
      </c>
      <c r="G44" s="1"/>
      <c r="H44" s="1"/>
      <c r="I44" s="1"/>
      <c r="J44" s="1"/>
    </row>
    <row r="45" spans="2:10" x14ac:dyDescent="0.25">
      <c r="B45" s="137" t="s">
        <v>197</v>
      </c>
      <c r="C45" s="139"/>
      <c r="D45" s="139"/>
      <c r="E45" s="50"/>
      <c r="G45" s="1"/>
      <c r="H45" s="1"/>
      <c r="I45" s="1"/>
      <c r="J45" s="1"/>
    </row>
    <row r="46" spans="2:10" x14ac:dyDescent="0.25">
      <c r="B46" s="60" t="s">
        <v>81</v>
      </c>
      <c r="C46" s="229"/>
      <c r="D46" s="232">
        <f>IF(inputPrYr!H29&gt;0,inputPrYr!H29,inputPrYr!E29)</f>
        <v>0</v>
      </c>
      <c r="E46" s="165" t="s">
        <v>66</v>
      </c>
      <c r="G46" s="1"/>
      <c r="H46" s="1"/>
      <c r="I46" s="1"/>
      <c r="J46" s="1"/>
    </row>
    <row r="47" spans="2:10" x14ac:dyDescent="0.25">
      <c r="B47" s="60" t="s">
        <v>82</v>
      </c>
      <c r="C47" s="229"/>
      <c r="D47" s="229"/>
      <c r="E47" s="42"/>
      <c r="G47" s="1"/>
      <c r="H47" s="1"/>
      <c r="I47" s="1"/>
      <c r="J47" s="1"/>
    </row>
    <row r="48" spans="2:10" x14ac:dyDescent="0.25">
      <c r="B48" s="60" t="s">
        <v>83</v>
      </c>
      <c r="C48" s="229"/>
      <c r="D48" s="229"/>
      <c r="E48" s="106" t="str">
        <f>Mvalloc!D19</f>
        <v xml:space="preserve">  </v>
      </c>
      <c r="G48" s="1"/>
      <c r="H48" s="1"/>
      <c r="I48" s="1"/>
      <c r="J48" s="1"/>
    </row>
    <row r="49" spans="2:11" x14ac:dyDescent="0.25">
      <c r="B49" s="60" t="s">
        <v>84</v>
      </c>
      <c r="C49" s="229"/>
      <c r="D49" s="229"/>
      <c r="E49" s="106" t="str">
        <f>Mvalloc!E19</f>
        <v xml:space="preserve">  </v>
      </c>
      <c r="G49" s="1"/>
      <c r="H49" s="1"/>
      <c r="I49" s="1"/>
      <c r="J49" s="1"/>
    </row>
    <row r="50" spans="2:11" x14ac:dyDescent="0.2">
      <c r="B50" s="139" t="s">
        <v>176</v>
      </c>
      <c r="C50" s="229"/>
      <c r="D50" s="229"/>
      <c r="E50" s="106" t="str">
        <f>Mvalloc!F19</f>
        <v xml:space="preserve">  </v>
      </c>
      <c r="G50" s="646" t="str">
        <f>CONCATENATE("Desired Carryover Into ",E1+1,"")</f>
        <v>Desired Carryover Into 2026</v>
      </c>
      <c r="H50" s="647"/>
      <c r="I50" s="647"/>
      <c r="J50" s="648"/>
    </row>
    <row r="51" spans="2:11" x14ac:dyDescent="0.2">
      <c r="B51" s="137" t="s">
        <v>348</v>
      </c>
      <c r="C51" s="229"/>
      <c r="D51" s="229"/>
      <c r="E51" s="106" t="str">
        <f>Mvalloc!G19</f>
        <v xml:space="preserve">  </v>
      </c>
      <c r="G51" s="298"/>
      <c r="H51" s="299"/>
      <c r="I51" s="300"/>
      <c r="J51" s="301"/>
    </row>
    <row r="52" spans="2:11" x14ac:dyDescent="0.2">
      <c r="B52" s="137" t="s">
        <v>349</v>
      </c>
      <c r="C52" s="229"/>
      <c r="D52" s="229"/>
      <c r="E52" s="106" t="str">
        <f>Mvalloc!H19</f>
        <v xml:space="preserve">  </v>
      </c>
      <c r="G52" s="302" t="s">
        <v>297</v>
      </c>
      <c r="H52" s="300"/>
      <c r="I52" s="300"/>
      <c r="J52" s="303">
        <v>0</v>
      </c>
    </row>
    <row r="53" spans="2:11" x14ac:dyDescent="0.2">
      <c r="B53" s="150"/>
      <c r="C53" s="229"/>
      <c r="D53" s="229"/>
      <c r="E53" s="42"/>
      <c r="G53" s="298" t="s">
        <v>298</v>
      </c>
      <c r="H53" s="299"/>
      <c r="I53" s="299"/>
      <c r="J53" s="304" t="str">
        <f>IF(J52=0,"",ROUND((J52+E80-G65)/inputOth!E6*1000,3)-G70)</f>
        <v/>
      </c>
    </row>
    <row r="54" spans="2:11" x14ac:dyDescent="0.2">
      <c r="B54" s="150"/>
      <c r="C54" s="229"/>
      <c r="D54" s="229"/>
      <c r="E54" s="42"/>
      <c r="G54" s="305" t="str">
        <f>CONCATENATE("",E1," Tot Exp/Non-Appr Must Be:")</f>
        <v>2025 Tot Exp/Non-Appr Must Be:</v>
      </c>
      <c r="H54" s="306"/>
      <c r="I54" s="307"/>
      <c r="J54" s="308">
        <f>IF(J52&gt;0,IF(E77&lt;E63,IF(J52=G65,E77,((J52-G65)*(1-D79))+E63),E77+(J52-G65)),0)</f>
        <v>0</v>
      </c>
    </row>
    <row r="55" spans="2:11" x14ac:dyDescent="0.2">
      <c r="B55" s="150"/>
      <c r="C55" s="229"/>
      <c r="D55" s="229"/>
      <c r="E55" s="42"/>
      <c r="G55" s="309" t="s">
        <v>318</v>
      </c>
      <c r="H55" s="310"/>
      <c r="I55" s="310"/>
      <c r="J55" s="311">
        <f>IF(J52&gt;0,J54-E77,0)</f>
        <v>0</v>
      </c>
    </row>
    <row r="56" spans="2:11" x14ac:dyDescent="0.25">
      <c r="B56" s="150"/>
      <c r="C56" s="229"/>
      <c r="D56" s="229"/>
      <c r="E56" s="42"/>
      <c r="G56" s="1"/>
      <c r="H56" s="1"/>
      <c r="I56" s="1"/>
      <c r="J56" s="1"/>
    </row>
    <row r="57" spans="2:11" x14ac:dyDescent="0.2">
      <c r="B57" s="150"/>
      <c r="C57" s="229"/>
      <c r="D57" s="229"/>
      <c r="E57" s="42"/>
      <c r="G57" s="646" t="str">
        <f>CONCATENATE("Projected Carryover Into ",E1+1,"")</f>
        <v>Projected Carryover Into 2026</v>
      </c>
      <c r="H57" s="668"/>
      <c r="I57" s="668"/>
      <c r="J57" s="667"/>
    </row>
    <row r="58" spans="2:11" x14ac:dyDescent="0.25">
      <c r="B58" s="142" t="s">
        <v>88</v>
      </c>
      <c r="C58" s="229"/>
      <c r="D58" s="229"/>
      <c r="E58" s="42"/>
      <c r="G58" s="327"/>
      <c r="H58" s="299"/>
      <c r="I58" s="299"/>
      <c r="J58" s="322"/>
    </row>
    <row r="59" spans="2:11" x14ac:dyDescent="0.25">
      <c r="B59" s="143" t="s">
        <v>40</v>
      </c>
      <c r="C59" s="229"/>
      <c r="D59" s="229"/>
      <c r="E59" s="106">
        <f>'NR Rebate'!E18*-1</f>
        <v>0</v>
      </c>
      <c r="G59" s="318">
        <f>D74</f>
        <v>0</v>
      </c>
      <c r="H59" s="316" t="str">
        <f>CONCATENATE("",E1-1," Ending Cash Balance (est.)")</f>
        <v>2024 Ending Cash Balance (est.)</v>
      </c>
      <c r="I59" s="319"/>
      <c r="J59" s="322"/>
    </row>
    <row r="60" spans="2:11" x14ac:dyDescent="0.25">
      <c r="B60" s="143" t="s">
        <v>38</v>
      </c>
      <c r="C60" s="229"/>
      <c r="D60" s="229"/>
      <c r="E60" s="42"/>
      <c r="G60" s="318">
        <f>E62</f>
        <v>0</v>
      </c>
      <c r="H60" s="300" t="str">
        <f>CONCATENATE("",E1," Non-AV Receipts (est.)")</f>
        <v>2025 Non-AV Receipts (est.)</v>
      </c>
      <c r="I60" s="319"/>
      <c r="J60" s="322"/>
    </row>
    <row r="61" spans="2:11" x14ac:dyDescent="0.25">
      <c r="B61" s="143" t="s">
        <v>291</v>
      </c>
      <c r="C61" s="230" t="str">
        <f>IF(C62*0.1&lt;C60,"Exceed 10% Rule","")</f>
        <v/>
      </c>
      <c r="D61" s="230" t="str">
        <f>IF(D62*0.1&lt;D60,"Exceed 10% Rule","")</f>
        <v/>
      </c>
      <c r="E61" s="170" t="str">
        <f>IF(E62*0.1+E80&lt;E60,"Exceed 10% Rule","")</f>
        <v/>
      </c>
      <c r="G61" s="320">
        <f>IF(E79&gt;0,E78,E80)</f>
        <v>0</v>
      </c>
      <c r="H61" s="300" t="str">
        <f>CONCATENATE("",E1," Ad Valorem Tax (est.)")</f>
        <v>2025 Ad Valorem Tax (est.)</v>
      </c>
      <c r="I61" s="319"/>
      <c r="J61" s="322"/>
      <c r="K61" s="314" t="str">
        <f>IF(G61=E80,"","Note: Does not include Delinquent Taxes")</f>
        <v/>
      </c>
    </row>
    <row r="62" spans="2:11" x14ac:dyDescent="0.25">
      <c r="B62" s="145" t="s">
        <v>89</v>
      </c>
      <c r="C62" s="463">
        <f>SUM(C46:C60)</f>
        <v>0</v>
      </c>
      <c r="D62" s="463">
        <f>SUM(D46:D60)</f>
        <v>0</v>
      </c>
      <c r="E62" s="463">
        <f>SUM(E46:E60)</f>
        <v>0</v>
      </c>
      <c r="G62" s="328">
        <f>SUM(G59:G61)</f>
        <v>0</v>
      </c>
      <c r="H62" s="300" t="str">
        <f>CONCATENATE("Total ",E1," Resources Available")</f>
        <v>Total 2025 Resources Available</v>
      </c>
      <c r="I62" s="329"/>
      <c r="J62" s="322"/>
    </row>
    <row r="63" spans="2:11" x14ac:dyDescent="0.25">
      <c r="B63" s="145" t="s">
        <v>90</v>
      </c>
      <c r="C63" s="463">
        <f>C44+C62</f>
        <v>0</v>
      </c>
      <c r="D63" s="463">
        <f>D44+D62</f>
        <v>0</v>
      </c>
      <c r="E63" s="463">
        <f>E44+E62</f>
        <v>0</v>
      </c>
      <c r="G63" s="330"/>
      <c r="H63" s="331"/>
      <c r="I63" s="299"/>
      <c r="J63" s="322"/>
    </row>
    <row r="64" spans="2:11" x14ac:dyDescent="0.25">
      <c r="B64" s="60" t="s">
        <v>93</v>
      </c>
      <c r="C64" s="143"/>
      <c r="D64" s="143"/>
      <c r="E64" s="38"/>
      <c r="G64" s="332">
        <f>ROUND(C73*0.05+C73,0)</f>
        <v>0</v>
      </c>
      <c r="H64" s="300" t="str">
        <f>CONCATENATE("Less ",E1-2," Expenditures + 5%")</f>
        <v>Less 2023 Expenditures + 5%</v>
      </c>
      <c r="I64" s="329"/>
      <c r="J64" s="322"/>
    </row>
    <row r="65" spans="2:10" x14ac:dyDescent="0.25">
      <c r="B65" s="150"/>
      <c r="C65" s="229"/>
      <c r="D65" s="229"/>
      <c r="E65" s="42"/>
      <c r="G65" s="333">
        <f>G62-G64</f>
        <v>0</v>
      </c>
      <c r="H65" s="324" t="str">
        <f>CONCATENATE("Projected ",E1+1," carryover (est.)")</f>
        <v>Projected 2026 carryover (est.)</v>
      </c>
      <c r="I65" s="334"/>
      <c r="J65" s="335"/>
    </row>
    <row r="66" spans="2:10" x14ac:dyDescent="0.25">
      <c r="B66" s="150"/>
      <c r="C66" s="229"/>
      <c r="D66" s="229"/>
      <c r="E66" s="42"/>
      <c r="G66" s="1"/>
      <c r="H66" s="1"/>
      <c r="I66" s="1"/>
      <c r="J66" s="1"/>
    </row>
    <row r="67" spans="2:10" x14ac:dyDescent="0.2">
      <c r="B67" s="150"/>
      <c r="C67" s="229"/>
      <c r="D67" s="229"/>
      <c r="E67" s="42"/>
      <c r="G67" s="649" t="s">
        <v>558</v>
      </c>
      <c r="H67" s="650"/>
      <c r="I67" s="650"/>
      <c r="J67" s="651"/>
    </row>
    <row r="68" spans="2:10" x14ac:dyDescent="0.2">
      <c r="B68" s="150"/>
      <c r="C68" s="229"/>
      <c r="D68" s="229"/>
      <c r="E68" s="42"/>
      <c r="G68" s="652"/>
      <c r="H68" s="653"/>
      <c r="I68" s="653"/>
      <c r="J68" s="654"/>
    </row>
    <row r="69" spans="2:10" x14ac:dyDescent="0.2">
      <c r="B69" s="150"/>
      <c r="C69" s="229"/>
      <c r="D69" s="229"/>
      <c r="E69" s="42"/>
      <c r="G69" s="509" t="str">
        <f>'Budget Hearing Notice'!H28</f>
        <v xml:space="preserve">  </v>
      </c>
      <c r="H69" s="316" t="str">
        <f>CONCATENATE("",E1," Estimated Fund Mill Rate")</f>
        <v>2025 Estimated Fund Mill Rate</v>
      </c>
      <c r="I69" s="510"/>
      <c r="J69" s="511"/>
    </row>
    <row r="70" spans="2:10" x14ac:dyDescent="0.2">
      <c r="B70" s="143" t="str">
        <f>CONCATENATE("Cash Reserve (",E1," column)")</f>
        <v>Cash Reserve (2025 column)</v>
      </c>
      <c r="C70" s="229"/>
      <c r="D70" s="229"/>
      <c r="E70" s="42"/>
      <c r="G70" s="512" t="str">
        <f>'Budget Hearing Notice'!E28</f>
        <v xml:space="preserve">  </v>
      </c>
      <c r="H70" s="316" t="str">
        <f>CONCATENATE("",E1-1," Fund Mill Rate")</f>
        <v>2024 Fund Mill Rate</v>
      </c>
      <c r="I70" s="510"/>
      <c r="J70" s="511"/>
    </row>
    <row r="71" spans="2:10" x14ac:dyDescent="0.2">
      <c r="B71" s="143" t="s">
        <v>38</v>
      </c>
      <c r="C71" s="229"/>
      <c r="D71" s="229"/>
      <c r="E71" s="42"/>
      <c r="G71" s="513">
        <f>'Budget Hearing Notice'!H62</f>
        <v>0</v>
      </c>
      <c r="H71" s="514" t="s">
        <v>559</v>
      </c>
      <c r="I71" s="510"/>
      <c r="J71" s="511"/>
    </row>
    <row r="72" spans="2:10" x14ac:dyDescent="0.2">
      <c r="B72" s="143" t="s">
        <v>290</v>
      </c>
      <c r="C72" s="230" t="str">
        <f>IF(C73*0.1&lt;C71,"Exceed 10% Rule","")</f>
        <v/>
      </c>
      <c r="D72" s="230" t="str">
        <f>IF(D73*0.1&lt;D71,"Exceed 10% Rule","")</f>
        <v/>
      </c>
      <c r="E72" s="170" t="str">
        <f>IF(E73*0.1&lt;E71,"Exceed 10% Rule","")</f>
        <v/>
      </c>
      <c r="G72" s="509">
        <f>'Budget Hearing Notice'!H61</f>
        <v>0</v>
      </c>
      <c r="H72" s="316" t="str">
        <f>CONCATENATE(E1," Estimated Total Mill Rate")</f>
        <v>2025 Estimated Total Mill Rate</v>
      </c>
      <c r="I72" s="510"/>
      <c r="J72" s="511"/>
    </row>
    <row r="73" spans="2:10" x14ac:dyDescent="0.2">
      <c r="B73" s="145" t="s">
        <v>94</v>
      </c>
      <c r="C73" s="463">
        <f>SUM(C65:C71)</f>
        <v>0</v>
      </c>
      <c r="D73" s="463">
        <f>SUM(D65:D71)</f>
        <v>0</v>
      </c>
      <c r="E73" s="463">
        <f>SUM(E65:E71)</f>
        <v>0</v>
      </c>
      <c r="G73" s="515">
        <f>'Budget Hearing Notice'!E61</f>
        <v>0</v>
      </c>
      <c r="H73" s="316" t="str">
        <f>CONCATENATE(E1-1," Total Mill Rate")</f>
        <v>2024 Total Mill Rate</v>
      </c>
      <c r="I73" s="510"/>
      <c r="J73" s="511"/>
    </row>
    <row r="74" spans="2:10" x14ac:dyDescent="0.2">
      <c r="B74" s="60" t="s">
        <v>196</v>
      </c>
      <c r="C74" s="106">
        <f>C63-C73</f>
        <v>0</v>
      </c>
      <c r="D74" s="106">
        <f>D63-D73</f>
        <v>0</v>
      </c>
      <c r="E74" s="165" t="s">
        <v>66</v>
      </c>
      <c r="G74" s="327"/>
      <c r="H74" s="299"/>
      <c r="I74" s="299"/>
      <c r="J74" s="329"/>
    </row>
    <row r="75" spans="2:10" x14ac:dyDescent="0.2">
      <c r="B75" s="135" t="str">
        <f>CONCATENATE("",E1-2,"/",E1-1,"/",E1," Budget Authority Amount:")</f>
        <v>2023/2024/2025 Budget Authority Amount:</v>
      </c>
      <c r="C75" s="167">
        <f>inputOth!B45</f>
        <v>0</v>
      </c>
      <c r="D75" s="167">
        <f>inputPrYr!D29</f>
        <v>0</v>
      </c>
      <c r="E75" s="106">
        <f>E73</f>
        <v>0</v>
      </c>
      <c r="G75" s="655" t="s">
        <v>560</v>
      </c>
      <c r="H75" s="656"/>
      <c r="I75" s="656"/>
      <c r="J75" s="659" t="str">
        <f>IF(G72&gt;G71, "Yes", "No")</f>
        <v>No</v>
      </c>
    </row>
    <row r="76" spans="2:10" x14ac:dyDescent="0.2">
      <c r="B76" s="125"/>
      <c r="C76" s="636" t="s">
        <v>294</v>
      </c>
      <c r="D76" s="637"/>
      <c r="E76" s="42"/>
      <c r="G76" s="657"/>
      <c r="H76" s="658"/>
      <c r="I76" s="658"/>
      <c r="J76" s="660"/>
    </row>
    <row r="77" spans="2:10" x14ac:dyDescent="0.2">
      <c r="B77" s="266" t="str">
        <f>CONCATENATE(C98,"     ",D98)</f>
        <v xml:space="preserve">     </v>
      </c>
      <c r="C77" s="638" t="s">
        <v>295</v>
      </c>
      <c r="D77" s="639"/>
      <c r="E77" s="106">
        <f>E73+E76</f>
        <v>0</v>
      </c>
      <c r="G77" s="661" t="str">
        <f>IF(J75="Yes", "Follow procedure prescribed by KSA 79-2988 to exceed the Revenue Neutral Rate.", " ")</f>
        <v xml:space="preserve"> </v>
      </c>
      <c r="H77" s="661"/>
      <c r="I77" s="661"/>
      <c r="J77" s="661"/>
    </row>
    <row r="78" spans="2:10" x14ac:dyDescent="0.2">
      <c r="B78" s="266" t="str">
        <f>CONCATENATE(C99,"     ",D99)</f>
        <v xml:space="preserve">     </v>
      </c>
      <c r="C78" s="152"/>
      <c r="D78" s="90" t="s">
        <v>95</v>
      </c>
      <c r="E78" s="106">
        <f>IF(E77-E63&gt;0,E77-E63,0)</f>
        <v>0</v>
      </c>
      <c r="G78" s="662"/>
      <c r="H78" s="662"/>
      <c r="I78" s="662"/>
      <c r="J78" s="662"/>
    </row>
    <row r="79" spans="2:10" x14ac:dyDescent="0.2">
      <c r="B79" s="90"/>
      <c r="C79" s="265" t="s">
        <v>296</v>
      </c>
      <c r="D79" s="297">
        <f>inputOth!$E$26</f>
        <v>0</v>
      </c>
      <c r="E79" s="106">
        <f>ROUND(IF(D79&gt;0,($E$78*D79),0),0)</f>
        <v>0</v>
      </c>
      <c r="F79" s="151"/>
      <c r="G79" s="662"/>
      <c r="H79" s="662"/>
      <c r="I79" s="662"/>
      <c r="J79" s="662"/>
    </row>
    <row r="80" spans="2:10" x14ac:dyDescent="0.2">
      <c r="B80" s="135"/>
      <c r="C80" s="644" t="str">
        <f>CONCATENATE("Amount of  ",$E$1-1," Ad Valorem Tax")</f>
        <v>Amount of  2024 Ad Valorem Tax</v>
      </c>
      <c r="D80" s="663"/>
      <c r="E80" s="106">
        <f>E78+E79</f>
        <v>0</v>
      </c>
      <c r="F80" s="238" t="str">
        <f>IF(E73/0.95-E73&lt;E76,"Exceeds 5%","")</f>
        <v/>
      </c>
    </row>
    <row r="81" spans="2:5" x14ac:dyDescent="0.2">
      <c r="B81" s="135"/>
      <c r="C81" s="125"/>
      <c r="D81" s="135"/>
      <c r="E81" s="125"/>
    </row>
    <row r="82" spans="2:5" x14ac:dyDescent="0.2">
      <c r="B82" s="425" t="s">
        <v>354</v>
      </c>
      <c r="C82" s="402"/>
      <c r="D82" s="412"/>
      <c r="E82" s="409"/>
    </row>
    <row r="83" spans="2:5" x14ac:dyDescent="0.2">
      <c r="B83" s="413"/>
      <c r="C83" s="125"/>
      <c r="D83" s="135"/>
      <c r="E83" s="410"/>
    </row>
    <row r="84" spans="2:5" x14ac:dyDescent="0.2">
      <c r="B84" s="128"/>
      <c r="C84" s="408"/>
      <c r="D84" s="414"/>
      <c r="E84" s="411"/>
    </row>
    <row r="85" spans="2:5" x14ac:dyDescent="0.2">
      <c r="B85" s="135"/>
      <c r="C85" s="125"/>
      <c r="D85" s="135"/>
      <c r="E85" s="125"/>
    </row>
    <row r="86" spans="2:5" x14ac:dyDescent="0.2">
      <c r="B86" s="125" t="s">
        <v>146</v>
      </c>
      <c r="C86" s="368"/>
      <c r="D86" s="26"/>
      <c r="E86" s="26"/>
    </row>
    <row r="95" spans="2:5" hidden="1" x14ac:dyDescent="0.2"/>
    <row r="96" spans="2:5" hidden="1" x14ac:dyDescent="0.2">
      <c r="C96" s="23" t="str">
        <f>IF(C33&gt;C35,"See Tab A","")</f>
        <v/>
      </c>
      <c r="D96" s="23" t="str">
        <f>IF(D33&gt;D35,"See Tab C","")</f>
        <v/>
      </c>
    </row>
    <row r="97" spans="3:4" hidden="1" x14ac:dyDescent="0.2">
      <c r="C97" s="23" t="str">
        <f>IF(C34&lt;0,"See Tab B","")</f>
        <v/>
      </c>
      <c r="D97" s="23" t="str">
        <f>IF(D34&lt;0,"See Tab D","")</f>
        <v/>
      </c>
    </row>
    <row r="98" spans="3:4" hidden="1" x14ac:dyDescent="0.2">
      <c r="C98" s="23" t="str">
        <f>IF(C73&gt;C75,"See Tab A","")</f>
        <v/>
      </c>
      <c r="D98" s="23" t="str">
        <f>IF(D73&gt;D75,"See Tab C","")</f>
        <v/>
      </c>
    </row>
    <row r="99" spans="3:4" x14ac:dyDescent="0.2">
      <c r="C99" s="23" t="str">
        <f>IF(C74&lt;0,"See Tab B","")</f>
        <v/>
      </c>
      <c r="D99" s="23" t="str">
        <f>IF(D74&lt;0,"See Tab D","")</f>
        <v/>
      </c>
    </row>
  </sheetData>
  <sheetProtection sheet="1" objects="1" scenarios="1"/>
  <mergeCells count="18">
    <mergeCell ref="C80:D80"/>
    <mergeCell ref="C40:D40"/>
    <mergeCell ref="G67:J68"/>
    <mergeCell ref="G75:I76"/>
    <mergeCell ref="J75:J76"/>
    <mergeCell ref="G77:J79"/>
    <mergeCell ref="C76:D76"/>
    <mergeCell ref="C77:D77"/>
    <mergeCell ref="G50:J50"/>
    <mergeCell ref="G57:J57"/>
    <mergeCell ref="C36:D36"/>
    <mergeCell ref="C37:D37"/>
    <mergeCell ref="G35:J37"/>
    <mergeCell ref="G8:J8"/>
    <mergeCell ref="G15:J15"/>
    <mergeCell ref="G25:J26"/>
    <mergeCell ref="G33:I34"/>
    <mergeCell ref="J33:J34"/>
  </mergeCells>
  <phoneticPr fontId="0" type="noConversion"/>
  <conditionalFormatting sqref="C20">
    <cfRule type="cellIs" dxfId="254" priority="30" stopIfTrue="1" operator="greaterThan">
      <formula>$C$22*0.1</formula>
    </cfRule>
  </conditionalFormatting>
  <conditionalFormatting sqref="C31">
    <cfRule type="cellIs" dxfId="253" priority="27" stopIfTrue="1" operator="greaterThan">
      <formula>$C$33*0.1</formula>
    </cfRule>
  </conditionalFormatting>
  <conditionalFormatting sqref="C33">
    <cfRule type="cellIs" dxfId="252" priority="5" stopIfTrue="1" operator="greaterThan">
      <formula>$C$35</formula>
    </cfRule>
  </conditionalFormatting>
  <conditionalFormatting sqref="C60">
    <cfRule type="cellIs" dxfId="251" priority="23" stopIfTrue="1" operator="greaterThan">
      <formula>$C$62*0.1</formula>
    </cfRule>
  </conditionalFormatting>
  <conditionalFormatting sqref="C71">
    <cfRule type="cellIs" dxfId="250" priority="20" stopIfTrue="1" operator="greaterThan">
      <formula>$C$73*0.1</formula>
    </cfRule>
  </conditionalFormatting>
  <conditionalFormatting sqref="C73">
    <cfRule type="cellIs" dxfId="249" priority="7" stopIfTrue="1" operator="greaterThan">
      <formula>$C$75</formula>
    </cfRule>
  </conditionalFormatting>
  <conditionalFormatting sqref="C34:D34">
    <cfRule type="cellIs" dxfId="248" priority="1" stopIfTrue="1" operator="lessThan">
      <formula>0</formula>
    </cfRule>
  </conditionalFormatting>
  <conditionalFormatting sqref="C74:D74">
    <cfRule type="cellIs" dxfId="247" priority="3" stopIfTrue="1" operator="lessThan">
      <formula>0</formula>
    </cfRule>
  </conditionalFormatting>
  <conditionalFormatting sqref="D20">
    <cfRule type="cellIs" dxfId="246" priority="31" stopIfTrue="1" operator="greaterThan">
      <formula>$D$22*0.1</formula>
    </cfRule>
  </conditionalFormatting>
  <conditionalFormatting sqref="D31">
    <cfRule type="cellIs" dxfId="245" priority="28" stopIfTrue="1" operator="greaterThan">
      <formula>$D$33*0.1</formula>
    </cfRule>
  </conditionalFormatting>
  <conditionalFormatting sqref="D33">
    <cfRule type="cellIs" dxfId="244" priority="6" stopIfTrue="1" operator="greaterThan">
      <formula>$D$35</formula>
    </cfRule>
  </conditionalFormatting>
  <conditionalFormatting sqref="D60">
    <cfRule type="cellIs" dxfId="243" priority="24" stopIfTrue="1" operator="greaterThan">
      <formula>$D$62*0.1</formula>
    </cfRule>
  </conditionalFormatting>
  <conditionalFormatting sqref="D71">
    <cfRule type="cellIs" dxfId="242" priority="21" stopIfTrue="1" operator="greaterThan">
      <formula>$D$73*0.1</formula>
    </cfRule>
  </conditionalFormatting>
  <conditionalFormatting sqref="D73">
    <cfRule type="cellIs" dxfId="241" priority="8" stopIfTrue="1" operator="greaterThan">
      <formula>$D$75</formula>
    </cfRule>
  </conditionalFormatting>
  <conditionalFormatting sqref="E20">
    <cfRule type="cellIs" dxfId="240" priority="29" stopIfTrue="1" operator="greaterThan">
      <formula>$E$22*0.1+E40</formula>
    </cfRule>
  </conditionalFormatting>
  <conditionalFormatting sqref="E31">
    <cfRule type="cellIs" dxfId="239" priority="16" stopIfTrue="1" operator="greaterThan">
      <formula>$E$33*0.1</formula>
    </cfRule>
  </conditionalFormatting>
  <conditionalFormatting sqref="E36">
    <cfRule type="cellIs" dxfId="238" priority="15" stopIfTrue="1" operator="greaterThan">
      <formula>$E$33/0.95-$E$33</formula>
    </cfRule>
  </conditionalFormatting>
  <conditionalFormatting sqref="E60">
    <cfRule type="cellIs" dxfId="237" priority="22" stopIfTrue="1" operator="greaterThan">
      <formula>$E$62*0.1+E80</formula>
    </cfRule>
  </conditionalFormatting>
  <conditionalFormatting sqref="E71">
    <cfRule type="cellIs" dxfId="236" priority="13" stopIfTrue="1" operator="greaterThan">
      <formula>$E$73*0.1</formula>
    </cfRule>
  </conditionalFormatting>
  <conditionalFormatting sqref="E76">
    <cfRule type="cellIs" dxfId="235" priority="14" stopIfTrue="1" operator="greaterThan">
      <formula>$E$73/0.95-$E$73</formula>
    </cfRule>
  </conditionalFormatting>
  <conditionalFormatting sqref="J33">
    <cfRule type="containsText" dxfId="234" priority="9" operator="containsText" text="Yes">
      <formula>NOT(ISERROR(SEARCH("Yes",J33)))</formula>
    </cfRule>
  </conditionalFormatting>
  <conditionalFormatting sqref="J75">
    <cfRule type="containsText" dxfId="233" priority="10" operator="containsText" text="Yes">
      <formula>NOT(ISERROR(SEARCH("Yes",J75)))</formula>
    </cfRule>
  </conditionalFormatting>
  <pageMargins left="1.1200000000000001" right="0.5" top="0.74" bottom="0.34" header="0.5" footer="0"/>
  <pageSetup scale="51" orientation="portrait" blackAndWhite="1" horizontalDpi="120" verticalDpi="144" r:id="rId1"/>
  <headerFooter alignWithMargins="0">
    <oddHeader xml:space="preserve">&amp;RState of Kansas
County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8">
    <tabColor rgb="FF00B0F0"/>
    <pageSetUpPr fitToPage="1"/>
  </sheetPr>
  <dimension ref="B1:K100"/>
  <sheetViews>
    <sheetView zoomScaleNormal="100" workbookViewId="0">
      <selection activeCell="C31" sqref="C31:E31"/>
    </sheetView>
  </sheetViews>
  <sheetFormatPr defaultRowHeight="15.75" x14ac:dyDescent="0.2"/>
  <cols>
    <col min="1" max="1" width="2.44140625" style="23" customWidth="1"/>
    <col min="2" max="2" width="31.109375" style="23" customWidth="1"/>
    <col min="3" max="4" width="15.77734375" style="23" customWidth="1"/>
    <col min="5" max="5" width="16.109375" style="23" customWidth="1"/>
    <col min="6" max="6" width="7.44140625" style="23" customWidth="1"/>
    <col min="7" max="7" width="10.21875" style="23" customWidth="1"/>
    <col min="8" max="8" width="8.88671875" style="23"/>
    <col min="9" max="9" width="5.77734375" style="23" customWidth="1"/>
    <col min="10" max="10" width="10" style="23" customWidth="1"/>
    <col min="11" max="16384" width="8.88671875" style="23"/>
  </cols>
  <sheetData>
    <row r="1" spans="2:10" x14ac:dyDescent="0.2">
      <c r="B1" s="57">
        <f>(inputPrYr!C3)</f>
        <v>0</v>
      </c>
      <c r="C1" s="26"/>
      <c r="D1" s="26"/>
      <c r="E1" s="125">
        <f>inputPrYr!C5</f>
        <v>2025</v>
      </c>
    </row>
    <row r="2" spans="2:10" x14ac:dyDescent="0.2">
      <c r="B2" s="26"/>
      <c r="C2" s="26"/>
      <c r="D2" s="26"/>
      <c r="E2" s="90"/>
    </row>
    <row r="3" spans="2:10" x14ac:dyDescent="0.2">
      <c r="B3" s="64" t="s">
        <v>185</v>
      </c>
      <c r="C3" s="161"/>
      <c r="D3" s="161"/>
      <c r="E3" s="162"/>
    </row>
    <row r="4" spans="2:10" x14ac:dyDescent="0.2">
      <c r="B4" s="25" t="s">
        <v>80</v>
      </c>
      <c r="C4" s="339" t="s">
        <v>319</v>
      </c>
      <c r="D4" s="340" t="s">
        <v>320</v>
      </c>
      <c r="E4" s="80" t="s">
        <v>321</v>
      </c>
    </row>
    <row r="5" spans="2:10" x14ac:dyDescent="0.2">
      <c r="B5" s="248">
        <f>inputPrYr!B30</f>
        <v>0</v>
      </c>
      <c r="C5" s="231" t="str">
        <f>CONCATENATE("Actual for ",E1-2,"")</f>
        <v>Actual for 2023</v>
      </c>
      <c r="D5" s="231" t="str">
        <f>CONCATENATE("Estimate for ",E1-1,"")</f>
        <v>Estimate for 2024</v>
      </c>
      <c r="E5" s="136" t="str">
        <f>CONCATENATE("Year for ",E1,"")</f>
        <v>Year for 2025</v>
      </c>
    </row>
    <row r="6" spans="2:10" x14ac:dyDescent="0.2">
      <c r="B6" s="60" t="s">
        <v>195</v>
      </c>
      <c r="C6" s="229"/>
      <c r="D6" s="232">
        <f>C34</f>
        <v>0</v>
      </c>
      <c r="E6" s="106">
        <f>D34</f>
        <v>0</v>
      </c>
    </row>
    <row r="7" spans="2:10" x14ac:dyDescent="0.2">
      <c r="B7" s="128" t="s">
        <v>197</v>
      </c>
      <c r="C7" s="139"/>
      <c r="D7" s="139"/>
      <c r="E7" s="50"/>
    </row>
    <row r="8" spans="2:10" x14ac:dyDescent="0.2">
      <c r="B8" s="60" t="s">
        <v>81</v>
      </c>
      <c r="C8" s="229"/>
      <c r="D8" s="232">
        <f>IF(inputPrYr!H30&gt;0,inputPrYr!H30,inputPrYr!E30)</f>
        <v>0</v>
      </c>
      <c r="E8" s="165" t="s">
        <v>66</v>
      </c>
    </row>
    <row r="9" spans="2:10" x14ac:dyDescent="0.2">
      <c r="B9" s="60" t="s">
        <v>82</v>
      </c>
      <c r="C9" s="229"/>
      <c r="D9" s="229"/>
      <c r="E9" s="42"/>
      <c r="G9" s="646" t="str">
        <f>CONCATENATE("Desired Carryover Into ",E1+1,"")</f>
        <v>Desired Carryover Into 2026</v>
      </c>
      <c r="H9" s="647"/>
      <c r="I9" s="647"/>
      <c r="J9" s="648"/>
    </row>
    <row r="10" spans="2:10" x14ac:dyDescent="0.2">
      <c r="B10" s="60" t="s">
        <v>83</v>
      </c>
      <c r="C10" s="229"/>
      <c r="D10" s="229"/>
      <c r="E10" s="106" t="str">
        <f>Mvalloc!D20</f>
        <v xml:space="preserve">  </v>
      </c>
      <c r="G10" s="298"/>
      <c r="H10" s="299"/>
      <c r="I10" s="300"/>
      <c r="J10" s="301"/>
    </row>
    <row r="11" spans="2:10" x14ac:dyDescent="0.2">
      <c r="B11" s="60" t="s">
        <v>84</v>
      </c>
      <c r="C11" s="229"/>
      <c r="D11" s="229"/>
      <c r="E11" s="106" t="str">
        <f>Mvalloc!E20</f>
        <v xml:space="preserve">  </v>
      </c>
      <c r="G11" s="302" t="s">
        <v>297</v>
      </c>
      <c r="H11" s="300"/>
      <c r="I11" s="300"/>
      <c r="J11" s="303">
        <v>0</v>
      </c>
    </row>
    <row r="12" spans="2:10" x14ac:dyDescent="0.2">
      <c r="B12" s="139" t="s">
        <v>176</v>
      </c>
      <c r="C12" s="229"/>
      <c r="D12" s="229"/>
      <c r="E12" s="106" t="str">
        <f>Mvalloc!F20</f>
        <v xml:space="preserve">  </v>
      </c>
      <c r="G12" s="298" t="s">
        <v>298</v>
      </c>
      <c r="H12" s="299"/>
      <c r="I12" s="299"/>
      <c r="J12" s="304" t="str">
        <f>IF(J11=0,"",ROUND((J11+E40-G24)/inputOth!E6*1000,3)-G29)</f>
        <v/>
      </c>
    </row>
    <row r="13" spans="2:10" x14ac:dyDescent="0.2">
      <c r="B13" s="137" t="s">
        <v>348</v>
      </c>
      <c r="C13" s="229"/>
      <c r="D13" s="229"/>
      <c r="E13" s="106" t="str">
        <f>Mvalloc!G20</f>
        <v xml:space="preserve">  </v>
      </c>
      <c r="G13" s="305" t="str">
        <f>CONCATENATE("",E1," Tot Exp/Non-Appr Must Be:")</f>
        <v>2025 Tot Exp/Non-Appr Must Be:</v>
      </c>
      <c r="H13" s="306"/>
      <c r="I13" s="307"/>
      <c r="J13" s="308">
        <f>IF(J11&gt;0,IF(E37&lt;E23,IF(J11=G24,E37,((J11-G24)*(1-D39))+E23),E37+(J11-G24)),0)</f>
        <v>0</v>
      </c>
    </row>
    <row r="14" spans="2:10" x14ac:dyDescent="0.2">
      <c r="B14" s="137" t="s">
        <v>349</v>
      </c>
      <c r="C14" s="229"/>
      <c r="D14" s="229"/>
      <c r="E14" s="106" t="str">
        <f>Mvalloc!H20</f>
        <v xml:space="preserve">  </v>
      </c>
      <c r="G14" s="309" t="s">
        <v>318</v>
      </c>
      <c r="H14" s="310"/>
      <c r="I14" s="310"/>
      <c r="J14" s="311">
        <f>IF(J11&gt;0,J13-E37,0)</f>
        <v>0</v>
      </c>
    </row>
    <row r="15" spans="2:10" x14ac:dyDescent="0.25">
      <c r="B15" s="150"/>
      <c r="C15" s="229"/>
      <c r="D15" s="229"/>
      <c r="E15" s="42"/>
      <c r="G15" s="1"/>
      <c r="H15" s="1"/>
      <c r="I15" s="1"/>
      <c r="J15" s="1"/>
    </row>
    <row r="16" spans="2:10" x14ac:dyDescent="0.2">
      <c r="B16" s="150"/>
      <c r="C16" s="229"/>
      <c r="D16" s="229"/>
      <c r="E16" s="42"/>
      <c r="G16" s="646" t="str">
        <f>CONCATENATE("Projected Carryover Into ",E1+1,"")</f>
        <v>Projected Carryover Into 2026</v>
      </c>
      <c r="H16" s="666"/>
      <c r="I16" s="666"/>
      <c r="J16" s="667"/>
    </row>
    <row r="17" spans="2:11" x14ac:dyDescent="0.2">
      <c r="B17" s="150"/>
      <c r="C17" s="229"/>
      <c r="D17" s="229"/>
      <c r="E17" s="42"/>
      <c r="G17" s="298"/>
      <c r="H17" s="300"/>
      <c r="I17" s="300"/>
      <c r="J17" s="317"/>
    </row>
    <row r="18" spans="2:11" x14ac:dyDescent="0.2">
      <c r="B18" s="142" t="s">
        <v>88</v>
      </c>
      <c r="C18" s="229"/>
      <c r="D18" s="229"/>
      <c r="E18" s="42"/>
      <c r="G18" s="318">
        <f>D34</f>
        <v>0</v>
      </c>
      <c r="H18" s="316" t="str">
        <f>CONCATENATE("",E1-1," Ending Cash Balance (est.)")</f>
        <v>2024 Ending Cash Balance (est.)</v>
      </c>
      <c r="I18" s="319"/>
      <c r="J18" s="317"/>
    </row>
    <row r="19" spans="2:11" x14ac:dyDescent="0.2">
      <c r="B19" s="143" t="s">
        <v>40</v>
      </c>
      <c r="C19" s="229"/>
      <c r="D19" s="229"/>
      <c r="E19" s="106">
        <f>'NR Rebate'!E19*-1</f>
        <v>0</v>
      </c>
      <c r="G19" s="318">
        <f>E22</f>
        <v>0</v>
      </c>
      <c r="H19" s="300" t="str">
        <f>CONCATENATE("",E1," Non-AV Receipts (est.)")</f>
        <v>2025 Non-AV Receipts (est.)</v>
      </c>
      <c r="I19" s="319"/>
      <c r="J19" s="317"/>
    </row>
    <row r="20" spans="2:11" x14ac:dyDescent="0.2">
      <c r="B20" s="143" t="s">
        <v>38</v>
      </c>
      <c r="C20" s="229"/>
      <c r="D20" s="229"/>
      <c r="E20" s="42"/>
      <c r="G20" s="320">
        <f>IF(E39&gt;0,E38,E40)</f>
        <v>0</v>
      </c>
      <c r="H20" s="300" t="str">
        <f>CONCATENATE("",E1," Ad Valorem Tax (est.)")</f>
        <v>2025 Ad Valorem Tax (est.)</v>
      </c>
      <c r="I20" s="319"/>
      <c r="J20" s="317"/>
      <c r="K20" s="314" t="str">
        <f>IF(G20=E40,"","Note: Does not include Delinquent Taxes")</f>
        <v/>
      </c>
    </row>
    <row r="21" spans="2:11" x14ac:dyDescent="0.2">
      <c r="B21" s="143" t="s">
        <v>39</v>
      </c>
      <c r="C21" s="230" t="str">
        <f>IF(C22*0.1&lt;C20,"Exceed 10% Rule","")</f>
        <v/>
      </c>
      <c r="D21" s="230" t="str">
        <f>IF(D22*0.1&lt;D20,"Exceed 10% Rule","")</f>
        <v/>
      </c>
      <c r="E21" s="170" t="str">
        <f>IF(E22*0.1+E40&lt;E20,"Exceed 10% Rule","")</f>
        <v/>
      </c>
      <c r="G21" s="318">
        <f>SUM(G18:G20)</f>
        <v>0</v>
      </c>
      <c r="H21" s="300" t="str">
        <f>CONCATENATE("Total ",E1," Resources Available")</f>
        <v>Total 2025 Resources Available</v>
      </c>
      <c r="I21" s="319"/>
      <c r="J21" s="317"/>
    </row>
    <row r="22" spans="2:11" x14ac:dyDescent="0.2">
      <c r="B22" s="145" t="s">
        <v>89</v>
      </c>
      <c r="C22" s="463">
        <f>SUM(C8:C20)</f>
        <v>0</v>
      </c>
      <c r="D22" s="463">
        <f>SUM(D8:D20)</f>
        <v>0</v>
      </c>
      <c r="E22" s="463">
        <f>SUM(E8:E20)</f>
        <v>0</v>
      </c>
      <c r="G22" s="321"/>
      <c r="H22" s="300"/>
      <c r="I22" s="300"/>
      <c r="J22" s="317"/>
    </row>
    <row r="23" spans="2:11" x14ac:dyDescent="0.25">
      <c r="B23" s="145" t="s">
        <v>90</v>
      </c>
      <c r="C23" s="463">
        <f>C6+C22</f>
        <v>0</v>
      </c>
      <c r="D23" s="463">
        <f>D6+D22</f>
        <v>0</v>
      </c>
      <c r="E23" s="463">
        <f>E6+E22</f>
        <v>0</v>
      </c>
      <c r="G23" s="320">
        <f>ROUND(C33*0.05+C33,0)</f>
        <v>0</v>
      </c>
      <c r="H23" s="300" t="str">
        <f>CONCATENATE("Less ",E1-2," Expenditures + 5%")</f>
        <v>Less 2023 Expenditures + 5%</v>
      </c>
      <c r="I23" s="319"/>
      <c r="J23" s="322"/>
    </row>
    <row r="24" spans="2:11" x14ac:dyDescent="0.2">
      <c r="B24" s="60" t="s">
        <v>93</v>
      </c>
      <c r="C24" s="143"/>
      <c r="D24" s="143"/>
      <c r="E24" s="38"/>
      <c r="G24" s="323">
        <f>G21-G23</f>
        <v>0</v>
      </c>
      <c r="H24" s="324" t="str">
        <f>CONCATENATE("Projected ",E1+1," carryover (est.)")</f>
        <v>Projected 2026 carryover (est.)</v>
      </c>
      <c r="I24" s="325"/>
      <c r="J24" s="326"/>
    </row>
    <row r="25" spans="2:11" x14ac:dyDescent="0.25">
      <c r="B25" s="150"/>
      <c r="C25" s="229"/>
      <c r="D25" s="229"/>
      <c r="E25" s="42"/>
      <c r="G25" s="1"/>
      <c r="H25" s="1"/>
      <c r="I25" s="1"/>
      <c r="J25" s="1"/>
    </row>
    <row r="26" spans="2:11" x14ac:dyDescent="0.2">
      <c r="B26" s="150"/>
      <c r="C26" s="229"/>
      <c r="D26" s="229"/>
      <c r="E26" s="42"/>
      <c r="G26" s="649" t="s">
        <v>558</v>
      </c>
      <c r="H26" s="650"/>
      <c r="I26" s="650"/>
      <c r="J26" s="651"/>
    </row>
    <row r="27" spans="2:11" x14ac:dyDescent="0.2">
      <c r="B27" s="150"/>
      <c r="C27" s="229"/>
      <c r="D27" s="229"/>
      <c r="E27" s="42"/>
      <c r="G27" s="652"/>
      <c r="H27" s="653"/>
      <c r="I27" s="653"/>
      <c r="J27" s="654"/>
    </row>
    <row r="28" spans="2:11" x14ac:dyDescent="0.2">
      <c r="B28" s="150"/>
      <c r="C28" s="229"/>
      <c r="D28" s="229"/>
      <c r="E28" s="42"/>
      <c r="G28" s="509" t="str">
        <f>'Budget Hearing Notice'!H29</f>
        <v xml:space="preserve">  </v>
      </c>
      <c r="H28" s="316" t="str">
        <f>CONCATENATE("",E1," Estimated Fund Mill Rate")</f>
        <v>2025 Estimated Fund Mill Rate</v>
      </c>
      <c r="I28" s="510"/>
      <c r="J28" s="511"/>
    </row>
    <row r="29" spans="2:11" x14ac:dyDescent="0.2">
      <c r="B29" s="150"/>
      <c r="C29" s="229"/>
      <c r="D29" s="229"/>
      <c r="E29" s="42"/>
      <c r="G29" s="512" t="str">
        <f>'Budget Hearing Notice'!E29</f>
        <v xml:space="preserve">  </v>
      </c>
      <c r="H29" s="316" t="str">
        <f>CONCATENATE("",E1-1," Fund Mill Rate")</f>
        <v>2024 Fund Mill Rate</v>
      </c>
      <c r="I29" s="510"/>
      <c r="J29" s="511"/>
    </row>
    <row r="30" spans="2:11" x14ac:dyDescent="0.2">
      <c r="B30" s="143" t="str">
        <f>CONCATENATE("Cash Reserve (",E1," column)")</f>
        <v>Cash Reserve (2025 column)</v>
      </c>
      <c r="C30" s="229"/>
      <c r="D30" s="229"/>
      <c r="E30" s="42"/>
      <c r="G30" s="513">
        <f>'Budget Hearing Notice'!H62</f>
        <v>0</v>
      </c>
      <c r="H30" s="514" t="s">
        <v>559</v>
      </c>
      <c r="I30" s="510"/>
      <c r="J30" s="511"/>
    </row>
    <row r="31" spans="2:11" x14ac:dyDescent="0.2">
      <c r="B31" s="143" t="s">
        <v>38</v>
      </c>
      <c r="C31" s="229"/>
      <c r="D31" s="229"/>
      <c r="E31" s="42"/>
      <c r="G31" s="509">
        <f>'Budget Hearing Notice'!H61</f>
        <v>0</v>
      </c>
      <c r="H31" s="316" t="str">
        <f>CONCATENATE(E1," Estimated Total Mill Rate")</f>
        <v>2025 Estimated Total Mill Rate</v>
      </c>
      <c r="I31" s="510"/>
      <c r="J31" s="511"/>
    </row>
    <row r="32" spans="2:11" x14ac:dyDescent="0.2">
      <c r="B32" s="143" t="s">
        <v>41</v>
      </c>
      <c r="C32" s="230" t="str">
        <f>IF(C33*0.1&lt;C31,"Exceed 10% Rule","")</f>
        <v/>
      </c>
      <c r="D32" s="230" t="str">
        <f>IF(D33*0.1&lt;D31,"Exceed 10% Rule","")</f>
        <v/>
      </c>
      <c r="E32" s="170" t="str">
        <f>IF(E33*0.1&lt;E31,"Exceed 10% Rule","")</f>
        <v/>
      </c>
      <c r="G32" s="515">
        <f>'Budget Hearing Notice'!E61</f>
        <v>0</v>
      </c>
      <c r="H32" s="316" t="str">
        <f>CONCATENATE(E1-1," Total Mill Rate")</f>
        <v>2024 Total Mill Rate</v>
      </c>
      <c r="I32" s="510"/>
      <c r="J32" s="511"/>
    </row>
    <row r="33" spans="2:10" x14ac:dyDescent="0.2">
      <c r="B33" s="145" t="s">
        <v>94</v>
      </c>
      <c r="C33" s="463">
        <f>SUM(C25:C31)</f>
        <v>0</v>
      </c>
      <c r="D33" s="463">
        <f>SUM(D25:D31)</f>
        <v>0</v>
      </c>
      <c r="E33" s="463">
        <f>SUM(E25:E31)</f>
        <v>0</v>
      </c>
      <c r="G33" s="327"/>
      <c r="H33" s="299"/>
      <c r="I33" s="299"/>
      <c r="J33" s="329"/>
    </row>
    <row r="34" spans="2:10" x14ac:dyDescent="0.2">
      <c r="B34" s="60" t="s">
        <v>196</v>
      </c>
      <c r="C34" s="106">
        <f>C23-C33</f>
        <v>0</v>
      </c>
      <c r="D34" s="106">
        <f>D23-D33</f>
        <v>0</v>
      </c>
      <c r="E34" s="165" t="s">
        <v>66</v>
      </c>
      <c r="G34" s="655" t="s">
        <v>560</v>
      </c>
      <c r="H34" s="656"/>
      <c r="I34" s="656"/>
      <c r="J34" s="659" t="str">
        <f>IF(G31&gt;G30, "Yes", "No")</f>
        <v>No</v>
      </c>
    </row>
    <row r="35" spans="2:10" x14ac:dyDescent="0.2">
      <c r="B35" s="135" t="str">
        <f>CONCATENATE("",E1-2,"/",E1-1,"/",E1," Budget Authority Amount:")</f>
        <v>2023/2024/2025 Budget Authority Amount:</v>
      </c>
      <c r="C35" s="167">
        <f>inputOth!B46</f>
        <v>0</v>
      </c>
      <c r="D35" s="167">
        <f>inputPrYr!D30</f>
        <v>0</v>
      </c>
      <c r="E35" s="106">
        <f>E33</f>
        <v>0</v>
      </c>
      <c r="G35" s="657"/>
      <c r="H35" s="658"/>
      <c r="I35" s="658"/>
      <c r="J35" s="660"/>
    </row>
    <row r="36" spans="2:10" x14ac:dyDescent="0.2">
      <c r="B36" s="125"/>
      <c r="C36" s="636" t="s">
        <v>294</v>
      </c>
      <c r="D36" s="637"/>
      <c r="E36" s="42"/>
      <c r="G36" s="661" t="str">
        <f>IF(J34="Yes", "Follow procedure prescribed by KSA 79-2988 to exceed the Revenue Neutral Rate.", " ")</f>
        <v xml:space="preserve"> </v>
      </c>
      <c r="H36" s="661"/>
      <c r="I36" s="661"/>
      <c r="J36" s="661"/>
    </row>
    <row r="37" spans="2:10" x14ac:dyDescent="0.2">
      <c r="B37" s="266" t="str">
        <f>CONCATENATE(C97,"     ",D97)</f>
        <v xml:space="preserve">     </v>
      </c>
      <c r="C37" s="638" t="s">
        <v>295</v>
      </c>
      <c r="D37" s="639"/>
      <c r="E37" s="106">
        <f>E33+E36</f>
        <v>0</v>
      </c>
      <c r="F37" s="151"/>
      <c r="G37" s="662"/>
      <c r="H37" s="662"/>
      <c r="I37" s="662"/>
      <c r="J37" s="662"/>
    </row>
    <row r="38" spans="2:10" x14ac:dyDescent="0.2">
      <c r="B38" s="266" t="str">
        <f>CONCATENATE(C98,"     ",D98)</f>
        <v xml:space="preserve">     </v>
      </c>
      <c r="C38" s="152"/>
      <c r="D38" s="90" t="s">
        <v>95</v>
      </c>
      <c r="E38" s="106">
        <f>IF(E37-E23&gt;0,E37-E23,0)</f>
        <v>0</v>
      </c>
      <c r="F38" s="238" t="str">
        <f>IF(E33/0.95-E33&lt;E36,"Exceeds 5%","")</f>
        <v/>
      </c>
      <c r="G38" s="662"/>
      <c r="H38" s="662"/>
      <c r="I38" s="662"/>
      <c r="J38" s="662"/>
    </row>
    <row r="39" spans="2:10" x14ac:dyDescent="0.25">
      <c r="B39" s="90"/>
      <c r="C39" s="265" t="s">
        <v>296</v>
      </c>
      <c r="D39" s="297">
        <f>inputOth!$E$26</f>
        <v>0</v>
      </c>
      <c r="E39" s="106">
        <f>ROUND(IF(D39&gt;0,($E$38*D39),0),0)</f>
        <v>0</v>
      </c>
      <c r="G39" s="1"/>
      <c r="H39" s="1"/>
      <c r="I39" s="1"/>
      <c r="J39" s="1"/>
    </row>
    <row r="40" spans="2:10" x14ac:dyDescent="0.25">
      <c r="B40" s="26"/>
      <c r="C40" s="644" t="str">
        <f>CONCATENATE("Amount of  ",$E$1-1," Ad Valorem Tax")</f>
        <v>Amount of  2024 Ad Valorem Tax</v>
      </c>
      <c r="D40" s="663"/>
      <c r="E40" s="106">
        <f>E38+E39</f>
        <v>0</v>
      </c>
      <c r="G40" s="1"/>
      <c r="H40" s="1"/>
      <c r="I40" s="1"/>
      <c r="J40" s="1"/>
    </row>
    <row r="41" spans="2:10" x14ac:dyDescent="0.25">
      <c r="B41" s="26"/>
      <c r="C41" s="155"/>
      <c r="D41" s="155"/>
      <c r="E41" s="155"/>
      <c r="G41" s="1"/>
      <c r="H41" s="1"/>
      <c r="I41" s="1"/>
      <c r="J41" s="1"/>
    </row>
    <row r="42" spans="2:10" x14ac:dyDescent="0.25">
      <c r="B42" s="25" t="s">
        <v>80</v>
      </c>
      <c r="C42" s="339" t="str">
        <f t="shared" ref="C42:E43" si="0">C4</f>
        <v xml:space="preserve">Prior Year </v>
      </c>
      <c r="D42" s="340" t="str">
        <f t="shared" si="0"/>
        <v xml:space="preserve">Current Year </v>
      </c>
      <c r="E42" s="80" t="str">
        <f t="shared" si="0"/>
        <v xml:space="preserve">Proposed Budget </v>
      </c>
      <c r="G42" s="1"/>
      <c r="H42" s="1"/>
      <c r="I42" s="1"/>
      <c r="J42" s="1"/>
    </row>
    <row r="43" spans="2:10" x14ac:dyDescent="0.25">
      <c r="B43" s="247">
        <f>inputPrYr!B31</f>
        <v>0</v>
      </c>
      <c r="C43" s="231" t="str">
        <f t="shared" si="0"/>
        <v>Actual for 2023</v>
      </c>
      <c r="D43" s="231" t="str">
        <f t="shared" si="0"/>
        <v>Estimate for 2024</v>
      </c>
      <c r="E43" s="136" t="str">
        <f t="shared" si="0"/>
        <v>Year for 2025</v>
      </c>
      <c r="G43" s="1"/>
      <c r="H43" s="1"/>
      <c r="I43" s="1"/>
      <c r="J43" s="1"/>
    </row>
    <row r="44" spans="2:10" x14ac:dyDescent="0.25">
      <c r="B44" s="60" t="s">
        <v>195</v>
      </c>
      <c r="C44" s="229"/>
      <c r="D44" s="232">
        <f>C75</f>
        <v>0</v>
      </c>
      <c r="E44" s="106">
        <f>D75</f>
        <v>0</v>
      </c>
      <c r="G44" s="1"/>
      <c r="H44" s="1"/>
      <c r="I44" s="1"/>
      <c r="J44" s="1"/>
    </row>
    <row r="45" spans="2:10" x14ac:dyDescent="0.25">
      <c r="B45" s="137" t="s">
        <v>197</v>
      </c>
      <c r="C45" s="139"/>
      <c r="D45" s="139"/>
      <c r="E45" s="50"/>
      <c r="G45" s="1"/>
      <c r="H45" s="1"/>
      <c r="I45" s="1"/>
      <c r="J45" s="1"/>
    </row>
    <row r="46" spans="2:10" x14ac:dyDescent="0.25">
      <c r="B46" s="60" t="s">
        <v>81</v>
      </c>
      <c r="C46" s="229"/>
      <c r="D46" s="232">
        <f>IF(inputPrYr!H31&gt;0,inputPrYr!H31,inputPrYr!E31)</f>
        <v>0</v>
      </c>
      <c r="E46" s="165" t="s">
        <v>66</v>
      </c>
      <c r="G46" s="1"/>
      <c r="H46" s="1"/>
      <c r="I46" s="1"/>
      <c r="J46" s="1"/>
    </row>
    <row r="47" spans="2:10" x14ac:dyDescent="0.25">
      <c r="B47" s="60" t="s">
        <v>82</v>
      </c>
      <c r="C47" s="229"/>
      <c r="D47" s="229"/>
      <c r="E47" s="42"/>
      <c r="G47" s="1"/>
      <c r="H47" s="1"/>
      <c r="I47" s="1"/>
      <c r="J47" s="1"/>
    </row>
    <row r="48" spans="2:10" x14ac:dyDescent="0.25">
      <c r="B48" s="60" t="s">
        <v>83</v>
      </c>
      <c r="C48" s="229"/>
      <c r="D48" s="229"/>
      <c r="E48" s="106" t="str">
        <f>Mvalloc!D21</f>
        <v xml:space="preserve">  </v>
      </c>
      <c r="G48" s="1"/>
      <c r="H48" s="1"/>
      <c r="I48" s="1"/>
      <c r="J48" s="1"/>
    </row>
    <row r="49" spans="2:11" x14ac:dyDescent="0.25">
      <c r="B49" s="60" t="s">
        <v>84</v>
      </c>
      <c r="C49" s="229"/>
      <c r="D49" s="229"/>
      <c r="E49" s="106" t="str">
        <f>Mvalloc!E21</f>
        <v xml:space="preserve">  </v>
      </c>
      <c r="G49" s="1"/>
      <c r="H49" s="1"/>
      <c r="I49" s="1"/>
      <c r="J49" s="1"/>
    </row>
    <row r="50" spans="2:11" x14ac:dyDescent="0.25">
      <c r="B50" s="139" t="s">
        <v>176</v>
      </c>
      <c r="C50" s="229"/>
      <c r="D50" s="229"/>
      <c r="E50" s="106" t="str">
        <f>Mvalloc!F21</f>
        <v xml:space="preserve">  </v>
      </c>
      <c r="G50" s="1"/>
      <c r="H50" s="1"/>
      <c r="I50" s="1"/>
      <c r="J50" s="1"/>
    </row>
    <row r="51" spans="2:11" x14ac:dyDescent="0.2">
      <c r="B51" s="137" t="s">
        <v>348</v>
      </c>
      <c r="C51" s="229"/>
      <c r="D51" s="229"/>
      <c r="E51" s="106" t="str">
        <f>Mvalloc!G21</f>
        <v xml:space="preserve">  </v>
      </c>
      <c r="G51" s="646" t="str">
        <f>CONCATENATE("Desired Carryover Into ",E1+1,"")</f>
        <v>Desired Carryover Into 2026</v>
      </c>
      <c r="H51" s="647"/>
      <c r="I51" s="647"/>
      <c r="J51" s="648"/>
    </row>
    <row r="52" spans="2:11" x14ac:dyDescent="0.2">
      <c r="B52" s="137" t="s">
        <v>349</v>
      </c>
      <c r="C52" s="229"/>
      <c r="D52" s="229"/>
      <c r="E52" s="106" t="str">
        <f>Mvalloc!H21</f>
        <v xml:space="preserve">  </v>
      </c>
      <c r="G52" s="298"/>
      <c r="H52" s="299"/>
      <c r="I52" s="300"/>
      <c r="J52" s="301"/>
    </row>
    <row r="53" spans="2:11" x14ac:dyDescent="0.2">
      <c r="B53" s="150"/>
      <c r="C53" s="229"/>
      <c r="D53" s="229"/>
      <c r="E53" s="42"/>
      <c r="G53" s="302" t="s">
        <v>297</v>
      </c>
      <c r="H53" s="300"/>
      <c r="I53" s="300"/>
      <c r="J53" s="303">
        <v>0</v>
      </c>
    </row>
    <row r="54" spans="2:11" x14ac:dyDescent="0.2">
      <c r="B54" s="150"/>
      <c r="C54" s="229"/>
      <c r="D54" s="229"/>
      <c r="E54" s="42"/>
      <c r="G54" s="298" t="s">
        <v>298</v>
      </c>
      <c r="H54" s="299"/>
      <c r="I54" s="299"/>
      <c r="J54" s="304" t="str">
        <f>IF(J53=0,"",ROUND((J53+E81-G66)/inputOth!E6*1000,3)-G71)</f>
        <v/>
      </c>
    </row>
    <row r="55" spans="2:11" x14ac:dyDescent="0.2">
      <c r="B55" s="150"/>
      <c r="C55" s="229"/>
      <c r="D55" s="229"/>
      <c r="E55" s="42"/>
      <c r="G55" s="305" t="str">
        <f>CONCATENATE("",E1," Tot Exp/Non-Appr Must Be:")</f>
        <v>2025 Tot Exp/Non-Appr Must Be:</v>
      </c>
      <c r="H55" s="306"/>
      <c r="I55" s="307"/>
      <c r="J55" s="308">
        <f>IF(J53&gt;0,IF(E78&lt;E63,IF(J53=G66,E78,((J53-G66)*(1-D80))+E63),E78+(J53-G66)),0)</f>
        <v>0</v>
      </c>
    </row>
    <row r="56" spans="2:11" x14ac:dyDescent="0.2">
      <c r="B56" s="150"/>
      <c r="C56" s="229"/>
      <c r="D56" s="229"/>
      <c r="E56" s="42"/>
      <c r="G56" s="309" t="s">
        <v>318</v>
      </c>
      <c r="H56" s="310"/>
      <c r="I56" s="310"/>
      <c r="J56" s="311">
        <f>IF(J53&gt;0,J55-E78,0)</f>
        <v>0</v>
      </c>
    </row>
    <row r="57" spans="2:11" x14ac:dyDescent="0.25">
      <c r="B57" s="150"/>
      <c r="C57" s="229"/>
      <c r="D57" s="229"/>
      <c r="E57" s="42"/>
      <c r="G57" s="1"/>
      <c r="H57" s="1"/>
      <c r="I57" s="1"/>
      <c r="J57" s="1"/>
    </row>
    <row r="58" spans="2:11" x14ac:dyDescent="0.2">
      <c r="B58" s="142" t="s">
        <v>88</v>
      </c>
      <c r="C58" s="229"/>
      <c r="D58" s="229"/>
      <c r="E58" s="42"/>
      <c r="G58" s="646" t="str">
        <f>CONCATENATE("Projected Carryover Into ",E1+1,"")</f>
        <v>Projected Carryover Into 2026</v>
      </c>
      <c r="H58" s="668"/>
      <c r="I58" s="668"/>
      <c r="J58" s="667"/>
    </row>
    <row r="59" spans="2:11" x14ac:dyDescent="0.25">
      <c r="B59" s="143" t="s">
        <v>40</v>
      </c>
      <c r="C59" s="229"/>
      <c r="D59" s="229"/>
      <c r="E59" s="106">
        <f>'NR Rebate'!E20*-1</f>
        <v>0</v>
      </c>
      <c r="G59" s="327"/>
      <c r="H59" s="299"/>
      <c r="I59" s="299"/>
      <c r="J59" s="322"/>
    </row>
    <row r="60" spans="2:11" x14ac:dyDescent="0.25">
      <c r="B60" s="143" t="s">
        <v>38</v>
      </c>
      <c r="C60" s="229"/>
      <c r="D60" s="229"/>
      <c r="E60" s="42"/>
      <c r="G60" s="318">
        <f>D75</f>
        <v>0</v>
      </c>
      <c r="H60" s="316" t="str">
        <f>CONCATENATE("",E1-1," Ending Cash Balance (est.)")</f>
        <v>2024 Ending Cash Balance (est.)</v>
      </c>
      <c r="I60" s="319"/>
      <c r="J60" s="322"/>
    </row>
    <row r="61" spans="2:11" x14ac:dyDescent="0.25">
      <c r="B61" s="143" t="s">
        <v>39</v>
      </c>
      <c r="C61" s="230" t="str">
        <f>IF(C62*0.1&lt;C60,"Exceed 10% Rule","")</f>
        <v/>
      </c>
      <c r="D61" s="230" t="str">
        <f>IF(D62*0.1&lt;D60,"Exceed 10% Rule","")</f>
        <v/>
      </c>
      <c r="E61" s="170" t="str">
        <f>IF(E62*0.1+E81&lt;E60,"Exceed 10% Rule","")</f>
        <v/>
      </c>
      <c r="G61" s="318">
        <f>E62</f>
        <v>0</v>
      </c>
      <c r="H61" s="300" t="str">
        <f>CONCATENATE("",E1," Non-AV Receipts (est.)")</f>
        <v>2025 Non-AV Receipts (est.)</v>
      </c>
      <c r="I61" s="319"/>
      <c r="J61" s="322"/>
    </row>
    <row r="62" spans="2:11" x14ac:dyDescent="0.25">
      <c r="B62" s="145" t="s">
        <v>89</v>
      </c>
      <c r="C62" s="463">
        <f>SUM(C46:C60)</f>
        <v>0</v>
      </c>
      <c r="D62" s="463">
        <f>SUM(D46:D60)</f>
        <v>0</v>
      </c>
      <c r="E62" s="463">
        <f>SUM(E46:E60)</f>
        <v>0</v>
      </c>
      <c r="G62" s="320">
        <f>IF(E80&gt;0,E79,E81)</f>
        <v>0</v>
      </c>
      <c r="H62" s="300" t="str">
        <f>CONCATENATE("",E1," Ad Valorem Tax (est.)")</f>
        <v>2025 Ad Valorem Tax (est.)</v>
      </c>
      <c r="I62" s="319"/>
      <c r="J62" s="322"/>
      <c r="K62" s="314" t="str">
        <f>IF(G62=E81,"","Note: Does not include Delinquent Taxes")</f>
        <v/>
      </c>
    </row>
    <row r="63" spans="2:11" x14ac:dyDescent="0.25">
      <c r="B63" s="145" t="s">
        <v>90</v>
      </c>
      <c r="C63" s="463">
        <f>C44+C62</f>
        <v>0</v>
      </c>
      <c r="D63" s="463">
        <f>D44+D62</f>
        <v>0</v>
      </c>
      <c r="E63" s="463">
        <f>E44+E62</f>
        <v>0</v>
      </c>
      <c r="G63" s="328">
        <f>SUM(G60:G62)</f>
        <v>0</v>
      </c>
      <c r="H63" s="300" t="str">
        <f>CONCATENATE("Total ",E1," Resources Available")</f>
        <v>Total 2025 Resources Available</v>
      </c>
      <c r="I63" s="329"/>
      <c r="J63" s="322"/>
    </row>
    <row r="64" spans="2:11" x14ac:dyDescent="0.25">
      <c r="B64" s="60" t="s">
        <v>93</v>
      </c>
      <c r="C64" s="143"/>
      <c r="D64" s="143"/>
      <c r="E64" s="38"/>
      <c r="G64" s="330"/>
      <c r="H64" s="331"/>
      <c r="I64" s="299"/>
      <c r="J64" s="322"/>
    </row>
    <row r="65" spans="2:10" x14ac:dyDescent="0.25">
      <c r="B65" s="150"/>
      <c r="C65" s="229"/>
      <c r="D65" s="229"/>
      <c r="E65" s="42"/>
      <c r="G65" s="332">
        <f>ROUND(C74*0.05+C74,0)</f>
        <v>0</v>
      </c>
      <c r="H65" s="300" t="str">
        <f>CONCATENATE("Less ",E1-2," Expenditures + 5%")</f>
        <v>Less 2023 Expenditures + 5%</v>
      </c>
      <c r="I65" s="329"/>
      <c r="J65" s="322"/>
    </row>
    <row r="66" spans="2:10" x14ac:dyDescent="0.25">
      <c r="B66" s="150"/>
      <c r="C66" s="229"/>
      <c r="D66" s="229"/>
      <c r="E66" s="42"/>
      <c r="G66" s="333">
        <f>G63-G65</f>
        <v>0</v>
      </c>
      <c r="H66" s="324" t="str">
        <f>CONCATENATE("Projected ",E1+1," carryover (est.)")</f>
        <v>Projected 2026 carryover (est.)</v>
      </c>
      <c r="I66" s="334"/>
      <c r="J66" s="335"/>
    </row>
    <row r="67" spans="2:10" x14ac:dyDescent="0.25">
      <c r="B67" s="150"/>
      <c r="C67" s="229"/>
      <c r="D67" s="229"/>
      <c r="E67" s="42"/>
      <c r="G67" s="1"/>
      <c r="H67" s="1"/>
      <c r="I67" s="1"/>
      <c r="J67" s="1"/>
    </row>
    <row r="68" spans="2:10" x14ac:dyDescent="0.2">
      <c r="B68" s="150"/>
      <c r="C68" s="229"/>
      <c r="D68" s="229"/>
      <c r="E68" s="42"/>
      <c r="G68" s="649" t="s">
        <v>558</v>
      </c>
      <c r="H68" s="650"/>
      <c r="I68" s="650"/>
      <c r="J68" s="651"/>
    </row>
    <row r="69" spans="2:10" x14ac:dyDescent="0.2">
      <c r="B69" s="150"/>
      <c r="C69" s="229"/>
      <c r="D69" s="229"/>
      <c r="E69" s="42"/>
      <c r="G69" s="652"/>
      <c r="H69" s="653"/>
      <c r="I69" s="653"/>
      <c r="J69" s="654"/>
    </row>
    <row r="70" spans="2:10" x14ac:dyDescent="0.2">
      <c r="B70" s="150"/>
      <c r="C70" s="229"/>
      <c r="D70" s="229"/>
      <c r="E70" s="42"/>
      <c r="G70" s="509" t="str">
        <f>'Budget Hearing Notice'!H30</f>
        <v xml:space="preserve">  </v>
      </c>
      <c r="H70" s="316" t="str">
        <f>CONCATENATE("",E1," Estimated Fund Mill Rate")</f>
        <v>2025 Estimated Fund Mill Rate</v>
      </c>
      <c r="I70" s="510"/>
      <c r="J70" s="511"/>
    </row>
    <row r="71" spans="2:10" x14ac:dyDescent="0.2">
      <c r="B71" s="143" t="str">
        <f>CONCATENATE("Cash Reserve (",E1," column)")</f>
        <v>Cash Reserve (2025 column)</v>
      </c>
      <c r="C71" s="229"/>
      <c r="D71" s="229"/>
      <c r="E71" s="42"/>
      <c r="G71" s="512" t="str">
        <f>'Budget Hearing Notice'!E30</f>
        <v xml:space="preserve">  </v>
      </c>
      <c r="H71" s="316" t="str">
        <f>CONCATENATE("",E1-1," Fund Mill Rate")</f>
        <v>2024 Fund Mill Rate</v>
      </c>
      <c r="I71" s="510"/>
      <c r="J71" s="511"/>
    </row>
    <row r="72" spans="2:10" x14ac:dyDescent="0.2">
      <c r="B72" s="143" t="s">
        <v>38</v>
      </c>
      <c r="C72" s="229"/>
      <c r="D72" s="229"/>
      <c r="E72" s="42"/>
      <c r="G72" s="513">
        <f>'Budget Hearing Notice'!H62</f>
        <v>0</v>
      </c>
      <c r="H72" s="514" t="s">
        <v>559</v>
      </c>
      <c r="I72" s="510"/>
      <c r="J72" s="511"/>
    </row>
    <row r="73" spans="2:10" x14ac:dyDescent="0.2">
      <c r="B73" s="143" t="s">
        <v>41</v>
      </c>
      <c r="C73" s="170" t="str">
        <f>IF(C74*0.1&lt;C72,"Exceed 10% Rule","")</f>
        <v/>
      </c>
      <c r="D73" s="170" t="str">
        <f>IF(D74*0.1&lt;D72,"Exceed 10% Rule","")</f>
        <v/>
      </c>
      <c r="E73" s="170" t="str">
        <f>IF(E74*0.1&lt;E72,"Exceed 10% Rule","")</f>
        <v/>
      </c>
      <c r="G73" s="509">
        <f>'Budget Hearing Notice'!H61</f>
        <v>0</v>
      </c>
      <c r="H73" s="316" t="str">
        <f>CONCATENATE(E1," Estimated Total Mill Rate")</f>
        <v>2025 Estimated Total Mill Rate</v>
      </c>
      <c r="I73" s="510"/>
      <c r="J73" s="511"/>
    </row>
    <row r="74" spans="2:10" x14ac:dyDescent="0.2">
      <c r="B74" s="145" t="s">
        <v>94</v>
      </c>
      <c r="C74" s="463">
        <f>SUM(C65:C72)</f>
        <v>0</v>
      </c>
      <c r="D74" s="463">
        <f>SUM(D65:D72)</f>
        <v>0</v>
      </c>
      <c r="E74" s="463">
        <f>SUM(E65:E72)</f>
        <v>0</v>
      </c>
      <c r="G74" s="515">
        <f>'Budget Hearing Notice'!E61</f>
        <v>0</v>
      </c>
      <c r="H74" s="316" t="str">
        <f>CONCATENATE(E1-1," Total Mill Rate")</f>
        <v>2024 Total Mill Rate</v>
      </c>
      <c r="I74" s="510"/>
      <c r="J74" s="511"/>
    </row>
    <row r="75" spans="2:10" x14ac:dyDescent="0.2">
      <c r="B75" s="60" t="s">
        <v>196</v>
      </c>
      <c r="C75" s="106">
        <f>C63-C74</f>
        <v>0</v>
      </c>
      <c r="D75" s="106">
        <f>D63-D74</f>
        <v>0</v>
      </c>
      <c r="E75" s="165" t="s">
        <v>66</v>
      </c>
      <c r="G75" s="327"/>
      <c r="H75" s="299"/>
      <c r="I75" s="299"/>
      <c r="J75" s="329"/>
    </row>
    <row r="76" spans="2:10" x14ac:dyDescent="0.2">
      <c r="B76" s="135" t="str">
        <f>CONCATENATE("",E1-2,"/",E1-1,"/",E1," Budget Authority Amount:")</f>
        <v>2023/2024/2025 Budget Authority Amount:</v>
      </c>
      <c r="C76" s="167">
        <f>inputOth!B47</f>
        <v>0</v>
      </c>
      <c r="D76" s="167">
        <f>inputPrYr!D31</f>
        <v>0</v>
      </c>
      <c r="E76" s="106">
        <f>E74</f>
        <v>0</v>
      </c>
      <c r="G76" s="655" t="s">
        <v>560</v>
      </c>
      <c r="H76" s="656"/>
      <c r="I76" s="656"/>
      <c r="J76" s="659" t="str">
        <f>IF(G73&gt;G72, "Yes", "No")</f>
        <v>No</v>
      </c>
    </row>
    <row r="77" spans="2:10" x14ac:dyDescent="0.2">
      <c r="B77" s="125"/>
      <c r="C77" s="636" t="s">
        <v>294</v>
      </c>
      <c r="D77" s="637"/>
      <c r="E77" s="42"/>
      <c r="G77" s="657"/>
      <c r="H77" s="658"/>
      <c r="I77" s="658"/>
      <c r="J77" s="660"/>
    </row>
    <row r="78" spans="2:10" x14ac:dyDescent="0.2">
      <c r="B78" s="266" t="str">
        <f>CONCATENATE(C99,"     ",D99)</f>
        <v xml:space="preserve">     </v>
      </c>
      <c r="C78" s="638" t="s">
        <v>295</v>
      </c>
      <c r="D78" s="639"/>
      <c r="E78" s="106">
        <f>E74+E77</f>
        <v>0</v>
      </c>
      <c r="G78" s="661" t="str">
        <f>IF(J76="Yes", "Follow procedure prescribed by KSA 79-2988 to exceed the Revenue Neutral Rate.", " ")</f>
        <v xml:space="preserve"> </v>
      </c>
      <c r="H78" s="661"/>
      <c r="I78" s="661"/>
      <c r="J78" s="661"/>
    </row>
    <row r="79" spans="2:10" x14ac:dyDescent="0.2">
      <c r="B79" s="266" t="str">
        <f>CONCATENATE(C100,"     ",D100)</f>
        <v xml:space="preserve">     </v>
      </c>
      <c r="C79" s="152"/>
      <c r="D79" s="90" t="s">
        <v>95</v>
      </c>
      <c r="E79" s="106">
        <f>IF(E78-E63&gt;0,E78-E63,0)</f>
        <v>0</v>
      </c>
      <c r="F79" s="151"/>
      <c r="G79" s="662"/>
      <c r="H79" s="662"/>
      <c r="I79" s="662"/>
      <c r="J79" s="662"/>
    </row>
    <row r="80" spans="2:10" x14ac:dyDescent="0.2">
      <c r="B80" s="90"/>
      <c r="C80" s="265" t="s">
        <v>296</v>
      </c>
      <c r="D80" s="297">
        <f>inputOth!$E$26</f>
        <v>0</v>
      </c>
      <c r="E80" s="106">
        <f>ROUND(IF(D80&gt;0,($E$79*D80),0),0)</f>
        <v>0</v>
      </c>
      <c r="F80" s="238" t="str">
        <f>IF(E74/0.95-E74&lt;E77,"Exceeds 5%","")</f>
        <v/>
      </c>
      <c r="G80" s="662"/>
      <c r="H80" s="662"/>
      <c r="I80" s="662"/>
      <c r="J80" s="662"/>
    </row>
    <row r="81" spans="2:5" x14ac:dyDescent="0.2">
      <c r="B81" s="26"/>
      <c r="C81" s="644" t="str">
        <f>CONCATENATE("Amount of  ",$E$1-1," Ad Valorem Tax")</f>
        <v>Amount of  2024 Ad Valorem Tax</v>
      </c>
      <c r="D81" s="663"/>
      <c r="E81" s="106">
        <f>E79+E80</f>
        <v>0</v>
      </c>
    </row>
    <row r="82" spans="2:5" x14ac:dyDescent="0.2">
      <c r="B82" s="26"/>
      <c r="C82" s="125"/>
      <c r="D82" s="26"/>
      <c r="E82" s="125"/>
    </row>
    <row r="83" spans="2:5" x14ac:dyDescent="0.2">
      <c r="B83" s="423" t="s">
        <v>354</v>
      </c>
      <c r="C83" s="402"/>
      <c r="D83" s="347"/>
      <c r="E83" s="409"/>
    </row>
    <row r="84" spans="2:5" x14ac:dyDescent="0.2">
      <c r="B84" s="126"/>
      <c r="C84" s="125"/>
      <c r="D84" s="26"/>
      <c r="E84" s="410"/>
    </row>
    <row r="85" spans="2:5" x14ac:dyDescent="0.2">
      <c r="B85" s="403"/>
      <c r="C85" s="408"/>
      <c r="D85" s="44"/>
      <c r="E85" s="411"/>
    </row>
    <row r="86" spans="2:5" x14ac:dyDescent="0.2">
      <c r="B86" s="26"/>
      <c r="C86" s="125"/>
      <c r="D86" s="26"/>
      <c r="E86" s="125"/>
    </row>
    <row r="87" spans="2:5" x14ac:dyDescent="0.2">
      <c r="B87" s="125" t="s">
        <v>146</v>
      </c>
      <c r="C87" s="368"/>
      <c r="D87" s="26"/>
      <c r="E87" s="26"/>
    </row>
    <row r="95" spans="2:5" hidden="1" x14ac:dyDescent="0.2"/>
    <row r="96" spans="2:5" hidden="1" x14ac:dyDescent="0.2"/>
    <row r="97" spans="3:4" hidden="1" x14ac:dyDescent="0.2">
      <c r="C97" s="23" t="str">
        <f>IF(C33&gt;C35,"See Tab A","")</f>
        <v/>
      </c>
      <c r="D97" s="23" t="str">
        <f>IF(D33&gt;D35,"See Tab C","")</f>
        <v/>
      </c>
    </row>
    <row r="98" spans="3:4" hidden="1" x14ac:dyDescent="0.2">
      <c r="C98" s="23" t="str">
        <f>IF(C34&lt;0,"See Tab B","")</f>
        <v/>
      </c>
      <c r="D98" s="23" t="str">
        <f>IF(D34&lt;0,"See Tab D","")</f>
        <v/>
      </c>
    </row>
    <row r="99" spans="3:4" x14ac:dyDescent="0.2">
      <c r="C99" s="23" t="str">
        <f>IF(C74&gt;C76,"See Tab A","")</f>
        <v/>
      </c>
      <c r="D99" s="23" t="str">
        <f>IF(D74&gt;D76,"See Tab C","")</f>
        <v/>
      </c>
    </row>
    <row r="100" spans="3:4" x14ac:dyDescent="0.2">
      <c r="C100" s="23" t="str">
        <f>IF(C75&lt;0,"See Tab B","")</f>
        <v/>
      </c>
      <c r="D100" s="23" t="str">
        <f>IF(D75&lt;0,"See Tab D","")</f>
        <v/>
      </c>
    </row>
  </sheetData>
  <sheetProtection sheet="1" objects="1" scenarios="1"/>
  <mergeCells count="18">
    <mergeCell ref="C77:D77"/>
    <mergeCell ref="C78:D78"/>
    <mergeCell ref="G9:J9"/>
    <mergeCell ref="G16:J16"/>
    <mergeCell ref="G51:J51"/>
    <mergeCell ref="G58:J58"/>
    <mergeCell ref="C81:D81"/>
    <mergeCell ref="C40:D40"/>
    <mergeCell ref="G26:J27"/>
    <mergeCell ref="G34:I35"/>
    <mergeCell ref="J34:J35"/>
    <mergeCell ref="G36:J38"/>
    <mergeCell ref="G68:J69"/>
    <mergeCell ref="G76:I77"/>
    <mergeCell ref="J76:J77"/>
    <mergeCell ref="G78:J80"/>
    <mergeCell ref="C36:D36"/>
    <mergeCell ref="C37:D37"/>
  </mergeCells>
  <phoneticPr fontId="0" type="noConversion"/>
  <conditionalFormatting sqref="C20">
    <cfRule type="cellIs" dxfId="232" priority="33" stopIfTrue="1" operator="greaterThan">
      <formula>$C$22*0.1</formula>
    </cfRule>
  </conditionalFormatting>
  <conditionalFormatting sqref="C31">
    <cfRule type="cellIs" dxfId="231" priority="30" stopIfTrue="1" operator="greaterThan">
      <formula>$C$33*0.1</formula>
    </cfRule>
  </conditionalFormatting>
  <conditionalFormatting sqref="C33">
    <cfRule type="cellIs" dxfId="230" priority="8" stopIfTrue="1" operator="greaterThan">
      <formula>$C$35</formula>
    </cfRule>
  </conditionalFormatting>
  <conditionalFormatting sqref="C60">
    <cfRule type="cellIs" dxfId="229" priority="26" stopIfTrue="1" operator="greaterThan">
      <formula>$C$62*0.1</formula>
    </cfRule>
  </conditionalFormatting>
  <conditionalFormatting sqref="C72">
    <cfRule type="cellIs" dxfId="228" priority="23" stopIfTrue="1" operator="greaterThan">
      <formula>$C$74*0.1</formula>
    </cfRule>
  </conditionalFormatting>
  <conditionalFormatting sqref="C74">
    <cfRule type="cellIs" dxfId="227" priority="7" stopIfTrue="1" operator="greaterThan">
      <formula>$C$76</formula>
    </cfRule>
  </conditionalFormatting>
  <conditionalFormatting sqref="C34:D34">
    <cfRule type="cellIs" dxfId="226" priority="3" stopIfTrue="1" operator="lessThan">
      <formula>0</formula>
    </cfRule>
  </conditionalFormatting>
  <conditionalFormatting sqref="C74:D74">
    <cfRule type="cellIs" dxfId="225" priority="5" stopIfTrue="1" operator="greaterThan">
      <formula>$D$76</formula>
    </cfRule>
  </conditionalFormatting>
  <conditionalFormatting sqref="C75:D75">
    <cfRule type="cellIs" dxfId="224" priority="1" stopIfTrue="1" operator="lessThan">
      <formula>0</formula>
    </cfRule>
  </conditionalFormatting>
  <conditionalFormatting sqref="D20">
    <cfRule type="cellIs" dxfId="223" priority="34" stopIfTrue="1" operator="greaterThan">
      <formula>$D$22*0.1</formula>
    </cfRule>
  </conditionalFormatting>
  <conditionalFormatting sqref="D31">
    <cfRule type="cellIs" dxfId="222" priority="31" stopIfTrue="1" operator="greaterThan">
      <formula>$D$33*0.1</formula>
    </cfRule>
  </conditionalFormatting>
  <conditionalFormatting sqref="D33">
    <cfRule type="cellIs" dxfId="221" priority="9" stopIfTrue="1" operator="greaterThan">
      <formula>$D$35</formula>
    </cfRule>
  </conditionalFormatting>
  <conditionalFormatting sqref="D60">
    <cfRule type="cellIs" dxfId="220" priority="27" stopIfTrue="1" operator="greaterThan">
      <formula>$D$62*0.1</formula>
    </cfRule>
  </conditionalFormatting>
  <conditionalFormatting sqref="D72">
    <cfRule type="cellIs" dxfId="219" priority="24" stopIfTrue="1" operator="greaterThan">
      <formula>$D$74*0.1</formula>
    </cfRule>
  </conditionalFormatting>
  <conditionalFormatting sqref="E20">
    <cfRule type="cellIs" dxfId="218" priority="32" stopIfTrue="1" operator="greaterThan">
      <formula>$E$22*0.1+E40</formula>
    </cfRule>
  </conditionalFormatting>
  <conditionalFormatting sqref="E31">
    <cfRule type="cellIs" dxfId="217" priority="19" stopIfTrue="1" operator="greaterThan">
      <formula>$E$33*0.1</formula>
    </cfRule>
  </conditionalFormatting>
  <conditionalFormatting sqref="E36">
    <cfRule type="cellIs" dxfId="216" priority="18" stopIfTrue="1" operator="greaterThan">
      <formula>$E$33/0.95-$E$33</formula>
    </cfRule>
  </conditionalFormatting>
  <conditionalFormatting sqref="E60">
    <cfRule type="cellIs" dxfId="215" priority="25" stopIfTrue="1" operator="greaterThan">
      <formula>$E$62*0.1+E81</formula>
    </cfRule>
  </conditionalFormatting>
  <conditionalFormatting sqref="E72">
    <cfRule type="cellIs" dxfId="214" priority="16" stopIfTrue="1" operator="greaterThan">
      <formula>$E$74*0.1</formula>
    </cfRule>
  </conditionalFormatting>
  <conditionalFormatting sqref="E77">
    <cfRule type="cellIs" dxfId="213" priority="17" stopIfTrue="1" operator="greaterThan">
      <formula>$E$74/0.95-$E$74</formula>
    </cfRule>
  </conditionalFormatting>
  <conditionalFormatting sqref="J34">
    <cfRule type="containsText" dxfId="212" priority="13" operator="containsText" text="Yes">
      <formula>NOT(ISERROR(SEARCH("Yes",J34)))</formula>
    </cfRule>
  </conditionalFormatting>
  <conditionalFormatting sqref="J76">
    <cfRule type="containsText" dxfId="211" priority="12" operator="containsText" text="Yes">
      <formula>NOT(ISERROR(SEARCH("Yes",J76)))</formula>
    </cfRule>
  </conditionalFormatting>
  <pageMargins left="1.1200000000000001" right="0.5" top="0.74" bottom="0.34" header="0.5" footer="0"/>
  <pageSetup scale="51" orientation="portrait" blackAndWhite="1" horizontalDpi="120" verticalDpi="144" r:id="rId1"/>
  <headerFooter alignWithMargins="0">
    <oddHeader xml:space="preserve">&amp;RState of Kansas
County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9">
    <tabColor rgb="FF00B0F0"/>
    <pageSetUpPr fitToPage="1"/>
  </sheetPr>
  <dimension ref="B1:K99"/>
  <sheetViews>
    <sheetView zoomScaleNormal="100" workbookViewId="0">
      <selection activeCell="C31" sqref="C31:E31"/>
    </sheetView>
  </sheetViews>
  <sheetFormatPr defaultRowHeight="15.75" x14ac:dyDescent="0.2"/>
  <cols>
    <col min="1" max="1" width="2.44140625" style="23" customWidth="1"/>
    <col min="2" max="2" width="31.109375" style="23" customWidth="1"/>
    <col min="3" max="4" width="15.77734375" style="23" customWidth="1"/>
    <col min="5" max="5" width="16.21875" style="23" customWidth="1"/>
    <col min="6" max="6" width="7.44140625" style="23" customWidth="1"/>
    <col min="7" max="7" width="10.21875" style="23" customWidth="1"/>
    <col min="8" max="8" width="8.88671875" style="23"/>
    <col min="9" max="9" width="5.77734375" style="23" customWidth="1"/>
    <col min="10" max="10" width="10" style="23" customWidth="1"/>
    <col min="11" max="16384" width="8.88671875" style="23"/>
  </cols>
  <sheetData>
    <row r="1" spans="2:10" x14ac:dyDescent="0.2">
      <c r="B1" s="57">
        <f>(inputPrYr!C3)</f>
        <v>0</v>
      </c>
      <c r="C1" s="26"/>
      <c r="D1" s="26"/>
      <c r="E1" s="125">
        <f>inputPrYr!C5</f>
        <v>2025</v>
      </c>
    </row>
    <row r="2" spans="2:10" x14ac:dyDescent="0.2">
      <c r="B2" s="26"/>
      <c r="C2" s="26"/>
      <c r="D2" s="26"/>
      <c r="E2" s="90"/>
    </row>
    <row r="3" spans="2:10" x14ac:dyDescent="0.2">
      <c r="B3" s="64" t="s">
        <v>185</v>
      </c>
      <c r="C3" s="161"/>
      <c r="D3" s="161"/>
      <c r="E3" s="162"/>
    </row>
    <row r="4" spans="2:10" x14ac:dyDescent="0.2">
      <c r="B4" s="25" t="s">
        <v>80</v>
      </c>
      <c r="C4" s="339" t="s">
        <v>319</v>
      </c>
      <c r="D4" s="340" t="s">
        <v>320</v>
      </c>
      <c r="E4" s="80" t="s">
        <v>321</v>
      </c>
    </row>
    <row r="5" spans="2:10" x14ac:dyDescent="0.2">
      <c r="B5" s="248">
        <f>inputPrYr!B32</f>
        <v>0</v>
      </c>
      <c r="C5" s="231" t="str">
        <f>CONCATENATE("Actual for ",E1-2,"")</f>
        <v>Actual for 2023</v>
      </c>
      <c r="D5" s="231" t="str">
        <f>CONCATENATE("Estimate for ",E1-1,"")</f>
        <v>Estimate for 2024</v>
      </c>
      <c r="E5" s="136" t="str">
        <f>CONCATENATE("Year for ",E1,"")</f>
        <v>Year for 2025</v>
      </c>
    </row>
    <row r="6" spans="2:10" x14ac:dyDescent="0.2">
      <c r="B6" s="60" t="s">
        <v>195</v>
      </c>
      <c r="C6" s="229"/>
      <c r="D6" s="232">
        <f>C34</f>
        <v>0</v>
      </c>
      <c r="E6" s="106">
        <f>D34</f>
        <v>0</v>
      </c>
    </row>
    <row r="7" spans="2:10" x14ac:dyDescent="0.2">
      <c r="B7" s="128" t="s">
        <v>197</v>
      </c>
      <c r="C7" s="139"/>
      <c r="D7" s="139"/>
      <c r="E7" s="50"/>
    </row>
    <row r="8" spans="2:10" x14ac:dyDescent="0.2">
      <c r="B8" s="60" t="s">
        <v>81</v>
      </c>
      <c r="C8" s="229"/>
      <c r="D8" s="232">
        <f>IF(inputPrYr!H32&gt;0,inputPrYr!H32,inputPrYr!E32)</f>
        <v>0</v>
      </c>
      <c r="E8" s="165" t="s">
        <v>66</v>
      </c>
    </row>
    <row r="9" spans="2:10" x14ac:dyDescent="0.2">
      <c r="B9" s="60" t="s">
        <v>82</v>
      </c>
      <c r="C9" s="229"/>
      <c r="D9" s="229"/>
      <c r="E9" s="42"/>
      <c r="G9" s="646" t="str">
        <f>CONCATENATE("Desired Carryover Into ",E1+1,"")</f>
        <v>Desired Carryover Into 2026</v>
      </c>
      <c r="H9" s="647"/>
      <c r="I9" s="647"/>
      <c r="J9" s="648"/>
    </row>
    <row r="10" spans="2:10" x14ac:dyDescent="0.2">
      <c r="B10" s="60" t="s">
        <v>83</v>
      </c>
      <c r="C10" s="229"/>
      <c r="D10" s="229"/>
      <c r="E10" s="106" t="str">
        <f>Mvalloc!D22</f>
        <v xml:space="preserve">  </v>
      </c>
      <c r="G10" s="298"/>
      <c r="H10" s="299"/>
      <c r="I10" s="300"/>
      <c r="J10" s="301"/>
    </row>
    <row r="11" spans="2:10" x14ac:dyDescent="0.2">
      <c r="B11" s="60" t="s">
        <v>84</v>
      </c>
      <c r="C11" s="229"/>
      <c r="D11" s="229"/>
      <c r="E11" s="106" t="str">
        <f>Mvalloc!E22</f>
        <v xml:space="preserve">  </v>
      </c>
      <c r="G11" s="302" t="s">
        <v>297</v>
      </c>
      <c r="H11" s="300"/>
      <c r="I11" s="300"/>
      <c r="J11" s="303">
        <v>0</v>
      </c>
    </row>
    <row r="12" spans="2:10" x14ac:dyDescent="0.2">
      <c r="B12" s="139" t="s">
        <v>176</v>
      </c>
      <c r="C12" s="229"/>
      <c r="D12" s="229"/>
      <c r="E12" s="106" t="str">
        <f>Mvalloc!F22</f>
        <v xml:space="preserve">  </v>
      </c>
      <c r="G12" s="298" t="s">
        <v>298</v>
      </c>
      <c r="H12" s="299"/>
      <c r="I12" s="299"/>
      <c r="J12" s="304" t="str">
        <f>IF(J11=0,"",ROUND((J11+E40-G24)/inputOth!E6*1000,3)-G29)</f>
        <v/>
      </c>
    </row>
    <row r="13" spans="2:10" x14ac:dyDescent="0.2">
      <c r="B13" s="137" t="s">
        <v>348</v>
      </c>
      <c r="C13" s="229"/>
      <c r="D13" s="229"/>
      <c r="E13" s="106" t="str">
        <f>Mvalloc!G22</f>
        <v xml:space="preserve">  </v>
      </c>
      <c r="G13" s="305" t="str">
        <f>CONCATENATE("",E1," Tot Exp/Non-Appr Must Be:")</f>
        <v>2025 Tot Exp/Non-Appr Must Be:</v>
      </c>
      <c r="H13" s="306"/>
      <c r="I13" s="307"/>
      <c r="J13" s="308">
        <f>IF(J11&gt;0,IF(E37&lt;E23,IF(J11=G24,E37,((J11-G24)*(1-D39))+E23),E37+(J11-G24)),0)</f>
        <v>0</v>
      </c>
    </row>
    <row r="14" spans="2:10" x14ac:dyDescent="0.2">
      <c r="B14" s="137" t="s">
        <v>349</v>
      </c>
      <c r="C14" s="229"/>
      <c r="D14" s="229"/>
      <c r="E14" s="106" t="str">
        <f>Mvalloc!H22</f>
        <v xml:space="preserve">  </v>
      </c>
      <c r="G14" s="309" t="s">
        <v>318</v>
      </c>
      <c r="H14" s="310"/>
      <c r="I14" s="310"/>
      <c r="J14" s="311">
        <f>IF(J11&gt;0,J13-E37,0)</f>
        <v>0</v>
      </c>
    </row>
    <row r="15" spans="2:10" x14ac:dyDescent="0.25">
      <c r="B15" s="150"/>
      <c r="C15" s="229"/>
      <c r="D15" s="229"/>
      <c r="E15" s="42"/>
      <c r="G15" s="1"/>
      <c r="H15" s="1"/>
      <c r="I15" s="1"/>
      <c r="J15" s="1"/>
    </row>
    <row r="16" spans="2:10" x14ac:dyDescent="0.2">
      <c r="B16" s="150"/>
      <c r="C16" s="229"/>
      <c r="D16" s="229"/>
      <c r="E16" s="42"/>
      <c r="G16" s="646" t="str">
        <f>CONCATENATE("Projected Carryover Into ",E1+1,"")</f>
        <v>Projected Carryover Into 2026</v>
      </c>
      <c r="H16" s="666"/>
      <c r="I16" s="666"/>
      <c r="J16" s="667"/>
    </row>
    <row r="17" spans="2:11" x14ac:dyDescent="0.2">
      <c r="B17" s="150"/>
      <c r="C17" s="229"/>
      <c r="D17" s="229"/>
      <c r="E17" s="42"/>
      <c r="G17" s="298"/>
      <c r="H17" s="300"/>
      <c r="I17" s="300"/>
      <c r="J17" s="317"/>
    </row>
    <row r="18" spans="2:11" x14ac:dyDescent="0.2">
      <c r="B18" s="142" t="s">
        <v>88</v>
      </c>
      <c r="C18" s="229"/>
      <c r="D18" s="229"/>
      <c r="E18" s="42"/>
      <c r="G18" s="318">
        <f>D34</f>
        <v>0</v>
      </c>
      <c r="H18" s="316" t="str">
        <f>CONCATENATE("",E1-1," Ending Cash Balance (est.)")</f>
        <v>2024 Ending Cash Balance (est.)</v>
      </c>
      <c r="I18" s="319"/>
      <c r="J18" s="317"/>
    </row>
    <row r="19" spans="2:11" x14ac:dyDescent="0.2">
      <c r="B19" s="143" t="s">
        <v>40</v>
      </c>
      <c r="C19" s="229"/>
      <c r="D19" s="229"/>
      <c r="E19" s="106">
        <f>'NR Rebate'!E21*-1</f>
        <v>0</v>
      </c>
      <c r="G19" s="318">
        <f>E22</f>
        <v>0</v>
      </c>
      <c r="H19" s="300" t="str">
        <f>CONCATENATE("",E1," Non-AV Receipts (est.)")</f>
        <v>2025 Non-AV Receipts (est.)</v>
      </c>
      <c r="I19" s="319"/>
      <c r="J19" s="317"/>
    </row>
    <row r="20" spans="2:11" x14ac:dyDescent="0.2">
      <c r="B20" s="143" t="s">
        <v>38</v>
      </c>
      <c r="C20" s="229"/>
      <c r="D20" s="229"/>
      <c r="E20" s="42"/>
      <c r="G20" s="320">
        <f>IF(E39&gt;0,E38,E40)</f>
        <v>0</v>
      </c>
      <c r="H20" s="300" t="str">
        <f>CONCATENATE("",E1," Ad Valorem Tax (est.)")</f>
        <v>2025 Ad Valorem Tax (est.)</v>
      </c>
      <c r="I20" s="319"/>
      <c r="J20" s="317"/>
      <c r="K20" s="314" t="str">
        <f>IF(G20=E40,"","Note: Does not include Delinquent Taxes")</f>
        <v/>
      </c>
    </row>
    <row r="21" spans="2:11" x14ac:dyDescent="0.2">
      <c r="B21" s="143" t="s">
        <v>291</v>
      </c>
      <c r="C21" s="230" t="str">
        <f>IF(C22*0.1&lt;C20,"Exceed 10% Rule","")</f>
        <v/>
      </c>
      <c r="D21" s="230" t="str">
        <f>IF(D22*0.1&lt;D20,"Exceed 10% Rule","")</f>
        <v/>
      </c>
      <c r="E21" s="170" t="str">
        <f>IF(E22*0.1+E40&lt;E20,"Exceed 10% Rule","")</f>
        <v/>
      </c>
      <c r="G21" s="318">
        <f>SUM(G18:G20)</f>
        <v>0</v>
      </c>
      <c r="H21" s="300" t="str">
        <f>CONCATENATE("Total ",E1," Resources Available")</f>
        <v>Total 2025 Resources Available</v>
      </c>
      <c r="I21" s="319"/>
      <c r="J21" s="317"/>
    </row>
    <row r="22" spans="2:11" x14ac:dyDescent="0.2">
      <c r="B22" s="145" t="s">
        <v>89</v>
      </c>
      <c r="C22" s="463">
        <f>SUM(C8:C20)</f>
        <v>0</v>
      </c>
      <c r="D22" s="463">
        <f>SUM(D8:D20)</f>
        <v>0</v>
      </c>
      <c r="E22" s="463">
        <f>SUM(E8:E20)</f>
        <v>0</v>
      </c>
      <c r="G22" s="321"/>
      <c r="H22" s="300"/>
      <c r="I22" s="300"/>
      <c r="J22" s="317"/>
    </row>
    <row r="23" spans="2:11" x14ac:dyDescent="0.25">
      <c r="B23" s="145" t="s">
        <v>90</v>
      </c>
      <c r="C23" s="463">
        <f>C6+C22</f>
        <v>0</v>
      </c>
      <c r="D23" s="463">
        <f>D6+D22</f>
        <v>0</v>
      </c>
      <c r="E23" s="463">
        <f>E6+E22</f>
        <v>0</v>
      </c>
      <c r="G23" s="320">
        <f>ROUND(C33*0.05+C33,0)</f>
        <v>0</v>
      </c>
      <c r="H23" s="300" t="str">
        <f>CONCATENATE("Less ",E1-2," Expenditures + 5%")</f>
        <v>Less 2023 Expenditures + 5%</v>
      </c>
      <c r="I23" s="319"/>
      <c r="J23" s="322"/>
    </row>
    <row r="24" spans="2:11" x14ac:dyDescent="0.2">
      <c r="B24" s="60" t="s">
        <v>93</v>
      </c>
      <c r="C24" s="143"/>
      <c r="D24" s="143"/>
      <c r="E24" s="38"/>
      <c r="G24" s="323">
        <f>G21-G23</f>
        <v>0</v>
      </c>
      <c r="H24" s="324" t="str">
        <f>CONCATENATE("Projected ",E1+1," carryover (est.)")</f>
        <v>Projected 2026 carryover (est.)</v>
      </c>
      <c r="I24" s="325"/>
      <c r="J24" s="326"/>
    </row>
    <row r="25" spans="2:11" x14ac:dyDescent="0.25">
      <c r="B25" s="150"/>
      <c r="C25" s="229"/>
      <c r="D25" s="229"/>
      <c r="E25" s="42"/>
      <c r="G25" s="1"/>
      <c r="H25" s="1"/>
      <c r="I25" s="1"/>
      <c r="J25" s="1"/>
    </row>
    <row r="26" spans="2:11" x14ac:dyDescent="0.2">
      <c r="B26" s="150"/>
      <c r="C26" s="229"/>
      <c r="D26" s="229"/>
      <c r="E26" s="42"/>
      <c r="G26" s="649" t="s">
        <v>558</v>
      </c>
      <c r="H26" s="650"/>
      <c r="I26" s="650"/>
      <c r="J26" s="651"/>
    </row>
    <row r="27" spans="2:11" x14ac:dyDescent="0.2">
      <c r="B27" s="150"/>
      <c r="C27" s="229"/>
      <c r="D27" s="229"/>
      <c r="E27" s="42"/>
      <c r="G27" s="652"/>
      <c r="H27" s="653"/>
      <c r="I27" s="653"/>
      <c r="J27" s="654"/>
    </row>
    <row r="28" spans="2:11" x14ac:dyDescent="0.2">
      <c r="B28" s="150"/>
      <c r="C28" s="229"/>
      <c r="D28" s="229"/>
      <c r="E28" s="42"/>
      <c r="G28" s="509" t="str">
        <f>'Budget Hearing Notice'!H31</f>
        <v xml:space="preserve">  </v>
      </c>
      <c r="H28" s="316" t="str">
        <f>CONCATENATE("",E1," Estimated Fund Mill Rate")</f>
        <v>2025 Estimated Fund Mill Rate</v>
      </c>
      <c r="I28" s="510"/>
      <c r="J28" s="511"/>
    </row>
    <row r="29" spans="2:11" x14ac:dyDescent="0.2">
      <c r="B29" s="150"/>
      <c r="C29" s="229"/>
      <c r="D29" s="229"/>
      <c r="E29" s="42"/>
      <c r="G29" s="512" t="str">
        <f>'Budget Hearing Notice'!E31</f>
        <v xml:space="preserve">  </v>
      </c>
      <c r="H29" s="316" t="str">
        <f>CONCATENATE("",E1-1," Fund Mill Rate")</f>
        <v>2024 Fund Mill Rate</v>
      </c>
      <c r="I29" s="510"/>
      <c r="J29" s="511"/>
    </row>
    <row r="30" spans="2:11" x14ac:dyDescent="0.2">
      <c r="B30" s="143" t="str">
        <f>CONCATENATE("Cash Reserve (",E1," column)")</f>
        <v>Cash Reserve (2025 column)</v>
      </c>
      <c r="C30" s="229"/>
      <c r="D30" s="229"/>
      <c r="E30" s="42"/>
      <c r="G30" s="513">
        <f>'Budget Hearing Notice'!H62</f>
        <v>0</v>
      </c>
      <c r="H30" s="514" t="s">
        <v>559</v>
      </c>
      <c r="I30" s="510"/>
      <c r="J30" s="511"/>
    </row>
    <row r="31" spans="2:11" x14ac:dyDescent="0.2">
      <c r="B31" s="143" t="s">
        <v>38</v>
      </c>
      <c r="C31" s="229"/>
      <c r="D31" s="229"/>
      <c r="E31" s="42"/>
      <c r="G31" s="509">
        <f>'Budget Hearing Notice'!H61</f>
        <v>0</v>
      </c>
      <c r="H31" s="316" t="str">
        <f>CONCATENATE(E1," Estimated Total Mill Rate")</f>
        <v>2025 Estimated Total Mill Rate</v>
      </c>
      <c r="I31" s="510"/>
      <c r="J31" s="511"/>
    </row>
    <row r="32" spans="2:11" x14ac:dyDescent="0.2">
      <c r="B32" s="143" t="s">
        <v>290</v>
      </c>
      <c r="C32" s="230" t="str">
        <f>IF(C33*0.1&lt;C31,"Exceed 10% Rule","")</f>
        <v/>
      </c>
      <c r="D32" s="230" t="str">
        <f>IF(D33*0.1&lt;D31,"Exceed 10% Rule","")</f>
        <v/>
      </c>
      <c r="E32" s="170" t="str">
        <f>IF(E33*0.1&lt;E31,"Exceed 10% Rule","")</f>
        <v/>
      </c>
      <c r="G32" s="515">
        <f>'Budget Hearing Notice'!E61</f>
        <v>0</v>
      </c>
      <c r="H32" s="316" t="str">
        <f>CONCATENATE(E1-1," Total Mill Rate")</f>
        <v>2024 Total Mill Rate</v>
      </c>
      <c r="I32" s="510"/>
      <c r="J32" s="511"/>
    </row>
    <row r="33" spans="2:10" x14ac:dyDescent="0.2">
      <c r="B33" s="145" t="s">
        <v>94</v>
      </c>
      <c r="C33" s="463">
        <f>SUM(C25:C31)</f>
        <v>0</v>
      </c>
      <c r="D33" s="463">
        <f>SUM(D25:D31)</f>
        <v>0</v>
      </c>
      <c r="E33" s="463">
        <f>SUM(E25:E31)</f>
        <v>0</v>
      </c>
      <c r="G33" s="327"/>
      <c r="H33" s="299"/>
      <c r="I33" s="299"/>
      <c r="J33" s="329"/>
    </row>
    <row r="34" spans="2:10" x14ac:dyDescent="0.2">
      <c r="B34" s="60" t="s">
        <v>196</v>
      </c>
      <c r="C34" s="106">
        <f>C23-C33</f>
        <v>0</v>
      </c>
      <c r="D34" s="106">
        <f>D23-D33</f>
        <v>0</v>
      </c>
      <c r="E34" s="165" t="s">
        <v>66</v>
      </c>
      <c r="G34" s="655" t="s">
        <v>560</v>
      </c>
      <c r="H34" s="656"/>
      <c r="I34" s="656"/>
      <c r="J34" s="659" t="str">
        <f>IF(G31&gt;G30, "Yes", "No")</f>
        <v>No</v>
      </c>
    </row>
    <row r="35" spans="2:10" x14ac:dyDescent="0.2">
      <c r="B35" s="135" t="str">
        <f>CONCATENATE("",E1-2,"/",E1-1,"/",E1," Budget Authority Amount:")</f>
        <v>2023/2024/2025 Budget Authority Amount:</v>
      </c>
      <c r="C35" s="167">
        <f>inputOth!B48</f>
        <v>0</v>
      </c>
      <c r="D35" s="167">
        <f>inputPrYr!D32</f>
        <v>0</v>
      </c>
      <c r="E35" s="106">
        <f>E33</f>
        <v>0</v>
      </c>
      <c r="G35" s="657"/>
      <c r="H35" s="658"/>
      <c r="I35" s="658"/>
      <c r="J35" s="660"/>
    </row>
    <row r="36" spans="2:10" x14ac:dyDescent="0.2">
      <c r="B36" s="125"/>
      <c r="C36" s="636" t="s">
        <v>294</v>
      </c>
      <c r="D36" s="637"/>
      <c r="E36" s="42"/>
      <c r="G36" s="661" t="str">
        <f>IF(J34="Yes", "Follow procedure prescribed by KSA 79-2988 to exceed the Revenue Neutral Rate.", " ")</f>
        <v xml:space="preserve"> </v>
      </c>
      <c r="H36" s="661"/>
      <c r="I36" s="661"/>
      <c r="J36" s="661"/>
    </row>
    <row r="37" spans="2:10" x14ac:dyDescent="0.2">
      <c r="B37" s="266" t="str">
        <f>CONCATENATE(C96,"     ",D96)</f>
        <v xml:space="preserve">     </v>
      </c>
      <c r="C37" s="638" t="s">
        <v>295</v>
      </c>
      <c r="D37" s="639"/>
      <c r="E37" s="106">
        <f>E33+E36</f>
        <v>0</v>
      </c>
      <c r="F37" s="151"/>
      <c r="G37" s="662"/>
      <c r="H37" s="662"/>
      <c r="I37" s="662"/>
      <c r="J37" s="662"/>
    </row>
    <row r="38" spans="2:10" x14ac:dyDescent="0.2">
      <c r="B38" s="266" t="str">
        <f>CONCATENATE(C97,"     ",D97)</f>
        <v xml:space="preserve">     </v>
      </c>
      <c r="C38" s="152"/>
      <c r="D38" s="90" t="s">
        <v>95</v>
      </c>
      <c r="E38" s="106">
        <f>IF(E37-E23&gt;0,E37-E23,0)</f>
        <v>0</v>
      </c>
      <c r="F38" s="238" t="str">
        <f>IF(E33/0.95-E33&lt;E36,"Exceeds 5%","")</f>
        <v/>
      </c>
      <c r="G38" s="662"/>
      <c r="H38" s="662"/>
      <c r="I38" s="662"/>
      <c r="J38" s="662"/>
    </row>
    <row r="39" spans="2:10" x14ac:dyDescent="0.25">
      <c r="B39" s="90"/>
      <c r="C39" s="265" t="s">
        <v>296</v>
      </c>
      <c r="D39" s="297">
        <f>inputOth!$E$26</f>
        <v>0</v>
      </c>
      <c r="E39" s="106">
        <f>ROUND(IF(D39&gt;0,($E$38*D39),0),0)</f>
        <v>0</v>
      </c>
      <c r="G39" s="1"/>
      <c r="H39" s="1"/>
      <c r="I39" s="1"/>
      <c r="J39" s="1"/>
    </row>
    <row r="40" spans="2:10" x14ac:dyDescent="0.25">
      <c r="B40" s="26"/>
      <c r="C40" s="644" t="str">
        <f>CONCATENATE("Amount of  ",$E$1-1," Ad Valorem Tax")</f>
        <v>Amount of  2024 Ad Valorem Tax</v>
      </c>
      <c r="D40" s="663"/>
      <c r="E40" s="106">
        <f>E38+E39</f>
        <v>0</v>
      </c>
      <c r="G40" s="1"/>
      <c r="H40" s="1"/>
      <c r="I40" s="1"/>
      <c r="J40" s="1"/>
    </row>
    <row r="41" spans="2:10" x14ac:dyDescent="0.25">
      <c r="B41" s="26"/>
      <c r="C41" s="155"/>
      <c r="D41" s="155"/>
      <c r="E41" s="155"/>
      <c r="G41" s="1"/>
      <c r="H41" s="1"/>
      <c r="I41" s="1"/>
      <c r="J41" s="1"/>
    </row>
    <row r="42" spans="2:10" x14ac:dyDescent="0.25">
      <c r="B42" s="25" t="s">
        <v>80</v>
      </c>
      <c r="C42" s="339" t="str">
        <f t="shared" ref="C42:E43" si="0">C4</f>
        <v xml:space="preserve">Prior Year </v>
      </c>
      <c r="D42" s="340" t="str">
        <f t="shared" si="0"/>
        <v xml:space="preserve">Current Year </v>
      </c>
      <c r="E42" s="80" t="str">
        <f t="shared" si="0"/>
        <v xml:space="preserve">Proposed Budget </v>
      </c>
      <c r="G42" s="1"/>
      <c r="H42" s="1"/>
      <c r="I42" s="1"/>
      <c r="J42" s="1"/>
    </row>
    <row r="43" spans="2:10" x14ac:dyDescent="0.25">
      <c r="B43" s="247">
        <f>inputPrYr!B33</f>
        <v>0</v>
      </c>
      <c r="C43" s="231" t="str">
        <f t="shared" si="0"/>
        <v>Actual for 2023</v>
      </c>
      <c r="D43" s="231" t="str">
        <f t="shared" si="0"/>
        <v>Estimate for 2024</v>
      </c>
      <c r="E43" s="136" t="str">
        <f t="shared" si="0"/>
        <v>Year for 2025</v>
      </c>
      <c r="G43" s="1"/>
      <c r="H43" s="1"/>
      <c r="I43" s="1"/>
      <c r="J43" s="1"/>
    </row>
    <row r="44" spans="2:10" x14ac:dyDescent="0.25">
      <c r="B44" s="60" t="s">
        <v>195</v>
      </c>
      <c r="C44" s="229"/>
      <c r="D44" s="232">
        <f>C74</f>
        <v>0</v>
      </c>
      <c r="E44" s="106">
        <f>D74</f>
        <v>0</v>
      </c>
      <c r="G44" s="1"/>
      <c r="H44" s="1"/>
      <c r="I44" s="1"/>
      <c r="J44" s="1"/>
    </row>
    <row r="45" spans="2:10" x14ac:dyDescent="0.25">
      <c r="B45" s="137" t="s">
        <v>197</v>
      </c>
      <c r="C45" s="139"/>
      <c r="D45" s="139"/>
      <c r="E45" s="50"/>
      <c r="G45" s="1"/>
      <c r="H45" s="1"/>
      <c r="I45" s="1"/>
      <c r="J45" s="1"/>
    </row>
    <row r="46" spans="2:10" x14ac:dyDescent="0.25">
      <c r="B46" s="60" t="s">
        <v>81</v>
      </c>
      <c r="C46" s="229"/>
      <c r="D46" s="232">
        <f>IF(inputPrYr!H33&gt;0,inputPrYr!H33,inputPrYr!E33)</f>
        <v>0</v>
      </c>
      <c r="E46" s="165" t="s">
        <v>66</v>
      </c>
      <c r="G46" s="1"/>
      <c r="H46" s="1"/>
      <c r="I46" s="1"/>
      <c r="J46" s="1"/>
    </row>
    <row r="47" spans="2:10" x14ac:dyDescent="0.25">
      <c r="B47" s="60" t="s">
        <v>82</v>
      </c>
      <c r="C47" s="229"/>
      <c r="D47" s="229"/>
      <c r="E47" s="42"/>
      <c r="G47" s="1"/>
      <c r="H47" s="1"/>
      <c r="I47" s="1"/>
      <c r="J47" s="1"/>
    </row>
    <row r="48" spans="2:10" x14ac:dyDescent="0.25">
      <c r="B48" s="60" t="s">
        <v>83</v>
      </c>
      <c r="C48" s="229"/>
      <c r="D48" s="229"/>
      <c r="E48" s="106" t="str">
        <f>Mvalloc!D23</f>
        <v xml:space="preserve">  </v>
      </c>
      <c r="G48" s="1"/>
      <c r="H48" s="1"/>
      <c r="I48" s="1"/>
      <c r="J48" s="1"/>
    </row>
    <row r="49" spans="2:11" x14ac:dyDescent="0.2">
      <c r="B49" s="60" t="s">
        <v>84</v>
      </c>
      <c r="C49" s="229"/>
      <c r="D49" s="229"/>
      <c r="E49" s="106" t="str">
        <f>Mvalloc!E23</f>
        <v xml:space="preserve">  </v>
      </c>
      <c r="G49" s="646" t="str">
        <f>CONCATENATE("Desired Carryover Into ",E1+1,"")</f>
        <v>Desired Carryover Into 2026</v>
      </c>
      <c r="H49" s="647"/>
      <c r="I49" s="647"/>
      <c r="J49" s="648"/>
    </row>
    <row r="50" spans="2:11" x14ac:dyDescent="0.2">
      <c r="B50" s="139" t="s">
        <v>176</v>
      </c>
      <c r="C50" s="229"/>
      <c r="D50" s="229"/>
      <c r="E50" s="106" t="str">
        <f>Mvalloc!F23</f>
        <v xml:space="preserve">  </v>
      </c>
      <c r="G50" s="298"/>
      <c r="H50" s="299"/>
      <c r="I50" s="300"/>
      <c r="J50" s="301"/>
    </row>
    <row r="51" spans="2:11" x14ac:dyDescent="0.2">
      <c r="B51" s="137" t="s">
        <v>348</v>
      </c>
      <c r="C51" s="229"/>
      <c r="D51" s="229"/>
      <c r="E51" s="106" t="str">
        <f>Mvalloc!G23</f>
        <v xml:space="preserve">  </v>
      </c>
      <c r="G51" s="302" t="s">
        <v>297</v>
      </c>
      <c r="H51" s="300"/>
      <c r="I51" s="300"/>
      <c r="J51" s="303">
        <v>0</v>
      </c>
    </row>
    <row r="52" spans="2:11" x14ac:dyDescent="0.2">
      <c r="B52" s="137" t="s">
        <v>349</v>
      </c>
      <c r="C52" s="229"/>
      <c r="D52" s="229"/>
      <c r="E52" s="106" t="str">
        <f>Mvalloc!H23</f>
        <v xml:space="preserve">  </v>
      </c>
      <c r="G52" s="298" t="s">
        <v>298</v>
      </c>
      <c r="H52" s="299"/>
      <c r="I52" s="299"/>
      <c r="J52" s="304" t="str">
        <f>IF(J51=0,"",ROUND((J51+E80-G64)/inputOth!E6*1000,3)-G69)</f>
        <v/>
      </c>
    </row>
    <row r="53" spans="2:11" x14ac:dyDescent="0.2">
      <c r="B53" s="150"/>
      <c r="C53" s="229"/>
      <c r="D53" s="229"/>
      <c r="E53" s="42"/>
      <c r="G53" s="305" t="str">
        <f>CONCATENATE("",E1," Tot Exp/Non-Appr Must Be:")</f>
        <v>2025 Tot Exp/Non-Appr Must Be:</v>
      </c>
      <c r="H53" s="306"/>
      <c r="I53" s="307"/>
      <c r="J53" s="308">
        <f>IF(J51&gt;0,IF(E77&lt;E63,IF(J51=G64,E77,((J51-G64)*(1-D79))+E63),E77+(J51-G64)),0)</f>
        <v>0</v>
      </c>
    </row>
    <row r="54" spans="2:11" x14ac:dyDescent="0.2">
      <c r="B54" s="150"/>
      <c r="C54" s="229"/>
      <c r="D54" s="229"/>
      <c r="E54" s="42"/>
      <c r="G54" s="309" t="s">
        <v>318</v>
      </c>
      <c r="H54" s="310"/>
      <c r="I54" s="310"/>
      <c r="J54" s="311">
        <f>IF(J51&gt;0,J53-E77,0)</f>
        <v>0</v>
      </c>
    </row>
    <row r="55" spans="2:11" x14ac:dyDescent="0.25">
      <c r="B55" s="150"/>
      <c r="C55" s="229"/>
      <c r="D55" s="229"/>
      <c r="E55" s="42"/>
      <c r="G55" s="1"/>
      <c r="H55" s="1"/>
      <c r="I55" s="1"/>
      <c r="J55" s="1"/>
    </row>
    <row r="56" spans="2:11" x14ac:dyDescent="0.2">
      <c r="B56" s="150"/>
      <c r="C56" s="229"/>
      <c r="D56" s="229"/>
      <c r="E56" s="42"/>
      <c r="G56" s="646" t="str">
        <f>CONCATENATE("Projected Carryover Into ",E1+1,"")</f>
        <v>Projected Carryover Into 2026</v>
      </c>
      <c r="H56" s="668"/>
      <c r="I56" s="668"/>
      <c r="J56" s="667"/>
    </row>
    <row r="57" spans="2:11" x14ac:dyDescent="0.25">
      <c r="B57" s="150"/>
      <c r="C57" s="229"/>
      <c r="D57" s="229"/>
      <c r="E57" s="42"/>
      <c r="G57" s="327"/>
      <c r="H57" s="299"/>
      <c r="I57" s="299"/>
      <c r="J57" s="322"/>
    </row>
    <row r="58" spans="2:11" x14ac:dyDescent="0.25">
      <c r="B58" s="142" t="s">
        <v>88</v>
      </c>
      <c r="C58" s="229"/>
      <c r="D58" s="229"/>
      <c r="E58" s="42"/>
      <c r="G58" s="318">
        <f>D74</f>
        <v>0</v>
      </c>
      <c r="H58" s="316" t="str">
        <f>CONCATENATE("",E1-1," Ending Cash Balance (est.)")</f>
        <v>2024 Ending Cash Balance (est.)</v>
      </c>
      <c r="I58" s="319"/>
      <c r="J58" s="322"/>
    </row>
    <row r="59" spans="2:11" x14ac:dyDescent="0.25">
      <c r="B59" s="143" t="s">
        <v>40</v>
      </c>
      <c r="C59" s="229"/>
      <c r="D59" s="229"/>
      <c r="E59" s="106">
        <f>'NR Rebate'!E22*-1</f>
        <v>0</v>
      </c>
      <c r="G59" s="318">
        <f>E62</f>
        <v>0</v>
      </c>
      <c r="H59" s="300" t="str">
        <f>CONCATENATE("",E1," Non-AV Receipts (est.)")</f>
        <v>2025 Non-AV Receipts (est.)</v>
      </c>
      <c r="I59" s="319"/>
      <c r="J59" s="322"/>
    </row>
    <row r="60" spans="2:11" x14ac:dyDescent="0.25">
      <c r="B60" s="143" t="s">
        <v>38</v>
      </c>
      <c r="C60" s="229"/>
      <c r="D60" s="229"/>
      <c r="E60" s="42"/>
      <c r="G60" s="320">
        <f>IF(E79&gt;0,E78,E80)</f>
        <v>0</v>
      </c>
      <c r="H60" s="300" t="str">
        <f>CONCATENATE("",E1," Ad Valorem Tax (est.)")</f>
        <v>2025 Ad Valorem Tax (est.)</v>
      </c>
      <c r="I60" s="319"/>
      <c r="J60" s="322"/>
      <c r="K60" s="314" t="str">
        <f>IF(G60=E80,"","Note: Does not include Delinquent Taxes")</f>
        <v/>
      </c>
    </row>
    <row r="61" spans="2:11" x14ac:dyDescent="0.25">
      <c r="B61" s="143" t="s">
        <v>291</v>
      </c>
      <c r="C61" s="230" t="str">
        <f>IF(C62*0.1&lt;C60,"Exceed 10% Rule","")</f>
        <v/>
      </c>
      <c r="D61" s="230" t="str">
        <f>IF(D62*0.1&lt;D60,"Exceed 10% Rule","")</f>
        <v/>
      </c>
      <c r="E61" s="170" t="str">
        <f>IF(E62*0.1+E80&lt;E60,"Exceed 10% Rule","")</f>
        <v/>
      </c>
      <c r="G61" s="328">
        <f>SUM(G58:G60)</f>
        <v>0</v>
      </c>
      <c r="H61" s="300" t="str">
        <f>CONCATENATE("Total ",E1," Resources Available")</f>
        <v>Total 2025 Resources Available</v>
      </c>
      <c r="I61" s="329"/>
      <c r="J61" s="322"/>
    </row>
    <row r="62" spans="2:11" x14ac:dyDescent="0.25">
      <c r="B62" s="145" t="s">
        <v>89</v>
      </c>
      <c r="C62" s="463">
        <f>SUM(C46:C60)</f>
        <v>0</v>
      </c>
      <c r="D62" s="463">
        <f>SUM(D46:D60)</f>
        <v>0</v>
      </c>
      <c r="E62" s="463">
        <f>SUM(E46:E60)</f>
        <v>0</v>
      </c>
      <c r="G62" s="330"/>
      <c r="H62" s="331"/>
      <c r="I62" s="299"/>
      <c r="J62" s="322"/>
    </row>
    <row r="63" spans="2:11" x14ac:dyDescent="0.25">
      <c r="B63" s="145" t="s">
        <v>90</v>
      </c>
      <c r="C63" s="463">
        <f>C44+C62</f>
        <v>0</v>
      </c>
      <c r="D63" s="463">
        <f>D44+D62</f>
        <v>0</v>
      </c>
      <c r="E63" s="463">
        <f>E44+E62</f>
        <v>0</v>
      </c>
      <c r="G63" s="332">
        <f>ROUND(C73*0.05+C73,0)</f>
        <v>0</v>
      </c>
      <c r="H63" s="300" t="str">
        <f>CONCATENATE("Less ",E1-2," Expenditures + 5%")</f>
        <v>Less 2023 Expenditures + 5%</v>
      </c>
      <c r="I63" s="329"/>
      <c r="J63" s="322"/>
    </row>
    <row r="64" spans="2:11" x14ac:dyDescent="0.25">
      <c r="B64" s="60" t="s">
        <v>93</v>
      </c>
      <c r="C64" s="143"/>
      <c r="D64" s="143"/>
      <c r="E64" s="38"/>
      <c r="G64" s="333">
        <f>G61-G63</f>
        <v>0</v>
      </c>
      <c r="H64" s="324" t="str">
        <f>CONCATENATE("Projected ",E1+1," carryover (est.)")</f>
        <v>Projected 2026 carryover (est.)</v>
      </c>
      <c r="I64" s="334"/>
      <c r="J64" s="335"/>
    </row>
    <row r="65" spans="2:10" x14ac:dyDescent="0.25">
      <c r="B65" s="150"/>
      <c r="C65" s="229"/>
      <c r="D65" s="229"/>
      <c r="E65" s="42"/>
      <c r="G65" s="1"/>
      <c r="H65" s="1"/>
      <c r="I65" s="1"/>
      <c r="J65" s="1"/>
    </row>
    <row r="66" spans="2:10" x14ac:dyDescent="0.2">
      <c r="B66" s="150"/>
      <c r="C66" s="229"/>
      <c r="D66" s="229"/>
      <c r="E66" s="42"/>
      <c r="G66" s="649" t="s">
        <v>558</v>
      </c>
      <c r="H66" s="650"/>
      <c r="I66" s="650"/>
      <c r="J66" s="651"/>
    </row>
    <row r="67" spans="2:10" x14ac:dyDescent="0.2">
      <c r="B67" s="150"/>
      <c r="C67" s="229"/>
      <c r="D67" s="229"/>
      <c r="E67" s="42"/>
      <c r="G67" s="652"/>
      <c r="H67" s="653"/>
      <c r="I67" s="653"/>
      <c r="J67" s="654"/>
    </row>
    <row r="68" spans="2:10" x14ac:dyDescent="0.2">
      <c r="B68" s="150"/>
      <c r="C68" s="229"/>
      <c r="D68" s="229"/>
      <c r="E68" s="42"/>
      <c r="G68" s="509" t="str">
        <f>'Budget Hearing Notice'!H32</f>
        <v xml:space="preserve">  </v>
      </c>
      <c r="H68" s="316" t="str">
        <f>CONCATENATE("",E1," Estimated Fund Mill Rate")</f>
        <v>2025 Estimated Fund Mill Rate</v>
      </c>
      <c r="I68" s="510"/>
      <c r="J68" s="511"/>
    </row>
    <row r="69" spans="2:10" x14ac:dyDescent="0.2">
      <c r="B69" s="150"/>
      <c r="C69" s="229"/>
      <c r="D69" s="229"/>
      <c r="E69" s="42"/>
      <c r="G69" s="512" t="str">
        <f>'Budget Hearing Notice'!E32</f>
        <v xml:space="preserve">  </v>
      </c>
      <c r="H69" s="316" t="str">
        <f>CONCATENATE("",E1-1," Fund Mill Rate")</f>
        <v>2024 Fund Mill Rate</v>
      </c>
      <c r="I69" s="510"/>
      <c r="J69" s="511"/>
    </row>
    <row r="70" spans="2:10" x14ac:dyDescent="0.2">
      <c r="B70" s="143" t="str">
        <f>CONCATENATE("Cash Reserve (",E1," column)")</f>
        <v>Cash Reserve (2025 column)</v>
      </c>
      <c r="C70" s="229"/>
      <c r="D70" s="229"/>
      <c r="E70" s="42"/>
      <c r="G70" s="513">
        <f>'Budget Hearing Notice'!H62</f>
        <v>0</v>
      </c>
      <c r="H70" s="514" t="s">
        <v>559</v>
      </c>
      <c r="I70" s="510"/>
      <c r="J70" s="511"/>
    </row>
    <row r="71" spans="2:10" x14ac:dyDescent="0.2">
      <c r="B71" s="143" t="s">
        <v>38</v>
      </c>
      <c r="C71" s="229"/>
      <c r="D71" s="229"/>
      <c r="E71" s="42"/>
      <c r="G71" s="509">
        <f>'Budget Hearing Notice'!H61</f>
        <v>0</v>
      </c>
      <c r="H71" s="316" t="str">
        <f>CONCATENATE(E1," Estimated Total Mill Rate")</f>
        <v>2025 Estimated Total Mill Rate</v>
      </c>
      <c r="I71" s="510"/>
      <c r="J71" s="511"/>
    </row>
    <row r="72" spans="2:10" x14ac:dyDescent="0.2">
      <c r="B72" s="143" t="s">
        <v>290</v>
      </c>
      <c r="C72" s="230" t="str">
        <f>IF(C73*0.1&lt;C71,"Exceed 10% Rule","")</f>
        <v/>
      </c>
      <c r="D72" s="230" t="str">
        <f>IF(D73*0.1&lt;D71,"Exceed 10% Rule","")</f>
        <v/>
      </c>
      <c r="E72" s="170" t="str">
        <f>IF(E73*0.1&lt;E71,"Exceed 10% Rule","")</f>
        <v/>
      </c>
      <c r="G72" s="515">
        <f>'Budget Hearing Notice'!E61</f>
        <v>0</v>
      </c>
      <c r="H72" s="316" t="str">
        <f>CONCATENATE(E1-1," Total Mill Rate")</f>
        <v>2024 Total Mill Rate</v>
      </c>
      <c r="I72" s="510"/>
      <c r="J72" s="511"/>
    </row>
    <row r="73" spans="2:10" x14ac:dyDescent="0.2">
      <c r="B73" s="145" t="s">
        <v>94</v>
      </c>
      <c r="C73" s="463">
        <f>SUM(C65:C71)</f>
        <v>0</v>
      </c>
      <c r="D73" s="463">
        <f>SUM(D65:D71)</f>
        <v>0</v>
      </c>
      <c r="E73" s="463">
        <f>SUM(E65:E71)</f>
        <v>0</v>
      </c>
      <c r="G73" s="327"/>
      <c r="H73" s="299"/>
      <c r="I73" s="299"/>
      <c r="J73" s="329"/>
    </row>
    <row r="74" spans="2:10" x14ac:dyDescent="0.2">
      <c r="B74" s="60" t="s">
        <v>196</v>
      </c>
      <c r="C74" s="106">
        <f>C63-C73</f>
        <v>0</v>
      </c>
      <c r="D74" s="106">
        <f>D63-D73</f>
        <v>0</v>
      </c>
      <c r="E74" s="165" t="s">
        <v>66</v>
      </c>
      <c r="G74" s="655" t="s">
        <v>560</v>
      </c>
      <c r="H74" s="656"/>
      <c r="I74" s="656"/>
      <c r="J74" s="659" t="str">
        <f>IF(G71&gt;G70, "Yes", "No")</f>
        <v>No</v>
      </c>
    </row>
    <row r="75" spans="2:10" x14ac:dyDescent="0.2">
      <c r="B75" s="135" t="str">
        <f>CONCATENATE("",E1-2,"/",E1-1,"/",E1," Budget Authority Amount:")</f>
        <v>2023/2024/2025 Budget Authority Amount:</v>
      </c>
      <c r="C75" s="167">
        <f>inputOth!B49</f>
        <v>0</v>
      </c>
      <c r="D75" s="167">
        <f>inputPrYr!D33</f>
        <v>0</v>
      </c>
      <c r="E75" s="106">
        <f>E73</f>
        <v>0</v>
      </c>
      <c r="G75" s="657"/>
      <c r="H75" s="658"/>
      <c r="I75" s="658"/>
      <c r="J75" s="660"/>
    </row>
    <row r="76" spans="2:10" x14ac:dyDescent="0.2">
      <c r="B76" s="125"/>
      <c r="C76" s="636" t="s">
        <v>294</v>
      </c>
      <c r="D76" s="637"/>
      <c r="E76" s="42"/>
      <c r="G76" s="661" t="str">
        <f>IF(J74="Yes", "Follow procedure prescribed by KSA 79-2988 to exceed the Revenue Neutral Rate.", " ")</f>
        <v xml:space="preserve"> </v>
      </c>
      <c r="H76" s="661"/>
      <c r="I76" s="661"/>
      <c r="J76" s="661"/>
    </row>
    <row r="77" spans="2:10" x14ac:dyDescent="0.2">
      <c r="B77" s="266" t="str">
        <f>CONCATENATE(C98,"     ",D98)</f>
        <v xml:space="preserve">     </v>
      </c>
      <c r="C77" s="638" t="s">
        <v>295</v>
      </c>
      <c r="D77" s="639"/>
      <c r="E77" s="106">
        <f>E73+E76</f>
        <v>0</v>
      </c>
      <c r="G77" s="662"/>
      <c r="H77" s="662"/>
      <c r="I77" s="662"/>
      <c r="J77" s="662"/>
    </row>
    <row r="78" spans="2:10" x14ac:dyDescent="0.2">
      <c r="B78" s="266" t="str">
        <f>CONCATENATE(C99,"     ",D99)</f>
        <v xml:space="preserve">     </v>
      </c>
      <c r="C78" s="152"/>
      <c r="D78" s="90" t="s">
        <v>95</v>
      </c>
      <c r="E78" s="106">
        <f>IF(E77-E63&gt;0,E77-E63,0)</f>
        <v>0</v>
      </c>
      <c r="G78" s="662"/>
      <c r="H78" s="662"/>
      <c r="I78" s="662"/>
      <c r="J78" s="662"/>
    </row>
    <row r="79" spans="2:10" x14ac:dyDescent="0.2">
      <c r="B79" s="90"/>
      <c r="C79" s="265" t="s">
        <v>296</v>
      </c>
      <c r="D79" s="297">
        <f>inputOth!$E$26</f>
        <v>0</v>
      </c>
      <c r="E79" s="106">
        <f>ROUND(IF(D79&gt;0,($E$78*D79),0),0)</f>
        <v>0</v>
      </c>
      <c r="F79" s="151"/>
    </row>
    <row r="80" spans="2:10" x14ac:dyDescent="0.2">
      <c r="B80" s="26"/>
      <c r="C80" s="644" t="str">
        <f>CONCATENATE("Amount of  ",$E$1-1," Ad Valorem Tax")</f>
        <v>Amount of  2024 Ad Valorem Tax</v>
      </c>
      <c r="D80" s="663"/>
      <c r="E80" s="106">
        <f>E78+E79</f>
        <v>0</v>
      </c>
      <c r="F80" s="238" t="str">
        <f>IF(E73/0.95-E73&lt;E76,"Exceeds 5%","")</f>
        <v/>
      </c>
    </row>
    <row r="81" spans="2:5" x14ac:dyDescent="0.2">
      <c r="B81" s="26"/>
      <c r="C81" s="125"/>
      <c r="D81" s="26"/>
      <c r="E81" s="125"/>
    </row>
    <row r="82" spans="2:5" x14ac:dyDescent="0.2">
      <c r="B82" s="423" t="s">
        <v>354</v>
      </c>
      <c r="C82" s="402"/>
      <c r="D82" s="347"/>
      <c r="E82" s="409"/>
    </row>
    <row r="83" spans="2:5" x14ac:dyDescent="0.2">
      <c r="B83" s="126"/>
      <c r="C83" s="125"/>
      <c r="D83" s="26"/>
      <c r="E83" s="410"/>
    </row>
    <row r="84" spans="2:5" x14ac:dyDescent="0.2">
      <c r="B84" s="403"/>
      <c r="C84" s="408"/>
      <c r="D84" s="44"/>
      <c r="E84" s="411"/>
    </row>
    <row r="85" spans="2:5" x14ac:dyDescent="0.2">
      <c r="B85" s="26"/>
      <c r="C85" s="125"/>
      <c r="D85" s="26"/>
      <c r="E85" s="125"/>
    </row>
    <row r="86" spans="2:5" x14ac:dyDescent="0.2">
      <c r="B86" s="125" t="s">
        <v>146</v>
      </c>
      <c r="C86" s="368"/>
      <c r="D86" s="26"/>
      <c r="E86" s="26"/>
    </row>
    <row r="95" spans="2:5" hidden="1" x14ac:dyDescent="0.2"/>
    <row r="96" spans="2:5" hidden="1" x14ac:dyDescent="0.2">
      <c r="C96" s="23" t="str">
        <f>IF(C33&gt;C35,"See Tab A","")</f>
        <v/>
      </c>
      <c r="D96" s="23" t="str">
        <f>IF(D33&gt;D35,"See Tab C","")</f>
        <v/>
      </c>
    </row>
    <row r="97" spans="3:4" hidden="1" x14ac:dyDescent="0.2">
      <c r="C97" s="23" t="str">
        <f>IF(C34&lt;0,"See Tab B","")</f>
        <v/>
      </c>
      <c r="D97" s="23" t="str">
        <f>IF(D34&lt;0,"See Tab D","")</f>
        <v/>
      </c>
    </row>
    <row r="98" spans="3:4" hidden="1" x14ac:dyDescent="0.2">
      <c r="C98" s="23" t="str">
        <f>IF(C73&gt;C75,"See Tab A","")</f>
        <v/>
      </c>
      <c r="D98" s="23" t="str">
        <f>IF(D73&gt;D75,"See Tab C","")</f>
        <v/>
      </c>
    </row>
    <row r="99" spans="3:4" x14ac:dyDescent="0.2">
      <c r="C99" s="23" t="str">
        <f>IF(C74&lt;0,"See Tab B","")</f>
        <v/>
      </c>
      <c r="D99" s="23" t="str">
        <f>IF(D74&lt;0,"See Tab D","")</f>
        <v/>
      </c>
    </row>
  </sheetData>
  <sheetProtection sheet="1" objects="1" scenarios="1"/>
  <mergeCells count="18">
    <mergeCell ref="C76:D76"/>
    <mergeCell ref="C77:D77"/>
    <mergeCell ref="G9:J9"/>
    <mergeCell ref="G16:J16"/>
    <mergeCell ref="G49:J49"/>
    <mergeCell ref="G56:J56"/>
    <mergeCell ref="C80:D80"/>
    <mergeCell ref="C40:D40"/>
    <mergeCell ref="G26:J27"/>
    <mergeCell ref="G34:I35"/>
    <mergeCell ref="J34:J35"/>
    <mergeCell ref="G36:J38"/>
    <mergeCell ref="G66:J67"/>
    <mergeCell ref="G74:I75"/>
    <mergeCell ref="J74:J75"/>
    <mergeCell ref="G76:J78"/>
    <mergeCell ref="C36:D36"/>
    <mergeCell ref="C37:D37"/>
  </mergeCells>
  <phoneticPr fontId="0" type="noConversion"/>
  <conditionalFormatting sqref="C20">
    <cfRule type="cellIs" dxfId="210" priority="31" stopIfTrue="1" operator="greaterThan">
      <formula>$C$22*0.1</formula>
    </cfRule>
  </conditionalFormatting>
  <conditionalFormatting sqref="C31">
    <cfRule type="cellIs" dxfId="209" priority="28" stopIfTrue="1" operator="greaterThan">
      <formula>$C$33*0.1</formula>
    </cfRule>
  </conditionalFormatting>
  <conditionalFormatting sqref="C33">
    <cfRule type="cellIs" dxfId="208" priority="7" stopIfTrue="1" operator="greaterThan">
      <formula>$C$35</formula>
    </cfRule>
  </conditionalFormatting>
  <conditionalFormatting sqref="C60">
    <cfRule type="cellIs" dxfId="207" priority="24" stopIfTrue="1" operator="greaterThan">
      <formula>$C$62*0.1</formula>
    </cfRule>
  </conditionalFormatting>
  <conditionalFormatting sqref="C71">
    <cfRule type="cellIs" dxfId="206" priority="21" stopIfTrue="1" operator="greaterThan">
      <formula>$C$73*0.1</formula>
    </cfRule>
  </conditionalFormatting>
  <conditionalFormatting sqref="C73">
    <cfRule type="cellIs" dxfId="205" priority="6" stopIfTrue="1" operator="greaterThan">
      <formula>$D$35</formula>
    </cfRule>
    <cfRule type="cellIs" dxfId="204" priority="9" stopIfTrue="1" operator="greaterThan">
      <formula>$C$75</formula>
    </cfRule>
  </conditionalFormatting>
  <conditionalFormatting sqref="C34:D34">
    <cfRule type="cellIs" dxfId="203" priority="1" stopIfTrue="1" operator="lessThan">
      <formula>0</formula>
    </cfRule>
  </conditionalFormatting>
  <conditionalFormatting sqref="C74:D74">
    <cfRule type="cellIs" dxfId="202" priority="3" stopIfTrue="1" operator="lessThan">
      <formula>0</formula>
    </cfRule>
  </conditionalFormatting>
  <conditionalFormatting sqref="D20">
    <cfRule type="cellIs" dxfId="201" priority="32" stopIfTrue="1" operator="greaterThan">
      <formula>$D$22*0.1</formula>
    </cfRule>
  </conditionalFormatting>
  <conditionalFormatting sqref="D31">
    <cfRule type="cellIs" dxfId="200" priority="29" stopIfTrue="1" operator="greaterThan">
      <formula>$D$33*0.1</formula>
    </cfRule>
  </conditionalFormatting>
  <conditionalFormatting sqref="D33">
    <cfRule type="cellIs" dxfId="199" priority="5" stopIfTrue="1" operator="greaterThan">
      <formula>$D$35</formula>
    </cfRule>
  </conditionalFormatting>
  <conditionalFormatting sqref="D60">
    <cfRule type="cellIs" dxfId="198" priority="25" stopIfTrue="1" operator="greaterThan">
      <formula>$D$62*0.1</formula>
    </cfRule>
  </conditionalFormatting>
  <conditionalFormatting sqref="D71">
    <cfRule type="cellIs" dxfId="197" priority="22" stopIfTrue="1" operator="greaterThan">
      <formula>$D$73*0.1</formula>
    </cfRule>
  </conditionalFormatting>
  <conditionalFormatting sqref="D73">
    <cfRule type="cellIs" dxfId="196" priority="8" stopIfTrue="1" operator="greaterThan">
      <formula>$D$75</formula>
    </cfRule>
  </conditionalFormatting>
  <conditionalFormatting sqref="E20">
    <cfRule type="cellIs" dxfId="195" priority="30" stopIfTrue="1" operator="greaterThan">
      <formula>$E$22*0.1+E40</formula>
    </cfRule>
  </conditionalFormatting>
  <conditionalFormatting sqref="E31">
    <cfRule type="cellIs" dxfId="194" priority="17" stopIfTrue="1" operator="greaterThan">
      <formula>$E$33*0.1</formula>
    </cfRule>
  </conditionalFormatting>
  <conditionalFormatting sqref="E36">
    <cfRule type="cellIs" dxfId="193" priority="16" stopIfTrue="1" operator="greaterThan">
      <formula>$E$33/0.95-$E$33</formula>
    </cfRule>
  </conditionalFormatting>
  <conditionalFormatting sqref="E60">
    <cfRule type="cellIs" dxfId="192" priority="23" stopIfTrue="1" operator="greaterThan">
      <formula>$E$62*0.1+E80</formula>
    </cfRule>
  </conditionalFormatting>
  <conditionalFormatting sqref="E71">
    <cfRule type="cellIs" dxfId="191" priority="14" stopIfTrue="1" operator="greaterThan">
      <formula>$E$73*0.1</formula>
    </cfRule>
  </conditionalFormatting>
  <conditionalFormatting sqref="E76">
    <cfRule type="cellIs" dxfId="190" priority="15" stopIfTrue="1" operator="greaterThan">
      <formula>$E$73/0.95-$E$73</formula>
    </cfRule>
  </conditionalFormatting>
  <conditionalFormatting sqref="J34">
    <cfRule type="containsText" dxfId="189" priority="11" operator="containsText" text="Yes">
      <formula>NOT(ISERROR(SEARCH("Yes",J34)))</formula>
    </cfRule>
  </conditionalFormatting>
  <conditionalFormatting sqref="J74">
    <cfRule type="containsText" dxfId="188" priority="10" operator="containsText" text="Yes">
      <formula>NOT(ISERROR(SEARCH("Yes",J74)))</formula>
    </cfRule>
  </conditionalFormatting>
  <pageMargins left="1.1200000000000001" right="0.5" top="0.74" bottom="0.34" header="0.5" footer="0"/>
  <pageSetup scale="51" orientation="portrait" blackAndWhite="1" horizontalDpi="120" verticalDpi="144" r:id="rId1"/>
  <headerFooter alignWithMargins="0">
    <oddHeader xml:space="preserve">&amp;RState of Kansas
County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0">
    <tabColor rgb="FF00B0F0"/>
    <pageSetUpPr fitToPage="1"/>
  </sheetPr>
  <dimension ref="B1:K99"/>
  <sheetViews>
    <sheetView zoomScaleNormal="100" workbookViewId="0">
      <selection activeCell="L4" sqref="L4"/>
    </sheetView>
  </sheetViews>
  <sheetFormatPr defaultRowHeight="15.75" x14ac:dyDescent="0.2"/>
  <cols>
    <col min="1" max="1" width="2.44140625" style="23" customWidth="1"/>
    <col min="2" max="2" width="31.109375" style="23" customWidth="1"/>
    <col min="3" max="4" width="15.77734375" style="23" customWidth="1"/>
    <col min="5" max="5" width="16.21875" style="23" customWidth="1"/>
    <col min="6" max="6" width="7.44140625" style="23" customWidth="1"/>
    <col min="7" max="7" width="10.21875" style="23" customWidth="1"/>
    <col min="8" max="8" width="8.88671875" style="23"/>
    <col min="9" max="9" width="5.6640625" style="23" customWidth="1"/>
    <col min="10" max="10" width="10" style="23" customWidth="1"/>
    <col min="11" max="16384" width="8.88671875" style="23"/>
  </cols>
  <sheetData>
    <row r="1" spans="2:10" x14ac:dyDescent="0.2">
      <c r="B1" s="57">
        <f>inputPrYr!C3</f>
        <v>0</v>
      </c>
      <c r="C1" s="26"/>
      <c r="D1" s="26"/>
      <c r="E1" s="125">
        <f>inputPrYr!C5</f>
        <v>2025</v>
      </c>
    </row>
    <row r="2" spans="2:10" x14ac:dyDescent="0.2">
      <c r="B2" s="26"/>
      <c r="C2" s="26"/>
      <c r="D2" s="26"/>
      <c r="E2" s="90"/>
    </row>
    <row r="3" spans="2:10" x14ac:dyDescent="0.2">
      <c r="B3" s="64" t="s">
        <v>185</v>
      </c>
      <c r="C3" s="161"/>
      <c r="D3" s="161"/>
      <c r="E3" s="162"/>
    </row>
    <row r="4" spans="2:10" x14ac:dyDescent="0.2">
      <c r="B4" s="25" t="s">
        <v>80</v>
      </c>
      <c r="C4" s="339" t="s">
        <v>319</v>
      </c>
      <c r="D4" s="340" t="s">
        <v>320</v>
      </c>
      <c r="E4" s="80" t="s">
        <v>321</v>
      </c>
    </row>
    <row r="5" spans="2:10" x14ac:dyDescent="0.2">
      <c r="B5" s="248">
        <f>inputPrYr!B34</f>
        <v>0</v>
      </c>
      <c r="C5" s="231" t="str">
        <f>CONCATENATE("Actual for ",E1-2,"")</f>
        <v>Actual for 2023</v>
      </c>
      <c r="D5" s="231" t="str">
        <f>CONCATENATE("Estimate for ",E1-1,"")</f>
        <v>Estimate for 2024</v>
      </c>
      <c r="E5" s="136" t="str">
        <f>CONCATENATE("Year for ",E1,"")</f>
        <v>Year for 2025</v>
      </c>
    </row>
    <row r="6" spans="2:10" x14ac:dyDescent="0.2">
      <c r="B6" s="60" t="s">
        <v>195</v>
      </c>
      <c r="C6" s="229"/>
      <c r="D6" s="232">
        <f>C34</f>
        <v>0</v>
      </c>
      <c r="E6" s="106">
        <f>D34</f>
        <v>0</v>
      </c>
    </row>
    <row r="7" spans="2:10" x14ac:dyDescent="0.2">
      <c r="B7" s="128" t="s">
        <v>197</v>
      </c>
      <c r="C7" s="139"/>
      <c r="D7" s="139"/>
      <c r="E7" s="50"/>
    </row>
    <row r="8" spans="2:10" x14ac:dyDescent="0.2">
      <c r="B8" s="60" t="s">
        <v>81</v>
      </c>
      <c r="C8" s="229"/>
      <c r="D8" s="232">
        <f>IF(inputPrYr!H34&gt;0,inputPrYr!H34,inputPrYr!E34)</f>
        <v>0</v>
      </c>
      <c r="E8" s="165" t="s">
        <v>66</v>
      </c>
      <c r="G8" s="646" t="str">
        <f>CONCATENATE("Desired Carryover Into ",E1+1,"")</f>
        <v>Desired Carryover Into 2026</v>
      </c>
      <c r="H8" s="647"/>
      <c r="I8" s="647"/>
      <c r="J8" s="648"/>
    </row>
    <row r="9" spans="2:10" x14ac:dyDescent="0.2">
      <c r="B9" s="60" t="s">
        <v>82</v>
      </c>
      <c r="C9" s="229"/>
      <c r="D9" s="229"/>
      <c r="E9" s="42"/>
      <c r="G9" s="298"/>
      <c r="H9" s="299"/>
      <c r="I9" s="300"/>
      <c r="J9" s="301"/>
    </row>
    <row r="10" spans="2:10" x14ac:dyDescent="0.2">
      <c r="B10" s="60" t="s">
        <v>83</v>
      </c>
      <c r="C10" s="229"/>
      <c r="D10" s="229"/>
      <c r="E10" s="106" t="str">
        <f>Mvalloc!D24</f>
        <v xml:space="preserve">  </v>
      </c>
      <c r="G10" s="302" t="s">
        <v>297</v>
      </c>
      <c r="H10" s="300"/>
      <c r="I10" s="300"/>
      <c r="J10" s="303">
        <v>0</v>
      </c>
    </row>
    <row r="11" spans="2:10" x14ac:dyDescent="0.2">
      <c r="B11" s="60" t="s">
        <v>84</v>
      </c>
      <c r="C11" s="229"/>
      <c r="D11" s="229"/>
      <c r="E11" s="106" t="str">
        <f>Mvalloc!E24</f>
        <v xml:space="preserve">  </v>
      </c>
      <c r="G11" s="298" t="s">
        <v>298</v>
      </c>
      <c r="H11" s="299"/>
      <c r="I11" s="299"/>
      <c r="J11" s="304" t="str">
        <f>IF(J10=0,"",ROUND((J10+E40-G23)/inputOth!E6*1000,3)-G28)</f>
        <v/>
      </c>
    </row>
    <row r="12" spans="2:10" x14ac:dyDescent="0.2">
      <c r="B12" s="139" t="s">
        <v>176</v>
      </c>
      <c r="C12" s="229"/>
      <c r="D12" s="229"/>
      <c r="E12" s="106" t="str">
        <f>Mvalloc!F24</f>
        <v xml:space="preserve">  </v>
      </c>
      <c r="G12" s="305" t="str">
        <f>CONCATENATE("",E1," Tot Exp/Non-Appr Must Be:")</f>
        <v>2025 Tot Exp/Non-Appr Must Be:</v>
      </c>
      <c r="H12" s="306"/>
      <c r="I12" s="307"/>
      <c r="J12" s="308">
        <f>IF(J10&gt;0,IF(E37&lt;E23,IF(J10=G23,E37,((J10-G23)*(1-D39))+E23),E37+(J10-G23)),0)</f>
        <v>0</v>
      </c>
    </row>
    <row r="13" spans="2:10" x14ac:dyDescent="0.2">
      <c r="B13" s="137" t="s">
        <v>348</v>
      </c>
      <c r="C13" s="229"/>
      <c r="D13" s="229"/>
      <c r="E13" s="106" t="str">
        <f>Mvalloc!G24</f>
        <v xml:space="preserve">  </v>
      </c>
      <c r="G13" s="309" t="s">
        <v>318</v>
      </c>
      <c r="H13" s="310"/>
      <c r="I13" s="310"/>
      <c r="J13" s="311">
        <f>IF(J10&gt;0,J12-E37,0)</f>
        <v>0</v>
      </c>
    </row>
    <row r="14" spans="2:10" x14ac:dyDescent="0.25">
      <c r="B14" s="137" t="s">
        <v>349</v>
      </c>
      <c r="C14" s="229"/>
      <c r="D14" s="229"/>
      <c r="E14" s="106" t="str">
        <f>Mvalloc!H24</f>
        <v xml:space="preserve">  </v>
      </c>
      <c r="G14" s="1"/>
      <c r="H14" s="1"/>
      <c r="I14" s="1"/>
      <c r="J14" s="1"/>
    </row>
    <row r="15" spans="2:10" x14ac:dyDescent="0.2">
      <c r="B15" s="150"/>
      <c r="C15" s="229"/>
      <c r="D15" s="229"/>
      <c r="E15" s="42"/>
      <c r="G15" s="646" t="str">
        <f>CONCATENATE("Projected Carryover Into ",E1+1,"")</f>
        <v>Projected Carryover Into 2026</v>
      </c>
      <c r="H15" s="666"/>
      <c r="I15" s="666"/>
      <c r="J15" s="667"/>
    </row>
    <row r="16" spans="2:10" x14ac:dyDescent="0.2">
      <c r="B16" s="150"/>
      <c r="C16" s="229"/>
      <c r="D16" s="229"/>
      <c r="E16" s="42"/>
      <c r="G16" s="298"/>
      <c r="H16" s="300"/>
      <c r="I16" s="300"/>
      <c r="J16" s="317"/>
    </row>
    <row r="17" spans="2:11" x14ac:dyDescent="0.2">
      <c r="B17" s="150"/>
      <c r="C17" s="229"/>
      <c r="D17" s="229"/>
      <c r="E17" s="42"/>
      <c r="G17" s="318">
        <f>D34</f>
        <v>0</v>
      </c>
      <c r="H17" s="316" t="str">
        <f>CONCATENATE("",E1-1," Ending Cash Balance (est.)")</f>
        <v>2024 Ending Cash Balance (est.)</v>
      </c>
      <c r="I17" s="319"/>
      <c r="J17" s="317"/>
    </row>
    <row r="18" spans="2:11" x14ac:dyDescent="0.2">
      <c r="B18" s="142" t="s">
        <v>88</v>
      </c>
      <c r="C18" s="229"/>
      <c r="D18" s="229"/>
      <c r="E18" s="42"/>
      <c r="G18" s="318">
        <f>E22</f>
        <v>0</v>
      </c>
      <c r="H18" s="300" t="str">
        <f>CONCATENATE("",E1," Non-AV Receipts (est.)")</f>
        <v>2025 Non-AV Receipts (est.)</v>
      </c>
      <c r="I18" s="319"/>
      <c r="J18" s="317"/>
    </row>
    <row r="19" spans="2:11" x14ac:dyDescent="0.2">
      <c r="B19" s="143" t="s">
        <v>40</v>
      </c>
      <c r="C19" s="229"/>
      <c r="D19" s="229"/>
      <c r="E19" s="106">
        <f>'NR Rebate'!E23*-1</f>
        <v>0</v>
      </c>
      <c r="G19" s="320">
        <f>IF(E39&gt;0,E38,E40)</f>
        <v>0</v>
      </c>
      <c r="H19" s="300" t="str">
        <f>CONCATENATE("",E1," Ad Valorem Tax (est.)")</f>
        <v>2025 Ad Valorem Tax (est.)</v>
      </c>
      <c r="I19" s="319"/>
      <c r="J19" s="317"/>
      <c r="K19" s="314" t="str">
        <f>IF(G19=E40,"","Note: Does not include Delinquent Taxes")</f>
        <v/>
      </c>
    </row>
    <row r="20" spans="2:11" x14ac:dyDescent="0.2">
      <c r="B20" s="143" t="s">
        <v>38</v>
      </c>
      <c r="C20" s="229"/>
      <c r="D20" s="229"/>
      <c r="E20" s="42"/>
      <c r="G20" s="318">
        <f>SUM(G17:G19)</f>
        <v>0</v>
      </c>
      <c r="H20" s="300" t="str">
        <f>CONCATENATE("Total ",E1," Resources Available")</f>
        <v>Total 2025 Resources Available</v>
      </c>
      <c r="I20" s="319"/>
      <c r="J20" s="317"/>
    </row>
    <row r="21" spans="2:11" x14ac:dyDescent="0.2">
      <c r="B21" s="143" t="s">
        <v>291</v>
      </c>
      <c r="C21" s="230" t="str">
        <f>IF(C22*0.1&lt;C20,"Exceed 10% Rule","")</f>
        <v/>
      </c>
      <c r="D21" s="230" t="str">
        <f>IF(D22*0.1&lt;D20,"Exceed 10% Rule","")</f>
        <v/>
      </c>
      <c r="E21" s="170" t="str">
        <f>IF(E22*0.1+E40&lt;E20,"Exceed 10% Rule","")</f>
        <v/>
      </c>
      <c r="G21" s="321"/>
      <c r="H21" s="300"/>
      <c r="I21" s="300"/>
      <c r="J21" s="317"/>
    </row>
    <row r="22" spans="2:11" x14ac:dyDescent="0.25">
      <c r="B22" s="145" t="s">
        <v>89</v>
      </c>
      <c r="C22" s="463">
        <f>SUM(C8:C20)</f>
        <v>0</v>
      </c>
      <c r="D22" s="463">
        <f>SUM(D8:D20)</f>
        <v>0</v>
      </c>
      <c r="E22" s="463">
        <f>SUM(E8:E20)</f>
        <v>0</v>
      </c>
      <c r="G22" s="320">
        <f>ROUND(C33*0.05+C33,0)</f>
        <v>0</v>
      </c>
      <c r="H22" s="300" t="str">
        <f>CONCATENATE("Less ",E1-2," Expenditures + 5%")</f>
        <v>Less 2023 Expenditures + 5%</v>
      </c>
      <c r="I22" s="319"/>
      <c r="J22" s="322"/>
    </row>
    <row r="23" spans="2:11" x14ac:dyDescent="0.2">
      <c r="B23" s="145" t="s">
        <v>90</v>
      </c>
      <c r="C23" s="463">
        <f>C6+C22</f>
        <v>0</v>
      </c>
      <c r="D23" s="463">
        <f>D6+D22</f>
        <v>0</v>
      </c>
      <c r="E23" s="463">
        <f>E6+E22</f>
        <v>0</v>
      </c>
      <c r="G23" s="323">
        <f>G20-G22</f>
        <v>0</v>
      </c>
      <c r="H23" s="324" t="str">
        <f>CONCATENATE("Projected ",E1+1," carryover (est.)")</f>
        <v>Projected 2026 carryover (est.)</v>
      </c>
      <c r="I23" s="325"/>
      <c r="J23" s="326"/>
    </row>
    <row r="24" spans="2:11" x14ac:dyDescent="0.25">
      <c r="B24" s="60" t="s">
        <v>93</v>
      </c>
      <c r="C24" s="143"/>
      <c r="D24" s="143"/>
      <c r="E24" s="38"/>
      <c r="G24" s="1"/>
      <c r="H24" s="1"/>
      <c r="I24" s="1"/>
      <c r="J24" s="1"/>
    </row>
    <row r="25" spans="2:11" x14ac:dyDescent="0.2">
      <c r="B25" s="150"/>
      <c r="C25" s="229"/>
      <c r="D25" s="229"/>
      <c r="E25" s="42"/>
      <c r="G25" s="649" t="s">
        <v>558</v>
      </c>
      <c r="H25" s="650"/>
      <c r="I25" s="650"/>
      <c r="J25" s="651"/>
    </row>
    <row r="26" spans="2:11" x14ac:dyDescent="0.2">
      <c r="B26" s="150"/>
      <c r="C26" s="229"/>
      <c r="D26" s="229"/>
      <c r="E26" s="42"/>
      <c r="G26" s="652"/>
      <c r="H26" s="653"/>
      <c r="I26" s="653"/>
      <c r="J26" s="654"/>
    </row>
    <row r="27" spans="2:11" x14ac:dyDescent="0.2">
      <c r="B27" s="150"/>
      <c r="C27" s="229"/>
      <c r="D27" s="229"/>
      <c r="E27" s="42"/>
      <c r="G27" s="509" t="str">
        <f>'Budget Hearing Notice'!H33</f>
        <v xml:space="preserve">  </v>
      </c>
      <c r="H27" s="316" t="str">
        <f>CONCATENATE("",E1," Estimated Fund Mill Rate")</f>
        <v>2025 Estimated Fund Mill Rate</v>
      </c>
      <c r="I27" s="510"/>
      <c r="J27" s="511"/>
    </row>
    <row r="28" spans="2:11" x14ac:dyDescent="0.2">
      <c r="B28" s="150"/>
      <c r="C28" s="229"/>
      <c r="D28" s="229"/>
      <c r="E28" s="42"/>
      <c r="G28" s="512" t="str">
        <f>'Budget Hearing Notice'!E33</f>
        <v xml:space="preserve">  </v>
      </c>
      <c r="H28" s="316" t="str">
        <f>CONCATENATE("",E1-1," Fund Mill Rate")</f>
        <v>2024 Fund Mill Rate</v>
      </c>
      <c r="I28" s="510"/>
      <c r="J28" s="511"/>
    </row>
    <row r="29" spans="2:11" x14ac:dyDescent="0.2">
      <c r="B29" s="150"/>
      <c r="C29" s="229"/>
      <c r="D29" s="229"/>
      <c r="E29" s="42"/>
      <c r="G29" s="513">
        <f>'Budget Hearing Notice'!H62</f>
        <v>0</v>
      </c>
      <c r="H29" s="514" t="s">
        <v>559</v>
      </c>
      <c r="I29" s="510"/>
      <c r="J29" s="511"/>
    </row>
    <row r="30" spans="2:11" x14ac:dyDescent="0.2">
      <c r="B30" s="143" t="str">
        <f>CONCATENATE("Cash Reserve (",E1," column)")</f>
        <v>Cash Reserve (2025 column)</v>
      </c>
      <c r="C30" s="229"/>
      <c r="D30" s="229"/>
      <c r="E30" s="42"/>
      <c r="G30" s="509">
        <f>'Budget Hearing Notice'!H61</f>
        <v>0</v>
      </c>
      <c r="H30" s="316" t="str">
        <f>CONCATENATE(E1," Estimated Total Mill Rate")</f>
        <v>2025 Estimated Total Mill Rate</v>
      </c>
      <c r="I30" s="510"/>
      <c r="J30" s="511"/>
    </row>
    <row r="31" spans="2:11" x14ac:dyDescent="0.2">
      <c r="B31" s="143" t="s">
        <v>38</v>
      </c>
      <c r="C31" s="229"/>
      <c r="D31" s="229"/>
      <c r="E31" s="42"/>
      <c r="G31" s="515">
        <f>'Budget Hearing Notice'!E61</f>
        <v>0</v>
      </c>
      <c r="H31" s="316" t="str">
        <f>CONCATENATE(E1-1," Total Mill Rate")</f>
        <v>2024 Total Mill Rate</v>
      </c>
      <c r="I31" s="510"/>
      <c r="J31" s="511"/>
    </row>
    <row r="32" spans="2:11" x14ac:dyDescent="0.2">
      <c r="B32" s="143" t="s">
        <v>290</v>
      </c>
      <c r="C32" s="230" t="str">
        <f>IF(C33*0.1&lt;C31,"Exceed 10% Rule","")</f>
        <v/>
      </c>
      <c r="D32" s="230" t="str">
        <f>IF(D33*0.1&lt;D31,"Exceed 10% Rule","")</f>
        <v/>
      </c>
      <c r="E32" s="170" t="str">
        <f>IF(E33*0.1&lt;E31,"Exceed 10% Rule","")</f>
        <v/>
      </c>
      <c r="G32" s="327"/>
      <c r="H32" s="299"/>
      <c r="I32" s="299"/>
      <c r="J32" s="329"/>
    </row>
    <row r="33" spans="2:10" x14ac:dyDescent="0.2">
      <c r="B33" s="145" t="s">
        <v>94</v>
      </c>
      <c r="C33" s="463">
        <f>SUM(C25:C31)</f>
        <v>0</v>
      </c>
      <c r="D33" s="463">
        <f>SUM(D25:D31)</f>
        <v>0</v>
      </c>
      <c r="E33" s="463">
        <f>SUM(E25:E31)</f>
        <v>0</v>
      </c>
      <c r="G33" s="655" t="s">
        <v>560</v>
      </c>
      <c r="H33" s="656"/>
      <c r="I33" s="656"/>
      <c r="J33" s="659" t="str">
        <f>IF(G30&gt;G29, "Yes", "No")</f>
        <v>No</v>
      </c>
    </row>
    <row r="34" spans="2:10" x14ac:dyDescent="0.2">
      <c r="B34" s="60" t="s">
        <v>196</v>
      </c>
      <c r="C34" s="106">
        <f>C23-C33</f>
        <v>0</v>
      </c>
      <c r="D34" s="106">
        <f>D23-D33</f>
        <v>0</v>
      </c>
      <c r="E34" s="165" t="s">
        <v>66</v>
      </c>
      <c r="G34" s="657"/>
      <c r="H34" s="658"/>
      <c r="I34" s="658"/>
      <c r="J34" s="660"/>
    </row>
    <row r="35" spans="2:10" x14ac:dyDescent="0.2">
      <c r="B35" s="135" t="str">
        <f>CONCATENATE("",E1-2,"/",E1-1,"/",E1," Budget Authority Amount:")</f>
        <v>2023/2024/2025 Budget Authority Amount:</v>
      </c>
      <c r="C35" s="167">
        <f>inputOth!B50</f>
        <v>0</v>
      </c>
      <c r="D35" s="167">
        <f>inputPrYr!D34</f>
        <v>0</v>
      </c>
      <c r="E35" s="106">
        <f>E33</f>
        <v>0</v>
      </c>
      <c r="G35" s="661" t="str">
        <f>IF(J33="Yes", "Follow procedure prescribed by KSA 79-2988 to exceed the Revenue Neutral Rate.", " ")</f>
        <v xml:space="preserve"> </v>
      </c>
      <c r="H35" s="661"/>
      <c r="I35" s="661"/>
      <c r="J35" s="661"/>
    </row>
    <row r="36" spans="2:10" x14ac:dyDescent="0.2">
      <c r="B36" s="125"/>
      <c r="C36" s="636" t="s">
        <v>294</v>
      </c>
      <c r="D36" s="637"/>
      <c r="E36" s="42"/>
      <c r="G36" s="662"/>
      <c r="H36" s="662"/>
      <c r="I36" s="662"/>
      <c r="J36" s="662"/>
    </row>
    <row r="37" spans="2:10" x14ac:dyDescent="0.2">
      <c r="B37" s="266" t="str">
        <f>CONCATENATE(C96,"     ",D96)</f>
        <v xml:space="preserve">     </v>
      </c>
      <c r="C37" s="638" t="s">
        <v>295</v>
      </c>
      <c r="D37" s="639"/>
      <c r="E37" s="106">
        <f>E33+E36</f>
        <v>0</v>
      </c>
      <c r="F37" s="151"/>
      <c r="G37" s="662"/>
      <c r="H37" s="662"/>
      <c r="I37" s="662"/>
      <c r="J37" s="662"/>
    </row>
    <row r="38" spans="2:10" x14ac:dyDescent="0.25">
      <c r="B38" s="266" t="str">
        <f>CONCATENATE(C97,"     ",D97)</f>
        <v xml:space="preserve">     </v>
      </c>
      <c r="C38" s="152"/>
      <c r="D38" s="90" t="s">
        <v>95</v>
      </c>
      <c r="E38" s="106">
        <f>IF(E37-E23&gt;0,E37-E23,0)</f>
        <v>0</v>
      </c>
      <c r="F38" s="238" t="str">
        <f>IF(E33/0.95-E33&lt;E36,"Exceeds 5%","")</f>
        <v/>
      </c>
      <c r="G38" s="1"/>
      <c r="H38" s="1"/>
      <c r="I38" s="1"/>
      <c r="J38" s="1"/>
    </row>
    <row r="39" spans="2:10" x14ac:dyDescent="0.25">
      <c r="B39" s="90"/>
      <c r="C39" s="265" t="s">
        <v>296</v>
      </c>
      <c r="D39" s="297">
        <f>inputOth!$E$26</f>
        <v>0</v>
      </c>
      <c r="E39" s="106">
        <f>ROUND(IF(D39&gt;0,($E$38*D39),0),0)</f>
        <v>0</v>
      </c>
      <c r="G39" s="1"/>
      <c r="H39" s="1"/>
      <c r="I39" s="1"/>
      <c r="J39" s="1"/>
    </row>
    <row r="40" spans="2:10" x14ac:dyDescent="0.25">
      <c r="B40" s="26"/>
      <c r="C40" s="644" t="str">
        <f>CONCATENATE("Amount of  ",$E$1-1," Ad Valorem Tax")</f>
        <v>Amount of  2024 Ad Valorem Tax</v>
      </c>
      <c r="D40" s="663"/>
      <c r="E40" s="106">
        <f>E38+E39</f>
        <v>0</v>
      </c>
      <c r="G40" s="1"/>
      <c r="H40" s="1"/>
      <c r="I40" s="1"/>
      <c r="J40" s="1"/>
    </row>
    <row r="41" spans="2:10" x14ac:dyDescent="0.25">
      <c r="B41" s="25"/>
      <c r="C41" s="155"/>
      <c r="D41" s="155"/>
      <c r="E41" s="155"/>
      <c r="G41" s="1"/>
      <c r="H41" s="1"/>
      <c r="I41" s="1"/>
      <c r="J41" s="1"/>
    </row>
    <row r="42" spans="2:10" x14ac:dyDescent="0.25">
      <c r="B42" s="25" t="s">
        <v>80</v>
      </c>
      <c r="C42" s="339" t="str">
        <f t="shared" ref="C42:E43" si="0">C4</f>
        <v xml:space="preserve">Prior Year </v>
      </c>
      <c r="D42" s="340" t="str">
        <f t="shared" si="0"/>
        <v xml:space="preserve">Current Year </v>
      </c>
      <c r="E42" s="80" t="str">
        <f t="shared" si="0"/>
        <v xml:space="preserve">Proposed Budget </v>
      </c>
      <c r="G42" s="1"/>
      <c r="H42" s="1"/>
      <c r="I42" s="1"/>
      <c r="J42" s="1"/>
    </row>
    <row r="43" spans="2:10" x14ac:dyDescent="0.25">
      <c r="B43" s="247">
        <f>inputPrYr!B35</f>
        <v>0</v>
      </c>
      <c r="C43" s="231" t="str">
        <f t="shared" si="0"/>
        <v>Actual for 2023</v>
      </c>
      <c r="D43" s="231" t="str">
        <f t="shared" si="0"/>
        <v>Estimate for 2024</v>
      </c>
      <c r="E43" s="136" t="str">
        <f t="shared" si="0"/>
        <v>Year for 2025</v>
      </c>
      <c r="G43" s="1"/>
      <c r="H43" s="1"/>
      <c r="I43" s="1"/>
      <c r="J43" s="1"/>
    </row>
    <row r="44" spans="2:10" x14ac:dyDescent="0.25">
      <c r="B44" s="60" t="s">
        <v>195</v>
      </c>
      <c r="C44" s="229"/>
      <c r="D44" s="232">
        <f>C74</f>
        <v>0</v>
      </c>
      <c r="E44" s="106">
        <f>D74</f>
        <v>0</v>
      </c>
      <c r="G44" s="1"/>
      <c r="H44" s="1"/>
      <c r="I44" s="1"/>
      <c r="J44" s="1"/>
    </row>
    <row r="45" spans="2:10" x14ac:dyDescent="0.25">
      <c r="B45" s="137" t="s">
        <v>197</v>
      </c>
      <c r="C45" s="139"/>
      <c r="D45" s="139"/>
      <c r="E45" s="50"/>
      <c r="G45" s="1"/>
      <c r="H45" s="1"/>
      <c r="I45" s="1"/>
      <c r="J45" s="1"/>
    </row>
    <row r="46" spans="2:10" x14ac:dyDescent="0.25">
      <c r="B46" s="60" t="s">
        <v>81</v>
      </c>
      <c r="C46" s="229"/>
      <c r="D46" s="232">
        <f>IF(inputPrYr!H35&gt;0,inputPrYr!H35,inputPrYr!E35)</f>
        <v>0</v>
      </c>
      <c r="E46" s="165" t="s">
        <v>66</v>
      </c>
      <c r="G46" s="1"/>
      <c r="H46" s="1"/>
      <c r="I46" s="1"/>
      <c r="J46" s="1"/>
    </row>
    <row r="47" spans="2:10" x14ac:dyDescent="0.25">
      <c r="B47" s="60" t="s">
        <v>82</v>
      </c>
      <c r="C47" s="229"/>
      <c r="D47" s="229"/>
      <c r="E47" s="42"/>
      <c r="G47" s="1"/>
      <c r="H47" s="1"/>
      <c r="I47" s="1"/>
      <c r="J47" s="1"/>
    </row>
    <row r="48" spans="2:10" x14ac:dyDescent="0.25">
      <c r="B48" s="60" t="s">
        <v>83</v>
      </c>
      <c r="C48" s="229"/>
      <c r="D48" s="229"/>
      <c r="E48" s="106" t="str">
        <f>Mvalloc!D25</f>
        <v xml:space="preserve">  </v>
      </c>
      <c r="G48" s="1"/>
      <c r="H48" s="1"/>
      <c r="I48" s="1"/>
      <c r="J48" s="1"/>
    </row>
    <row r="49" spans="2:11" x14ac:dyDescent="0.25">
      <c r="B49" s="60" t="s">
        <v>84</v>
      </c>
      <c r="C49" s="229"/>
      <c r="D49" s="229"/>
      <c r="E49" s="106" t="str">
        <f>Mvalloc!E25</f>
        <v xml:space="preserve">  </v>
      </c>
      <c r="G49" s="1"/>
      <c r="H49" s="1"/>
      <c r="I49" s="1"/>
      <c r="J49" s="1"/>
    </row>
    <row r="50" spans="2:11" x14ac:dyDescent="0.2">
      <c r="B50" s="139" t="s">
        <v>176</v>
      </c>
      <c r="C50" s="229"/>
      <c r="D50" s="229"/>
      <c r="E50" s="106" t="str">
        <f>Mvalloc!F25</f>
        <v xml:space="preserve">  </v>
      </c>
      <c r="G50" s="646" t="str">
        <f>CONCATENATE("Desired Carryover Into ",E1+1,"")</f>
        <v>Desired Carryover Into 2026</v>
      </c>
      <c r="H50" s="647"/>
      <c r="I50" s="647"/>
      <c r="J50" s="648"/>
    </row>
    <row r="51" spans="2:11" x14ac:dyDescent="0.2">
      <c r="B51" s="137" t="s">
        <v>348</v>
      </c>
      <c r="C51" s="229"/>
      <c r="D51" s="229"/>
      <c r="E51" s="106" t="str">
        <f>Mvalloc!G25</f>
        <v xml:space="preserve">  </v>
      </c>
      <c r="G51" s="298"/>
      <c r="H51" s="299"/>
      <c r="I51" s="300"/>
      <c r="J51" s="301"/>
    </row>
    <row r="52" spans="2:11" x14ac:dyDescent="0.2">
      <c r="B52" s="137" t="s">
        <v>349</v>
      </c>
      <c r="C52" s="229"/>
      <c r="D52" s="229"/>
      <c r="E52" s="106" t="str">
        <f>Mvalloc!H25</f>
        <v xml:space="preserve">  </v>
      </c>
      <c r="G52" s="302" t="s">
        <v>297</v>
      </c>
      <c r="H52" s="300"/>
      <c r="I52" s="300"/>
      <c r="J52" s="303">
        <v>0</v>
      </c>
    </row>
    <row r="53" spans="2:11" x14ac:dyDescent="0.2">
      <c r="B53" s="150"/>
      <c r="C53" s="229"/>
      <c r="D53" s="229"/>
      <c r="E53" s="42"/>
      <c r="G53" s="298" t="s">
        <v>298</v>
      </c>
      <c r="H53" s="299"/>
      <c r="I53" s="299"/>
      <c r="J53" s="304" t="str">
        <f>IF(J52=0,"",ROUND((J52+E80-G65)/inputOth!E6*1000,3)-G70)</f>
        <v/>
      </c>
    </row>
    <row r="54" spans="2:11" x14ac:dyDescent="0.2">
      <c r="B54" s="150"/>
      <c r="C54" s="229"/>
      <c r="D54" s="229"/>
      <c r="E54" s="42"/>
      <c r="G54" s="305" t="str">
        <f>CONCATENATE("",E1," Tot Exp/Non-Appr Must Be:")</f>
        <v>2025 Tot Exp/Non-Appr Must Be:</v>
      </c>
      <c r="H54" s="306"/>
      <c r="I54" s="307"/>
      <c r="J54" s="308">
        <f>IF(J52&gt;0,IF(E77&lt;E63,IF(J52=G65,E77,((J52-G65)*(1-D79))+E63),E77+(J52-G65)),0)</f>
        <v>0</v>
      </c>
    </row>
    <row r="55" spans="2:11" x14ac:dyDescent="0.2">
      <c r="B55" s="150"/>
      <c r="C55" s="229"/>
      <c r="D55" s="229"/>
      <c r="E55" s="42"/>
      <c r="G55" s="309" t="s">
        <v>318</v>
      </c>
      <c r="H55" s="310"/>
      <c r="I55" s="310"/>
      <c r="J55" s="311">
        <f>IF(J52&gt;0,J54-E77,0)</f>
        <v>0</v>
      </c>
    </row>
    <row r="56" spans="2:11" x14ac:dyDescent="0.25">
      <c r="B56" s="150"/>
      <c r="C56" s="229"/>
      <c r="D56" s="229"/>
      <c r="E56" s="42"/>
      <c r="G56" s="1"/>
      <c r="H56" s="1"/>
      <c r="I56" s="1"/>
      <c r="J56" s="1"/>
    </row>
    <row r="57" spans="2:11" x14ac:dyDescent="0.2">
      <c r="B57" s="142"/>
      <c r="C57" s="229"/>
      <c r="D57" s="229"/>
      <c r="E57" s="42"/>
      <c r="G57" s="646" t="str">
        <f>CONCATENATE("Projected Carryover Into ",E1+1,"")</f>
        <v>Projected Carryover Into 2026</v>
      </c>
      <c r="H57" s="668"/>
      <c r="I57" s="668"/>
      <c r="J57" s="667"/>
    </row>
    <row r="58" spans="2:11" x14ac:dyDescent="0.25">
      <c r="B58" s="142" t="s">
        <v>88</v>
      </c>
      <c r="C58" s="229"/>
      <c r="D58" s="229"/>
      <c r="E58" s="243"/>
      <c r="G58" s="327"/>
      <c r="H58" s="299"/>
      <c r="I58" s="299"/>
      <c r="J58" s="322"/>
    </row>
    <row r="59" spans="2:11" x14ac:dyDescent="0.25">
      <c r="B59" s="143" t="s">
        <v>40</v>
      </c>
      <c r="C59" s="229"/>
      <c r="D59" s="229"/>
      <c r="E59" s="106">
        <f>'NR Rebate'!E24*-1</f>
        <v>0</v>
      </c>
      <c r="G59" s="318">
        <f>D74</f>
        <v>0</v>
      </c>
      <c r="H59" s="316" t="str">
        <f>CONCATENATE("",E1-1," Ending Cash Balance (est.)")</f>
        <v>2024 Ending Cash Balance (est.)</v>
      </c>
      <c r="I59" s="319"/>
      <c r="J59" s="322"/>
    </row>
    <row r="60" spans="2:11" x14ac:dyDescent="0.25">
      <c r="B60" s="143" t="s">
        <v>38</v>
      </c>
      <c r="C60" s="229"/>
      <c r="D60" s="229"/>
      <c r="E60" s="42"/>
      <c r="G60" s="318">
        <f>E62</f>
        <v>0</v>
      </c>
      <c r="H60" s="300" t="str">
        <f>CONCATENATE("",E1," Non-AV Receipts (est.)")</f>
        <v>2025 Non-AV Receipts (est.)</v>
      </c>
      <c r="I60" s="319"/>
      <c r="J60" s="322"/>
    </row>
    <row r="61" spans="2:11" x14ac:dyDescent="0.25">
      <c r="B61" s="143" t="s">
        <v>291</v>
      </c>
      <c r="C61" s="230" t="str">
        <f>IF(C62*0.1&lt;C60,"Exceed 10% Rule","")</f>
        <v/>
      </c>
      <c r="D61" s="230" t="str">
        <f>IF(D62*0.1&lt;D60,"Exceed 10% Rule","")</f>
        <v/>
      </c>
      <c r="E61" s="170" t="str">
        <f>IF(E62*0.1+E80&lt;E60,"Exceed 10% Rule","")</f>
        <v/>
      </c>
      <c r="G61" s="320">
        <f>IF(E79&gt;0,E78,E80)</f>
        <v>0</v>
      </c>
      <c r="H61" s="300" t="str">
        <f>CONCATENATE("",E1," Ad Valorem Tax (est.)")</f>
        <v>2025 Ad Valorem Tax (est.)</v>
      </c>
      <c r="I61" s="319"/>
      <c r="J61" s="322"/>
      <c r="K61" s="314" t="str">
        <f>IF(G61=E80,"","Note: Does not include Delinquent Taxes")</f>
        <v/>
      </c>
    </row>
    <row r="62" spans="2:11" x14ac:dyDescent="0.25">
      <c r="B62" s="145" t="s">
        <v>89</v>
      </c>
      <c r="C62" s="463">
        <f>SUM(C46:C60)</f>
        <v>0</v>
      </c>
      <c r="D62" s="463">
        <f>SUM(D46:D60)</f>
        <v>0</v>
      </c>
      <c r="E62" s="463">
        <f>SUM(E46:E60)</f>
        <v>0</v>
      </c>
      <c r="G62" s="328">
        <f>SUM(G59:G61)</f>
        <v>0</v>
      </c>
      <c r="H62" s="300" t="str">
        <f>CONCATENATE("Total ",E1," Resources Available")</f>
        <v>Total 2025 Resources Available</v>
      </c>
      <c r="I62" s="329"/>
      <c r="J62" s="322"/>
    </row>
    <row r="63" spans="2:11" x14ac:dyDescent="0.25">
      <c r="B63" s="145" t="s">
        <v>90</v>
      </c>
      <c r="C63" s="463">
        <f>C44+C62</f>
        <v>0</v>
      </c>
      <c r="D63" s="463">
        <f>D44+D62</f>
        <v>0</v>
      </c>
      <c r="E63" s="463">
        <f>E44+E62</f>
        <v>0</v>
      </c>
      <c r="G63" s="330"/>
      <c r="H63" s="331"/>
      <c r="I63" s="299"/>
      <c r="J63" s="322"/>
    </row>
    <row r="64" spans="2:11" x14ac:dyDescent="0.25">
      <c r="B64" s="60" t="s">
        <v>93</v>
      </c>
      <c r="C64" s="143"/>
      <c r="D64" s="143"/>
      <c r="E64" s="38"/>
      <c r="G64" s="332">
        <f>ROUND(C73*0.05+C73,0)</f>
        <v>0</v>
      </c>
      <c r="H64" s="300" t="str">
        <f>CONCATENATE("Less ",E1-2," Expenditures + 5%")</f>
        <v>Less 2023 Expenditures + 5%</v>
      </c>
      <c r="I64" s="329"/>
      <c r="J64" s="322"/>
    </row>
    <row r="65" spans="2:10" x14ac:dyDescent="0.25">
      <c r="B65" s="150"/>
      <c r="C65" s="229"/>
      <c r="D65" s="229"/>
      <c r="E65" s="42"/>
      <c r="G65" s="333">
        <f>G62-G64</f>
        <v>0</v>
      </c>
      <c r="H65" s="324" t="str">
        <f>CONCATENATE("Projected ",E1+1," carryover (est.)")</f>
        <v>Projected 2026 carryover (est.)</v>
      </c>
      <c r="I65" s="334"/>
      <c r="J65" s="335"/>
    </row>
    <row r="66" spans="2:10" x14ac:dyDescent="0.25">
      <c r="B66" s="150"/>
      <c r="C66" s="229"/>
      <c r="D66" s="229"/>
      <c r="E66" s="42"/>
      <c r="G66" s="1"/>
      <c r="H66" s="1"/>
      <c r="I66" s="1"/>
      <c r="J66" s="1"/>
    </row>
    <row r="67" spans="2:10" x14ac:dyDescent="0.2">
      <c r="B67" s="150"/>
      <c r="C67" s="229"/>
      <c r="D67" s="229"/>
      <c r="E67" s="42"/>
      <c r="G67" s="649" t="s">
        <v>558</v>
      </c>
      <c r="H67" s="650"/>
      <c r="I67" s="650"/>
      <c r="J67" s="651"/>
    </row>
    <row r="68" spans="2:10" x14ac:dyDescent="0.2">
      <c r="B68" s="150"/>
      <c r="C68" s="229"/>
      <c r="D68" s="229"/>
      <c r="E68" s="42"/>
      <c r="G68" s="652"/>
      <c r="H68" s="653"/>
      <c r="I68" s="653"/>
      <c r="J68" s="654"/>
    </row>
    <row r="69" spans="2:10" x14ac:dyDescent="0.2">
      <c r="B69" s="150"/>
      <c r="C69" s="229"/>
      <c r="D69" s="229"/>
      <c r="E69" s="42"/>
      <c r="G69" s="509" t="str">
        <f>'Budget Hearing Notice'!H34</f>
        <v xml:space="preserve">  </v>
      </c>
      <c r="H69" s="316" t="str">
        <f>CONCATENATE("",E1," Estimated Fund Mill Rate")</f>
        <v>2025 Estimated Fund Mill Rate</v>
      </c>
      <c r="I69" s="510"/>
      <c r="J69" s="511"/>
    </row>
    <row r="70" spans="2:10" x14ac:dyDescent="0.2">
      <c r="B70" s="143" t="str">
        <f>CONCATENATE("Cash Reserve (",E1," column)")</f>
        <v>Cash Reserve (2025 column)</v>
      </c>
      <c r="C70" s="229"/>
      <c r="D70" s="229"/>
      <c r="E70" s="42"/>
      <c r="G70" s="512" t="str">
        <f>'Budget Hearing Notice'!E34</f>
        <v xml:space="preserve">  </v>
      </c>
      <c r="H70" s="316" t="str">
        <f>CONCATENATE("",E1-1," Fund Mill Rate")</f>
        <v>2024 Fund Mill Rate</v>
      </c>
      <c r="I70" s="510"/>
      <c r="J70" s="511"/>
    </row>
    <row r="71" spans="2:10" x14ac:dyDescent="0.2">
      <c r="B71" s="143" t="s">
        <v>38</v>
      </c>
      <c r="C71" s="229"/>
      <c r="D71" s="229"/>
      <c r="E71" s="42"/>
      <c r="G71" s="513">
        <f>'Budget Hearing Notice'!H62</f>
        <v>0</v>
      </c>
      <c r="H71" s="514" t="s">
        <v>559</v>
      </c>
      <c r="I71" s="510"/>
      <c r="J71" s="511"/>
    </row>
    <row r="72" spans="2:10" x14ac:dyDescent="0.2">
      <c r="B72" s="143" t="s">
        <v>290</v>
      </c>
      <c r="C72" s="230" t="str">
        <f>IF(C73*0.1&lt;C71,"Exceed 10% Rule","")</f>
        <v/>
      </c>
      <c r="D72" s="230" t="str">
        <f>IF(D73*0.1&lt;D71,"Exceed 10% Rule","")</f>
        <v/>
      </c>
      <c r="E72" s="170" t="str">
        <f>IF(E73*0.1&lt;E71,"Exceed 10% Rule","")</f>
        <v/>
      </c>
      <c r="G72" s="509">
        <f>'Budget Hearing Notice'!H61</f>
        <v>0</v>
      </c>
      <c r="H72" s="316" t="str">
        <f>CONCATENATE(E1," Estimated Total Mill Rate")</f>
        <v>2025 Estimated Total Mill Rate</v>
      </c>
      <c r="I72" s="510"/>
      <c r="J72" s="511"/>
    </row>
    <row r="73" spans="2:10" x14ac:dyDescent="0.2">
      <c r="B73" s="145" t="s">
        <v>94</v>
      </c>
      <c r="C73" s="463">
        <f>SUM(C65:C71)</f>
        <v>0</v>
      </c>
      <c r="D73" s="463">
        <f>SUM(D65:D71)</f>
        <v>0</v>
      </c>
      <c r="E73" s="463">
        <f>SUM(E65:E71)</f>
        <v>0</v>
      </c>
      <c r="G73" s="515">
        <f>'Budget Hearing Notice'!E61</f>
        <v>0</v>
      </c>
      <c r="H73" s="316" t="str">
        <f>CONCATENATE(E1-1," Total Mill Rate")</f>
        <v>2024 Total Mill Rate</v>
      </c>
      <c r="I73" s="510"/>
      <c r="J73" s="511"/>
    </row>
    <row r="74" spans="2:10" x14ac:dyDescent="0.2">
      <c r="B74" s="60" t="s">
        <v>196</v>
      </c>
      <c r="C74" s="106">
        <f>C63-C73</f>
        <v>0</v>
      </c>
      <c r="D74" s="106">
        <f>D63-D73</f>
        <v>0</v>
      </c>
      <c r="E74" s="165" t="s">
        <v>66</v>
      </c>
      <c r="G74" s="327"/>
      <c r="H74" s="299"/>
      <c r="I74" s="299"/>
      <c r="J74" s="329"/>
    </row>
    <row r="75" spans="2:10" x14ac:dyDescent="0.2">
      <c r="B75" s="135" t="str">
        <f>CONCATENATE("",E1-2,"/",E1-1,"/",E1," Budget Authority Amount:")</f>
        <v>2023/2024/2025 Budget Authority Amount:</v>
      </c>
      <c r="C75" s="167">
        <f>inputOth!B51</f>
        <v>0</v>
      </c>
      <c r="D75" s="167">
        <f>inputPrYr!D35</f>
        <v>0</v>
      </c>
      <c r="E75" s="106">
        <f>E73</f>
        <v>0</v>
      </c>
      <c r="G75" s="655" t="s">
        <v>560</v>
      </c>
      <c r="H75" s="656"/>
      <c r="I75" s="656"/>
      <c r="J75" s="659" t="str">
        <f>IF(G72&gt;G71, "Yes", "No")</f>
        <v>No</v>
      </c>
    </row>
    <row r="76" spans="2:10" x14ac:dyDescent="0.2">
      <c r="B76" s="125"/>
      <c r="C76" s="636" t="s">
        <v>294</v>
      </c>
      <c r="D76" s="637"/>
      <c r="E76" s="42"/>
      <c r="G76" s="657"/>
      <c r="H76" s="658"/>
      <c r="I76" s="658"/>
      <c r="J76" s="660"/>
    </row>
    <row r="77" spans="2:10" x14ac:dyDescent="0.2">
      <c r="B77" s="266" t="str">
        <f>CONCATENATE(C98,"     ",D98)</f>
        <v xml:space="preserve">     </v>
      </c>
      <c r="C77" s="638" t="s">
        <v>295</v>
      </c>
      <c r="D77" s="639"/>
      <c r="E77" s="106">
        <f>E73+E76</f>
        <v>0</v>
      </c>
      <c r="G77" s="661" t="str">
        <f>IF(J75="Yes", "Follow procedure prescribed by KSA 79-2988 to exceed the Revenue Neutral Rate.", " ")</f>
        <v xml:space="preserve"> </v>
      </c>
      <c r="H77" s="661"/>
      <c r="I77" s="661"/>
      <c r="J77" s="661"/>
    </row>
    <row r="78" spans="2:10" x14ac:dyDescent="0.2">
      <c r="B78" s="266" t="str">
        <f>CONCATENATE(C99,"     ",D99)</f>
        <v xml:space="preserve">     </v>
      </c>
      <c r="C78" s="152"/>
      <c r="D78" s="90" t="s">
        <v>95</v>
      </c>
      <c r="E78" s="106">
        <f>IF(E77-E63&gt;0,E77-E63,0)</f>
        <v>0</v>
      </c>
      <c r="G78" s="662"/>
      <c r="H78" s="662"/>
      <c r="I78" s="662"/>
      <c r="J78" s="662"/>
    </row>
    <row r="79" spans="2:10" x14ac:dyDescent="0.2">
      <c r="B79" s="90"/>
      <c r="C79" s="265" t="s">
        <v>296</v>
      </c>
      <c r="D79" s="297">
        <f>inputOth!$E$26</f>
        <v>0</v>
      </c>
      <c r="E79" s="106">
        <f>ROUND(IF(D79&gt;0,($E$78*D79),0),0)</f>
        <v>0</v>
      </c>
      <c r="F79" s="151"/>
      <c r="G79" s="662"/>
      <c r="H79" s="662"/>
      <c r="I79" s="662"/>
      <c r="J79" s="662"/>
    </row>
    <row r="80" spans="2:10" x14ac:dyDescent="0.2">
      <c r="B80" s="26"/>
      <c r="C80" s="644" t="str">
        <f>CONCATENATE("Amount of  ",$E$1-1," Ad Valorem Tax")</f>
        <v>Amount of  2024 Ad Valorem Tax</v>
      </c>
      <c r="D80" s="663"/>
      <c r="E80" s="106">
        <f>E78+E79</f>
        <v>0</v>
      </c>
      <c r="F80" s="238" t="str">
        <f>IF(E73/0.95-E73&lt;E76,"Exceeds 5%","")</f>
        <v/>
      </c>
    </row>
    <row r="81" spans="2:5" x14ac:dyDescent="0.2">
      <c r="B81" s="26"/>
      <c r="C81" s="125"/>
      <c r="D81" s="26"/>
      <c r="E81" s="125"/>
    </row>
    <row r="82" spans="2:5" x14ac:dyDescent="0.2">
      <c r="B82" s="423" t="s">
        <v>354</v>
      </c>
      <c r="C82" s="402"/>
      <c r="D82" s="347"/>
      <c r="E82" s="409"/>
    </row>
    <row r="83" spans="2:5" x14ac:dyDescent="0.2">
      <c r="B83" s="126"/>
      <c r="C83" s="125"/>
      <c r="D83" s="26"/>
      <c r="E83" s="410"/>
    </row>
    <row r="84" spans="2:5" x14ac:dyDescent="0.2">
      <c r="B84" s="403"/>
      <c r="C84" s="408"/>
      <c r="D84" s="44"/>
      <c r="E84" s="411"/>
    </row>
    <row r="85" spans="2:5" x14ac:dyDescent="0.2">
      <c r="B85" s="26"/>
      <c r="C85" s="125"/>
      <c r="D85" s="26"/>
      <c r="E85" s="125"/>
    </row>
    <row r="86" spans="2:5" x14ac:dyDescent="0.2">
      <c r="B86" s="125" t="s">
        <v>146</v>
      </c>
      <c r="C86" s="368"/>
      <c r="D86" s="26"/>
      <c r="E86" s="26"/>
    </row>
    <row r="95" spans="2:5" hidden="1" x14ac:dyDescent="0.2"/>
    <row r="96" spans="2:5" hidden="1" x14ac:dyDescent="0.2">
      <c r="C96" s="23" t="str">
        <f>IF(C33&gt;C35,"See Tab A","")</f>
        <v/>
      </c>
      <c r="D96" s="23" t="str">
        <f>IF(D33&gt;D35,"See Tab C","")</f>
        <v/>
      </c>
    </row>
    <row r="97" spans="3:4" hidden="1" x14ac:dyDescent="0.2">
      <c r="C97" s="23" t="str">
        <f>IF(C34&lt;0,"See Tab B","")</f>
        <v/>
      </c>
      <c r="D97" s="23" t="str">
        <f>IF(D34&lt;0,"See Tab D","")</f>
        <v/>
      </c>
    </row>
    <row r="98" spans="3:4" hidden="1" x14ac:dyDescent="0.2">
      <c r="C98" s="23" t="str">
        <f>IF(C73&gt;C75,"See Tab A","")</f>
        <v/>
      </c>
      <c r="D98" s="23" t="str">
        <f>IF(D73&gt;D75,"See Tab C","")</f>
        <v/>
      </c>
    </row>
    <row r="99" spans="3:4" x14ac:dyDescent="0.2">
      <c r="C99" s="23" t="str">
        <f>IF(C74&lt;0,"See Tab B","")</f>
        <v/>
      </c>
      <c r="D99" s="23" t="str">
        <f>IF(D74&lt;0,"See Tab D","")</f>
        <v/>
      </c>
    </row>
  </sheetData>
  <sheetProtection sheet="1" objects="1" scenarios="1"/>
  <mergeCells count="18">
    <mergeCell ref="C80:D80"/>
    <mergeCell ref="C40:D40"/>
    <mergeCell ref="G67:J68"/>
    <mergeCell ref="G75:I76"/>
    <mergeCell ref="J75:J76"/>
    <mergeCell ref="G77:J79"/>
    <mergeCell ref="C36:D36"/>
    <mergeCell ref="C37:D37"/>
    <mergeCell ref="C76:D76"/>
    <mergeCell ref="C77:D77"/>
    <mergeCell ref="G35:J37"/>
    <mergeCell ref="G8:J8"/>
    <mergeCell ref="G15:J15"/>
    <mergeCell ref="G50:J50"/>
    <mergeCell ref="G57:J57"/>
    <mergeCell ref="G25:J26"/>
    <mergeCell ref="G33:I34"/>
    <mergeCell ref="J33:J34"/>
  </mergeCells>
  <phoneticPr fontId="0" type="noConversion"/>
  <conditionalFormatting sqref="C20">
    <cfRule type="cellIs" dxfId="187" priority="32" stopIfTrue="1" operator="greaterThan">
      <formula>$C$22*0.1</formula>
    </cfRule>
  </conditionalFormatting>
  <conditionalFormatting sqref="C31">
    <cfRule type="cellIs" dxfId="186" priority="29" stopIfTrue="1" operator="greaterThan">
      <formula>$C$33*0.1</formula>
    </cfRule>
  </conditionalFormatting>
  <conditionalFormatting sqref="C33">
    <cfRule type="cellIs" dxfId="185" priority="7" stopIfTrue="1" operator="greaterThan">
      <formula>$C$35</formula>
    </cfRule>
  </conditionalFormatting>
  <conditionalFormatting sqref="C60">
    <cfRule type="cellIs" dxfId="184" priority="25" stopIfTrue="1" operator="greaterThan">
      <formula>$C$62*0.1</formula>
    </cfRule>
  </conditionalFormatting>
  <conditionalFormatting sqref="C71">
    <cfRule type="cellIs" dxfId="183" priority="22" stopIfTrue="1" operator="greaterThan">
      <formula>$C$73*0.1</formula>
    </cfRule>
  </conditionalFormatting>
  <conditionalFormatting sqref="C73">
    <cfRule type="cellIs" dxfId="182" priority="5" stopIfTrue="1" operator="greaterThan">
      <formula>$C$75</formula>
    </cfRule>
  </conditionalFormatting>
  <conditionalFormatting sqref="C34:D34">
    <cfRule type="cellIs" dxfId="181" priority="1" stopIfTrue="1" operator="lessThan">
      <formula>0</formula>
    </cfRule>
  </conditionalFormatting>
  <conditionalFormatting sqref="C74:D74">
    <cfRule type="cellIs" dxfId="180" priority="3" stopIfTrue="1" operator="lessThan">
      <formula>0</formula>
    </cfRule>
  </conditionalFormatting>
  <conditionalFormatting sqref="D20">
    <cfRule type="cellIs" dxfId="179" priority="33" stopIfTrue="1" operator="greaterThan">
      <formula>$D$22*0.1</formula>
    </cfRule>
  </conditionalFormatting>
  <conditionalFormatting sqref="D31">
    <cfRule type="cellIs" dxfId="178" priority="30" stopIfTrue="1" operator="greaterThan">
      <formula>$D$33*0.1</formula>
    </cfRule>
  </conditionalFormatting>
  <conditionalFormatting sqref="D33">
    <cfRule type="cellIs" dxfId="177" priority="8" stopIfTrue="1" operator="greaterThan">
      <formula>$D$35</formula>
    </cfRule>
  </conditionalFormatting>
  <conditionalFormatting sqref="D60">
    <cfRule type="cellIs" dxfId="176" priority="26" stopIfTrue="1" operator="greaterThan">
      <formula>$D$62*0.1</formula>
    </cfRule>
  </conditionalFormatting>
  <conditionalFormatting sqref="D71">
    <cfRule type="cellIs" dxfId="175" priority="23" stopIfTrue="1" operator="greaterThan">
      <formula>$D$73*0.1</formula>
    </cfRule>
  </conditionalFormatting>
  <conditionalFormatting sqref="D73">
    <cfRule type="cellIs" dxfId="174" priority="10" stopIfTrue="1" operator="greaterThan">
      <formula>$D$75</formula>
    </cfRule>
  </conditionalFormatting>
  <conditionalFormatting sqref="E20">
    <cfRule type="cellIs" dxfId="173" priority="31" stopIfTrue="1" operator="greaterThan">
      <formula>$E$22*0.1+E40</formula>
    </cfRule>
  </conditionalFormatting>
  <conditionalFormatting sqref="E31">
    <cfRule type="cellIs" dxfId="172" priority="18" stopIfTrue="1" operator="greaterThan">
      <formula>$E$33*0.1</formula>
    </cfRule>
  </conditionalFormatting>
  <conditionalFormatting sqref="E36">
    <cfRule type="cellIs" dxfId="171" priority="17" stopIfTrue="1" operator="greaterThan">
      <formula>$E$33/0.95-$E$33</formula>
    </cfRule>
  </conditionalFormatting>
  <conditionalFormatting sqref="E60">
    <cfRule type="cellIs" dxfId="170" priority="24" stopIfTrue="1" operator="greaterThan">
      <formula>$E$62*0.1+E80</formula>
    </cfRule>
  </conditionalFormatting>
  <conditionalFormatting sqref="E71">
    <cfRule type="cellIs" dxfId="169" priority="15" stopIfTrue="1" operator="greaterThan">
      <formula>$E$73*0.1</formula>
    </cfRule>
  </conditionalFormatting>
  <conditionalFormatting sqref="E76">
    <cfRule type="cellIs" dxfId="168" priority="16" stopIfTrue="1" operator="greaterThan">
      <formula>$E$73/0.95-$E$73</formula>
    </cfRule>
  </conditionalFormatting>
  <conditionalFormatting sqref="J33">
    <cfRule type="containsText" dxfId="167" priority="11" operator="containsText" text="Yes">
      <formula>NOT(ISERROR(SEARCH("Yes",J33)))</formula>
    </cfRule>
  </conditionalFormatting>
  <conditionalFormatting sqref="J75">
    <cfRule type="containsText" dxfId="166" priority="12" operator="containsText" text="Yes">
      <formula>NOT(ISERROR(SEARCH("Yes",J75)))</formula>
    </cfRule>
  </conditionalFormatting>
  <pageMargins left="1.1200000000000001" right="0.5" top="0.74" bottom="0.34" header="0.5" footer="0"/>
  <pageSetup scale="51" orientation="portrait" blackAndWhite="1" horizontalDpi="120" verticalDpi="144" r:id="rId1"/>
  <headerFooter alignWithMargins="0">
    <oddHeader xml:space="preserve">&amp;RState of Kansas
County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1">
    <tabColor rgb="FF00B0F0"/>
    <pageSetUpPr fitToPage="1"/>
  </sheetPr>
  <dimension ref="B1:K100"/>
  <sheetViews>
    <sheetView zoomScaleNormal="100" workbookViewId="0">
      <selection activeCell="L27" sqref="L27"/>
    </sheetView>
  </sheetViews>
  <sheetFormatPr defaultRowHeight="15.75" x14ac:dyDescent="0.2"/>
  <cols>
    <col min="1" max="1" width="2.44140625" style="23" customWidth="1"/>
    <col min="2" max="2" width="31.109375" style="23" customWidth="1"/>
    <col min="3" max="4" width="15.77734375" style="23" customWidth="1"/>
    <col min="5" max="5" width="16.21875" style="23" customWidth="1"/>
    <col min="6" max="6" width="7.44140625" style="23" customWidth="1"/>
    <col min="7" max="7" width="10.21875" style="23" customWidth="1"/>
    <col min="8" max="8" width="8.88671875" style="23"/>
    <col min="9" max="9" width="5.77734375" style="23" customWidth="1"/>
    <col min="10" max="10" width="10" style="23" customWidth="1"/>
    <col min="11" max="16384" width="8.88671875" style="23"/>
  </cols>
  <sheetData>
    <row r="1" spans="2:10" x14ac:dyDescent="0.2">
      <c r="B1" s="57">
        <f>inputPrYr!C3</f>
        <v>0</v>
      </c>
      <c r="C1" s="26"/>
      <c r="D1" s="26"/>
      <c r="E1" s="125">
        <f>inputPrYr!C5</f>
        <v>2025</v>
      </c>
    </row>
    <row r="2" spans="2:10" x14ac:dyDescent="0.2">
      <c r="B2" s="26"/>
      <c r="C2" s="26"/>
      <c r="D2" s="26"/>
      <c r="E2" s="90"/>
    </row>
    <row r="3" spans="2:10" x14ac:dyDescent="0.2">
      <c r="B3" s="64" t="s">
        <v>185</v>
      </c>
      <c r="C3" s="161"/>
      <c r="D3" s="161"/>
      <c r="E3" s="162"/>
    </row>
    <row r="4" spans="2:10" x14ac:dyDescent="0.2">
      <c r="B4" s="25" t="s">
        <v>80</v>
      </c>
      <c r="C4" s="339" t="s">
        <v>319</v>
      </c>
      <c r="D4" s="340" t="s">
        <v>320</v>
      </c>
      <c r="E4" s="80" t="s">
        <v>321</v>
      </c>
    </row>
    <row r="5" spans="2:10" x14ac:dyDescent="0.2">
      <c r="B5" s="248">
        <f>inputPrYr!B36</f>
        <v>0</v>
      </c>
      <c r="C5" s="231" t="str">
        <f>CONCATENATE("Actual for ",E1-2,"")</f>
        <v>Actual for 2023</v>
      </c>
      <c r="D5" s="231" t="str">
        <f>CONCATENATE("Estimate for ",E1-1,"")</f>
        <v>Estimate for 2024</v>
      </c>
      <c r="E5" s="136" t="str">
        <f>CONCATENATE("Year for ",E1,"")</f>
        <v>Year for 2025</v>
      </c>
    </row>
    <row r="6" spans="2:10" x14ac:dyDescent="0.2">
      <c r="B6" s="60" t="s">
        <v>195</v>
      </c>
      <c r="C6" s="229"/>
      <c r="D6" s="232">
        <f>C34</f>
        <v>0</v>
      </c>
      <c r="E6" s="106">
        <f>D34</f>
        <v>0</v>
      </c>
    </row>
    <row r="7" spans="2:10" x14ac:dyDescent="0.2">
      <c r="B7" s="128" t="s">
        <v>197</v>
      </c>
      <c r="C7" s="139"/>
      <c r="D7" s="139"/>
      <c r="E7" s="50"/>
    </row>
    <row r="8" spans="2:10" x14ac:dyDescent="0.2">
      <c r="B8" s="60" t="s">
        <v>81</v>
      </c>
      <c r="C8" s="229"/>
      <c r="D8" s="232">
        <f>IF(inputPrYr!H36&gt;0,inputPrYr!H36,inputPrYr!E36)</f>
        <v>0</v>
      </c>
      <c r="E8" s="165" t="s">
        <v>66</v>
      </c>
    </row>
    <row r="9" spans="2:10" x14ac:dyDescent="0.2">
      <c r="B9" s="60" t="s">
        <v>82</v>
      </c>
      <c r="C9" s="229"/>
      <c r="D9" s="229"/>
      <c r="E9" s="42"/>
    </row>
    <row r="10" spans="2:10" x14ac:dyDescent="0.2">
      <c r="B10" s="60" t="s">
        <v>83</v>
      </c>
      <c r="C10" s="229"/>
      <c r="D10" s="229"/>
      <c r="E10" s="106" t="str">
        <f>Mvalloc!D26</f>
        <v xml:space="preserve">  </v>
      </c>
      <c r="G10" s="646" t="str">
        <f>CONCATENATE("Desired Carryover Into ",E1+1,"")</f>
        <v>Desired Carryover Into 2026</v>
      </c>
      <c r="H10" s="647"/>
      <c r="I10" s="647"/>
      <c r="J10" s="648"/>
    </row>
    <row r="11" spans="2:10" x14ac:dyDescent="0.2">
      <c r="B11" s="60" t="s">
        <v>84</v>
      </c>
      <c r="C11" s="229"/>
      <c r="D11" s="229"/>
      <c r="E11" s="106" t="str">
        <f>Mvalloc!E26</f>
        <v xml:space="preserve">  </v>
      </c>
      <c r="G11" s="298"/>
      <c r="H11" s="299"/>
      <c r="I11" s="300"/>
      <c r="J11" s="301"/>
    </row>
    <row r="12" spans="2:10" x14ac:dyDescent="0.2">
      <c r="B12" s="139" t="s">
        <v>176</v>
      </c>
      <c r="C12" s="229"/>
      <c r="D12" s="229"/>
      <c r="E12" s="106" t="str">
        <f>Mvalloc!F26</f>
        <v xml:space="preserve">  </v>
      </c>
      <c r="G12" s="302" t="s">
        <v>297</v>
      </c>
      <c r="H12" s="300"/>
      <c r="I12" s="300"/>
      <c r="J12" s="303">
        <v>0</v>
      </c>
    </row>
    <row r="13" spans="2:10" x14ac:dyDescent="0.2">
      <c r="B13" s="137" t="s">
        <v>348</v>
      </c>
      <c r="C13" s="229"/>
      <c r="D13" s="229"/>
      <c r="E13" s="106" t="str">
        <f>Mvalloc!G26</f>
        <v xml:space="preserve">  </v>
      </c>
      <c r="G13" s="298" t="s">
        <v>298</v>
      </c>
      <c r="H13" s="299"/>
      <c r="I13" s="299"/>
      <c r="J13" s="304" t="str">
        <f>IF(J12=0,"",ROUND((J12+E40-G25)/inputOth!E6*1000,3)-G30)</f>
        <v/>
      </c>
    </row>
    <row r="14" spans="2:10" x14ac:dyDescent="0.2">
      <c r="B14" s="137" t="s">
        <v>349</v>
      </c>
      <c r="C14" s="229"/>
      <c r="D14" s="229"/>
      <c r="E14" s="106" t="str">
        <f>Mvalloc!H26</f>
        <v xml:space="preserve">  </v>
      </c>
      <c r="G14" s="305" t="str">
        <f>CONCATENATE("",E1," Tot Exp/Non-Appr Must Be:")</f>
        <v>2025 Tot Exp/Non-Appr Must Be:</v>
      </c>
      <c r="H14" s="306"/>
      <c r="I14" s="307"/>
      <c r="J14" s="308">
        <f>IF(J12&gt;0,IF(E37&lt;E23,IF(J12=G25,E37,((J12-G25)*(1-D39))+E23),E37+(J12-G25)),0)</f>
        <v>0</v>
      </c>
    </row>
    <row r="15" spans="2:10" x14ac:dyDescent="0.2">
      <c r="B15" s="150"/>
      <c r="C15" s="229"/>
      <c r="D15" s="229"/>
      <c r="E15" s="42"/>
      <c r="G15" s="309" t="s">
        <v>318</v>
      </c>
      <c r="H15" s="310"/>
      <c r="I15" s="310"/>
      <c r="J15" s="311">
        <f>IF(J12&gt;0,J14-E37,0)</f>
        <v>0</v>
      </c>
    </row>
    <row r="16" spans="2:10" x14ac:dyDescent="0.25">
      <c r="B16" s="150"/>
      <c r="C16" s="229"/>
      <c r="D16" s="229"/>
      <c r="E16" s="42"/>
      <c r="G16" s="1"/>
      <c r="H16" s="1"/>
      <c r="I16" s="1"/>
      <c r="J16" s="1"/>
    </row>
    <row r="17" spans="2:11" x14ac:dyDescent="0.2">
      <c r="B17" s="150"/>
      <c r="C17" s="229"/>
      <c r="D17" s="229"/>
      <c r="E17" s="42"/>
      <c r="G17" s="646" t="str">
        <f>CONCATENATE("Projected Carryover Into ",E1+1,"")</f>
        <v>Projected Carryover Into 2026</v>
      </c>
      <c r="H17" s="666"/>
      <c r="I17" s="666"/>
      <c r="J17" s="667"/>
    </row>
    <row r="18" spans="2:11" x14ac:dyDescent="0.2">
      <c r="B18" s="142" t="s">
        <v>88</v>
      </c>
      <c r="C18" s="229"/>
      <c r="D18" s="229"/>
      <c r="E18" s="42"/>
      <c r="G18" s="298"/>
      <c r="H18" s="300"/>
      <c r="I18" s="300"/>
      <c r="J18" s="317"/>
    </row>
    <row r="19" spans="2:11" x14ac:dyDescent="0.2">
      <c r="B19" s="143" t="s">
        <v>40</v>
      </c>
      <c r="C19" s="229"/>
      <c r="D19" s="229"/>
      <c r="E19" s="106">
        <f>'NR Rebate'!E25*-1</f>
        <v>0</v>
      </c>
      <c r="G19" s="318">
        <f>D34</f>
        <v>0</v>
      </c>
      <c r="H19" s="316" t="str">
        <f>CONCATENATE("",E1-1," Ending Cash Balance (est.)")</f>
        <v>2024 Ending Cash Balance (est.)</v>
      </c>
      <c r="I19" s="319"/>
      <c r="J19" s="317"/>
    </row>
    <row r="20" spans="2:11" x14ac:dyDescent="0.2">
      <c r="B20" s="143" t="s">
        <v>38</v>
      </c>
      <c r="C20" s="229"/>
      <c r="D20" s="229"/>
      <c r="E20" s="42"/>
      <c r="G20" s="318">
        <f>E22</f>
        <v>0</v>
      </c>
      <c r="H20" s="300" t="str">
        <f>CONCATENATE("",E1," Non-AV Receipts (est.)")</f>
        <v>2025 Non-AV Receipts (est.)</v>
      </c>
      <c r="I20" s="319"/>
      <c r="J20" s="317"/>
    </row>
    <row r="21" spans="2:11" x14ac:dyDescent="0.2">
      <c r="B21" s="143" t="s">
        <v>291</v>
      </c>
      <c r="C21" s="230" t="str">
        <f>IF(C22*0.1&lt;C20,"Exceed 10% Rule","")</f>
        <v/>
      </c>
      <c r="D21" s="230" t="str">
        <f>IF(D22*0.1&lt;D20,"Exceed 10% Rule","")</f>
        <v/>
      </c>
      <c r="E21" s="170" t="str">
        <f>IF(E22*0.1+E40&lt;E20,"Exceed 10% Rule","")</f>
        <v/>
      </c>
      <c r="G21" s="320">
        <f>IF(E39&gt;0,E38,E40)</f>
        <v>0</v>
      </c>
      <c r="H21" s="300" t="str">
        <f>CONCATENATE("",E1," Ad Valorem Tax (est.)")</f>
        <v>2025 Ad Valorem Tax (est.)</v>
      </c>
      <c r="I21" s="319"/>
      <c r="J21" s="317"/>
      <c r="K21" s="314" t="str">
        <f>IF(G21=E40,"","Note: Does not include Delinquent Taxes")</f>
        <v/>
      </c>
    </row>
    <row r="22" spans="2:11" x14ac:dyDescent="0.2">
      <c r="B22" s="145" t="s">
        <v>89</v>
      </c>
      <c r="C22" s="463">
        <f>SUM(C8:C20)</f>
        <v>0</v>
      </c>
      <c r="D22" s="463">
        <f>SUM(D8:D20)</f>
        <v>0</v>
      </c>
      <c r="E22" s="463">
        <f>SUM(E8:E20)</f>
        <v>0</v>
      </c>
      <c r="G22" s="318">
        <f>SUM(G19:G21)</f>
        <v>0</v>
      </c>
      <c r="H22" s="300" t="str">
        <f>CONCATENATE("Total ",E1," Resources Available")</f>
        <v>Total 2025 Resources Available</v>
      </c>
      <c r="I22" s="319"/>
      <c r="J22" s="317"/>
    </row>
    <row r="23" spans="2:11" x14ac:dyDescent="0.2">
      <c r="B23" s="145" t="s">
        <v>90</v>
      </c>
      <c r="C23" s="463">
        <f>C6+C22</f>
        <v>0</v>
      </c>
      <c r="D23" s="463">
        <f>D6+D22</f>
        <v>0</v>
      </c>
      <c r="E23" s="463">
        <f>E6+E22</f>
        <v>0</v>
      </c>
      <c r="G23" s="321"/>
      <c r="H23" s="300"/>
      <c r="I23" s="300"/>
      <c r="J23" s="317"/>
    </row>
    <row r="24" spans="2:11" x14ac:dyDescent="0.25">
      <c r="B24" s="60" t="s">
        <v>93</v>
      </c>
      <c r="C24" s="143"/>
      <c r="D24" s="143"/>
      <c r="E24" s="38"/>
      <c r="G24" s="320">
        <f>ROUND(C33*0.05+C33,0)</f>
        <v>0</v>
      </c>
      <c r="H24" s="300" t="str">
        <f>CONCATENATE("Less ",E1-2," Expenditures + 5%")</f>
        <v>Less 2023 Expenditures + 5%</v>
      </c>
      <c r="I24" s="319"/>
      <c r="J24" s="322"/>
    </row>
    <row r="25" spans="2:11" x14ac:dyDescent="0.2">
      <c r="B25" s="150"/>
      <c r="C25" s="229"/>
      <c r="D25" s="229"/>
      <c r="E25" s="42"/>
      <c r="G25" s="323">
        <f>G22-G24</f>
        <v>0</v>
      </c>
      <c r="H25" s="324" t="str">
        <f>CONCATENATE("Projected ",E1+1," carryover (est.)")</f>
        <v>Projected 2026 carryover (est.)</v>
      </c>
      <c r="I25" s="325"/>
      <c r="J25" s="326"/>
    </row>
    <row r="26" spans="2:11" x14ac:dyDescent="0.25">
      <c r="B26" s="150"/>
      <c r="C26" s="229"/>
      <c r="D26" s="229"/>
      <c r="E26" s="42"/>
      <c r="G26" s="1"/>
      <c r="H26" s="1"/>
      <c r="I26" s="1"/>
      <c r="J26" s="1"/>
    </row>
    <row r="27" spans="2:11" x14ac:dyDescent="0.2">
      <c r="B27" s="150"/>
      <c r="C27" s="229"/>
      <c r="D27" s="229"/>
      <c r="E27" s="42"/>
      <c r="G27" s="649" t="s">
        <v>558</v>
      </c>
      <c r="H27" s="650"/>
      <c r="I27" s="650"/>
      <c r="J27" s="651"/>
    </row>
    <row r="28" spans="2:11" x14ac:dyDescent="0.2">
      <c r="B28" s="150"/>
      <c r="C28" s="229"/>
      <c r="D28" s="229"/>
      <c r="E28" s="42"/>
      <c r="G28" s="652"/>
      <c r="H28" s="653"/>
      <c r="I28" s="653"/>
      <c r="J28" s="654"/>
    </row>
    <row r="29" spans="2:11" x14ac:dyDescent="0.2">
      <c r="B29" s="150"/>
      <c r="C29" s="229"/>
      <c r="D29" s="229"/>
      <c r="E29" s="42"/>
      <c r="G29" s="509" t="str">
        <f>'Budget Hearing Notice'!H35</f>
        <v xml:space="preserve">  </v>
      </c>
      <c r="H29" s="316" t="str">
        <f>CONCATENATE("",E1," Estimated Fund Mill Rate")</f>
        <v>2025 Estimated Fund Mill Rate</v>
      </c>
      <c r="I29" s="510"/>
      <c r="J29" s="511"/>
    </row>
    <row r="30" spans="2:11" x14ac:dyDescent="0.2">
      <c r="B30" s="143" t="str">
        <f>CONCATENATE("Cash Reserve (",E1," column)")</f>
        <v>Cash Reserve (2025 column)</v>
      </c>
      <c r="C30" s="229"/>
      <c r="D30" s="229"/>
      <c r="E30" s="42"/>
      <c r="G30" s="512" t="str">
        <f>'Budget Hearing Notice'!E35</f>
        <v xml:space="preserve">  </v>
      </c>
      <c r="H30" s="316" t="str">
        <f>CONCATENATE("",E1-1," Fund Mill Rate")</f>
        <v>2024 Fund Mill Rate</v>
      </c>
      <c r="I30" s="510"/>
      <c r="J30" s="511"/>
    </row>
    <row r="31" spans="2:11" x14ac:dyDescent="0.2">
      <c r="B31" s="143" t="s">
        <v>38</v>
      </c>
      <c r="C31" s="229"/>
      <c r="D31" s="229"/>
      <c r="E31" s="42"/>
      <c r="G31" s="513">
        <f>'Budget Hearing Notice'!H62</f>
        <v>0</v>
      </c>
      <c r="H31" s="514" t="s">
        <v>559</v>
      </c>
      <c r="I31" s="510"/>
      <c r="J31" s="511"/>
    </row>
    <row r="32" spans="2:11" x14ac:dyDescent="0.2">
      <c r="B32" s="143" t="s">
        <v>290</v>
      </c>
      <c r="C32" s="230" t="str">
        <f>IF(C33*0.1&lt;C31,"Exceed 10% Rule","")</f>
        <v/>
      </c>
      <c r="D32" s="230" t="str">
        <f>IF(D33*0.1&lt;D31,"Exceed 10% Rule","")</f>
        <v/>
      </c>
      <c r="E32" s="170" t="str">
        <f>IF(E33*0.1&lt;E31,"Exceed 10% Rule","")</f>
        <v/>
      </c>
      <c r="G32" s="509">
        <f>'Budget Hearing Notice'!H61</f>
        <v>0</v>
      </c>
      <c r="H32" s="316" t="str">
        <f>CONCATENATE(E1," Estimated Total Mill Rate")</f>
        <v>2025 Estimated Total Mill Rate</v>
      </c>
      <c r="I32" s="510"/>
      <c r="J32" s="511"/>
    </row>
    <row r="33" spans="2:10" ht="15.75" customHeight="1" x14ac:dyDescent="0.2">
      <c r="B33" s="145" t="s">
        <v>94</v>
      </c>
      <c r="C33" s="463">
        <f>SUM(C25:C31)</f>
        <v>0</v>
      </c>
      <c r="D33" s="463">
        <f>SUM(D25:D31)</f>
        <v>0</v>
      </c>
      <c r="E33" s="463">
        <f>SUM(E25:E31)</f>
        <v>0</v>
      </c>
      <c r="G33" s="515">
        <f>'Budget Hearing Notice'!E61</f>
        <v>0</v>
      </c>
      <c r="H33" s="316" t="str">
        <f>CONCATENATE(E1-1," Total Mill Rate")</f>
        <v>2024 Total Mill Rate</v>
      </c>
      <c r="I33" s="510"/>
      <c r="J33" s="511"/>
    </row>
    <row r="34" spans="2:10" x14ac:dyDescent="0.2">
      <c r="B34" s="60" t="s">
        <v>196</v>
      </c>
      <c r="C34" s="106">
        <f>C23-C33</f>
        <v>0</v>
      </c>
      <c r="D34" s="106">
        <f>D23-D33</f>
        <v>0</v>
      </c>
      <c r="E34" s="165" t="s">
        <v>66</v>
      </c>
      <c r="G34" s="327"/>
      <c r="H34" s="299"/>
      <c r="I34" s="299"/>
      <c r="J34" s="329"/>
    </row>
    <row r="35" spans="2:10" x14ac:dyDescent="0.2">
      <c r="B35" s="135" t="str">
        <f>CONCATENATE("",E1-2,"/",E1-1,"/",E1," Budget Authority Amount:")</f>
        <v>2023/2024/2025 Budget Authority Amount:</v>
      </c>
      <c r="C35" s="167">
        <f>inputOth!B52</f>
        <v>0</v>
      </c>
      <c r="D35" s="167">
        <f>inputPrYr!D36</f>
        <v>0</v>
      </c>
      <c r="E35" s="106">
        <f>E33</f>
        <v>0</v>
      </c>
      <c r="G35" s="655" t="s">
        <v>560</v>
      </c>
      <c r="H35" s="656"/>
      <c r="I35" s="656"/>
      <c r="J35" s="659" t="str">
        <f>IF(G32&gt;G31, "Yes", "No")</f>
        <v>No</v>
      </c>
    </row>
    <row r="36" spans="2:10" x14ac:dyDescent="0.2">
      <c r="B36" s="125"/>
      <c r="C36" s="636" t="s">
        <v>294</v>
      </c>
      <c r="D36" s="637"/>
      <c r="E36" s="42"/>
      <c r="G36" s="657"/>
      <c r="H36" s="658"/>
      <c r="I36" s="658"/>
      <c r="J36" s="660"/>
    </row>
    <row r="37" spans="2:10" x14ac:dyDescent="0.2">
      <c r="B37" s="266" t="str">
        <f>CONCATENATE(C97,"     ",D97)</f>
        <v xml:space="preserve">     </v>
      </c>
      <c r="C37" s="638" t="s">
        <v>295</v>
      </c>
      <c r="D37" s="639"/>
      <c r="E37" s="106">
        <f>E33+E36</f>
        <v>0</v>
      </c>
      <c r="F37" s="151"/>
      <c r="G37" s="661" t="str">
        <f>IF(J35="Yes", "Follow procedure prescribed by KSA 79-2988 to exceed the Revenue Neutral Rate.", " ")</f>
        <v xml:space="preserve"> </v>
      </c>
      <c r="H37" s="661"/>
      <c r="I37" s="661"/>
      <c r="J37" s="661"/>
    </row>
    <row r="38" spans="2:10" x14ac:dyDescent="0.2">
      <c r="B38" s="266" t="str">
        <f>CONCATENATE(C98,"     ",D98)</f>
        <v xml:space="preserve">     </v>
      </c>
      <c r="C38" s="152"/>
      <c r="D38" s="90" t="s">
        <v>95</v>
      </c>
      <c r="E38" s="106">
        <f>IF(E37-E23&gt;0,E37-E23,0)</f>
        <v>0</v>
      </c>
      <c r="F38" s="238" t="str">
        <f>IF(E33/0.95-E33&lt;E36,"Exceeds 5%","")</f>
        <v/>
      </c>
      <c r="G38" s="662"/>
      <c r="H38" s="662"/>
      <c r="I38" s="662"/>
      <c r="J38" s="662"/>
    </row>
    <row r="39" spans="2:10" x14ac:dyDescent="0.2">
      <c r="B39" s="90"/>
      <c r="C39" s="265" t="s">
        <v>296</v>
      </c>
      <c r="D39" s="297">
        <f>inputOth!$E$26</f>
        <v>0</v>
      </c>
      <c r="E39" s="106">
        <f>ROUND(IF(D39&gt;0,($E$38*D39),0),0)</f>
        <v>0</v>
      </c>
      <c r="G39" s="662"/>
      <c r="H39" s="662"/>
      <c r="I39" s="662"/>
      <c r="J39" s="662"/>
    </row>
    <row r="40" spans="2:10" x14ac:dyDescent="0.25">
      <c r="B40" s="26"/>
      <c r="C40" s="644" t="str">
        <f>CONCATENATE("Amount of  ",$E$1-1," Ad Valorem Tax")</f>
        <v>Amount of  2024 Ad Valorem Tax</v>
      </c>
      <c r="D40" s="663"/>
      <c r="E40" s="106">
        <f>E38+E39</f>
        <v>0</v>
      </c>
      <c r="G40" s="1"/>
      <c r="H40" s="1"/>
      <c r="I40" s="1"/>
      <c r="J40" s="1"/>
    </row>
    <row r="41" spans="2:10" ht="15.75" customHeight="1" x14ac:dyDescent="0.25">
      <c r="B41" s="26"/>
      <c r="C41" s="155"/>
      <c r="D41" s="155"/>
      <c r="E41" s="155"/>
      <c r="G41" s="1"/>
      <c r="H41" s="1"/>
      <c r="I41" s="1"/>
      <c r="J41" s="1"/>
    </row>
    <row r="42" spans="2:10" ht="15.75" customHeight="1" x14ac:dyDescent="0.25">
      <c r="B42" s="25" t="s">
        <v>80</v>
      </c>
      <c r="C42" s="339" t="str">
        <f t="shared" ref="C42:E43" si="0">C4</f>
        <v xml:space="preserve">Prior Year </v>
      </c>
      <c r="D42" s="340" t="str">
        <f t="shared" si="0"/>
        <v xml:space="preserve">Current Year </v>
      </c>
      <c r="E42" s="80" t="str">
        <f t="shared" si="0"/>
        <v xml:space="preserve">Proposed Budget </v>
      </c>
      <c r="G42" s="1"/>
      <c r="H42" s="1"/>
      <c r="I42" s="1"/>
      <c r="J42" s="1"/>
    </row>
    <row r="43" spans="2:10" x14ac:dyDescent="0.25">
      <c r="B43" s="247">
        <f>inputPrYr!B37</f>
        <v>0</v>
      </c>
      <c r="C43" s="231" t="str">
        <f t="shared" si="0"/>
        <v>Actual for 2023</v>
      </c>
      <c r="D43" s="231" t="str">
        <f t="shared" si="0"/>
        <v>Estimate for 2024</v>
      </c>
      <c r="E43" s="136" t="str">
        <f t="shared" si="0"/>
        <v>Year for 2025</v>
      </c>
      <c r="G43" s="1"/>
      <c r="H43" s="1"/>
      <c r="I43" s="1"/>
      <c r="J43" s="1"/>
    </row>
    <row r="44" spans="2:10" x14ac:dyDescent="0.25">
      <c r="B44" s="60" t="s">
        <v>195</v>
      </c>
      <c r="C44" s="229"/>
      <c r="D44" s="232">
        <f>C75</f>
        <v>0</v>
      </c>
      <c r="E44" s="106">
        <f>D75</f>
        <v>0</v>
      </c>
      <c r="G44" s="1"/>
      <c r="H44" s="1"/>
      <c r="I44" s="1"/>
      <c r="J44" s="1"/>
    </row>
    <row r="45" spans="2:10" x14ac:dyDescent="0.25">
      <c r="B45" s="137" t="s">
        <v>197</v>
      </c>
      <c r="C45" s="139"/>
      <c r="D45" s="139"/>
      <c r="E45" s="50"/>
      <c r="G45" s="1"/>
      <c r="H45" s="1"/>
      <c r="I45" s="1"/>
      <c r="J45" s="1"/>
    </row>
    <row r="46" spans="2:10" x14ac:dyDescent="0.25">
      <c r="B46" s="60" t="s">
        <v>81</v>
      </c>
      <c r="C46" s="229"/>
      <c r="D46" s="232">
        <f>IF(inputPrYr!H37&gt;0,inputPrYr!H37,inputPrYr!E37)</f>
        <v>0</v>
      </c>
      <c r="E46" s="165" t="s">
        <v>66</v>
      </c>
      <c r="G46" s="1"/>
      <c r="H46" s="1"/>
      <c r="I46" s="1"/>
      <c r="J46" s="1"/>
    </row>
    <row r="47" spans="2:10" x14ac:dyDescent="0.25">
      <c r="B47" s="60" t="s">
        <v>82</v>
      </c>
      <c r="C47" s="229"/>
      <c r="D47" s="229"/>
      <c r="E47" s="42"/>
      <c r="G47" s="1"/>
      <c r="H47" s="1"/>
      <c r="I47" s="1"/>
      <c r="J47" s="1"/>
    </row>
    <row r="48" spans="2:10" x14ac:dyDescent="0.25">
      <c r="B48" s="60" t="s">
        <v>83</v>
      </c>
      <c r="C48" s="229"/>
      <c r="D48" s="229"/>
      <c r="E48" s="106" t="str">
        <f>Mvalloc!D27</f>
        <v xml:space="preserve">  </v>
      </c>
      <c r="G48" s="1"/>
      <c r="H48" s="1"/>
      <c r="I48" s="1"/>
      <c r="J48" s="1"/>
    </row>
    <row r="49" spans="2:11" x14ac:dyDescent="0.25">
      <c r="B49" s="60" t="s">
        <v>84</v>
      </c>
      <c r="C49" s="229"/>
      <c r="D49" s="229"/>
      <c r="E49" s="106" t="str">
        <f>Mvalloc!E27</f>
        <v xml:space="preserve">  </v>
      </c>
      <c r="G49" s="1"/>
      <c r="H49" s="1"/>
      <c r="I49" s="1"/>
      <c r="J49" s="1"/>
    </row>
    <row r="50" spans="2:11" x14ac:dyDescent="0.2">
      <c r="B50" s="139" t="s">
        <v>176</v>
      </c>
      <c r="C50" s="229"/>
      <c r="D50" s="229"/>
      <c r="E50" s="106" t="str">
        <f>Mvalloc!F27</f>
        <v xml:space="preserve">  </v>
      </c>
      <c r="G50" s="646" t="str">
        <f>CONCATENATE("Desired Carryover Into ",E1+1,"")</f>
        <v>Desired Carryover Into 2026</v>
      </c>
      <c r="H50" s="647"/>
      <c r="I50" s="647"/>
      <c r="J50" s="648"/>
    </row>
    <row r="51" spans="2:11" x14ac:dyDescent="0.2">
      <c r="B51" s="137" t="s">
        <v>348</v>
      </c>
      <c r="C51" s="229"/>
      <c r="D51" s="229"/>
      <c r="E51" s="106" t="str">
        <f>Mvalloc!G27</f>
        <v xml:space="preserve">  </v>
      </c>
      <c r="G51" s="298"/>
      <c r="H51" s="299"/>
      <c r="I51" s="300"/>
      <c r="J51" s="301"/>
    </row>
    <row r="52" spans="2:11" x14ac:dyDescent="0.2">
      <c r="B52" s="137" t="s">
        <v>349</v>
      </c>
      <c r="C52" s="229"/>
      <c r="D52" s="229"/>
      <c r="E52" s="106" t="str">
        <f>Mvalloc!H27</f>
        <v xml:space="preserve">  </v>
      </c>
      <c r="G52" s="302" t="s">
        <v>297</v>
      </c>
      <c r="H52" s="300"/>
      <c r="I52" s="300"/>
      <c r="J52" s="303">
        <v>0</v>
      </c>
    </row>
    <row r="53" spans="2:11" x14ac:dyDescent="0.2">
      <c r="B53" s="150"/>
      <c r="C53" s="229"/>
      <c r="D53" s="229"/>
      <c r="E53" s="42"/>
      <c r="G53" s="298" t="s">
        <v>298</v>
      </c>
      <c r="H53" s="299"/>
      <c r="I53" s="299"/>
      <c r="J53" s="304" t="str">
        <f>IF(J52=0,"",ROUND((J52+E81-G65)/inputOth!E6*1000,3)-G70)</f>
        <v/>
      </c>
    </row>
    <row r="54" spans="2:11" x14ac:dyDescent="0.2">
      <c r="B54" s="150"/>
      <c r="C54" s="229"/>
      <c r="D54" s="229"/>
      <c r="E54" s="42"/>
      <c r="G54" s="305" t="str">
        <f>CONCATENATE("",E1," Tot Exp/Non-Appr Must Be:")</f>
        <v>2025 Tot Exp/Non-Appr Must Be:</v>
      </c>
      <c r="H54" s="306"/>
      <c r="I54" s="307"/>
      <c r="J54" s="308">
        <f>IF(J52&gt;0,IF(E78&lt;E63,IF(J52=G65,E78,((J52-G65)*(1-D80))+E63),E78+(J52-G65)),0)</f>
        <v>0</v>
      </c>
    </row>
    <row r="55" spans="2:11" x14ac:dyDescent="0.2">
      <c r="B55" s="150"/>
      <c r="C55" s="229"/>
      <c r="D55" s="229"/>
      <c r="E55" s="42"/>
      <c r="G55" s="309" t="s">
        <v>318</v>
      </c>
      <c r="H55" s="310"/>
      <c r="I55" s="310"/>
      <c r="J55" s="311">
        <f>IF(J52&gt;0,J54-E78,0)</f>
        <v>0</v>
      </c>
    </row>
    <row r="56" spans="2:11" x14ac:dyDescent="0.25">
      <c r="B56" s="150"/>
      <c r="C56" s="229"/>
      <c r="D56" s="229"/>
      <c r="E56" s="42"/>
      <c r="G56" s="1"/>
      <c r="H56" s="1"/>
      <c r="I56" s="1"/>
      <c r="J56" s="1"/>
    </row>
    <row r="57" spans="2:11" x14ac:dyDescent="0.2">
      <c r="B57" s="150"/>
      <c r="C57" s="229"/>
      <c r="D57" s="229"/>
      <c r="E57" s="42"/>
      <c r="G57" s="646" t="str">
        <f>CONCATENATE("Projected Carryover Into ",E1+1,"")</f>
        <v>Projected Carryover Into 2026</v>
      </c>
      <c r="H57" s="668"/>
      <c r="I57" s="668"/>
      <c r="J57" s="667"/>
    </row>
    <row r="58" spans="2:11" x14ac:dyDescent="0.25">
      <c r="B58" s="142" t="s">
        <v>88</v>
      </c>
      <c r="C58" s="229"/>
      <c r="D58" s="229"/>
      <c r="E58" s="42"/>
      <c r="G58" s="327"/>
      <c r="H58" s="299"/>
      <c r="I58" s="299"/>
      <c r="J58" s="322"/>
    </row>
    <row r="59" spans="2:11" x14ac:dyDescent="0.25">
      <c r="B59" s="143" t="s">
        <v>40</v>
      </c>
      <c r="C59" s="229"/>
      <c r="D59" s="229"/>
      <c r="E59" s="106">
        <f>'NR Rebate'!E26*-1</f>
        <v>0</v>
      </c>
      <c r="G59" s="318">
        <f>D75</f>
        <v>0</v>
      </c>
      <c r="H59" s="316" t="str">
        <f>CONCATENATE("",E1-1," Ending Cash Balance (est.)")</f>
        <v>2024 Ending Cash Balance (est.)</v>
      </c>
      <c r="I59" s="319"/>
      <c r="J59" s="322"/>
    </row>
    <row r="60" spans="2:11" x14ac:dyDescent="0.25">
      <c r="B60" s="143" t="s">
        <v>38</v>
      </c>
      <c r="C60" s="229"/>
      <c r="D60" s="229"/>
      <c r="E60" s="42"/>
      <c r="G60" s="318">
        <f>E62</f>
        <v>0</v>
      </c>
      <c r="H60" s="300" t="str">
        <f>CONCATENATE("",E1," Non-AV Receipts (est.)")</f>
        <v>2025 Non-AV Receipts (est.)</v>
      </c>
      <c r="I60" s="319"/>
      <c r="J60" s="322"/>
    </row>
    <row r="61" spans="2:11" x14ac:dyDescent="0.25">
      <c r="B61" s="143" t="s">
        <v>291</v>
      </c>
      <c r="C61" s="230" t="str">
        <f>IF(C62*0.1&lt;C60,"Exceed 10% Rule","")</f>
        <v/>
      </c>
      <c r="D61" s="230" t="str">
        <f>IF(D62*0.1&lt;D60,"Exceed 10% Rule","")</f>
        <v/>
      </c>
      <c r="E61" s="170" t="str">
        <f>IF(E62*0.1+E81&lt;E60,"Exceed 10% Rule","")</f>
        <v/>
      </c>
      <c r="G61" s="320">
        <f>IF(E80&gt;0,E79,E81)</f>
        <v>0</v>
      </c>
      <c r="H61" s="300" t="str">
        <f>CONCATENATE("",E1," Ad Valorem Tax (est.)")</f>
        <v>2025 Ad Valorem Tax (est.)</v>
      </c>
      <c r="I61" s="319"/>
      <c r="J61" s="322"/>
      <c r="K61" s="314" t="str">
        <f>IF(G61=E81,"","Note: Does not include Delinquent Taxes")</f>
        <v/>
      </c>
    </row>
    <row r="62" spans="2:11" x14ac:dyDescent="0.25">
      <c r="B62" s="145" t="s">
        <v>89</v>
      </c>
      <c r="C62" s="463">
        <f>SUM(C46:C60)</f>
        <v>0</v>
      </c>
      <c r="D62" s="463">
        <f>SUM(D46:D60)</f>
        <v>0</v>
      </c>
      <c r="E62" s="463">
        <f>SUM(E46:E60)</f>
        <v>0</v>
      </c>
      <c r="G62" s="328">
        <f>SUM(G59:G61)</f>
        <v>0</v>
      </c>
      <c r="H62" s="300" t="str">
        <f>CONCATENATE("Total ",E1," Resources Available")</f>
        <v>Total 2025 Resources Available</v>
      </c>
      <c r="I62" s="329"/>
      <c r="J62" s="322"/>
    </row>
    <row r="63" spans="2:11" x14ac:dyDescent="0.25">
      <c r="B63" s="145" t="s">
        <v>90</v>
      </c>
      <c r="C63" s="463">
        <f>C44+C62</f>
        <v>0</v>
      </c>
      <c r="D63" s="463">
        <f>D44+D62</f>
        <v>0</v>
      </c>
      <c r="E63" s="463">
        <f>E44+E62</f>
        <v>0</v>
      </c>
      <c r="G63" s="330"/>
      <c r="H63" s="331"/>
      <c r="I63" s="299"/>
      <c r="J63" s="322"/>
    </row>
    <row r="64" spans="2:11" x14ac:dyDescent="0.25">
      <c r="B64" s="60" t="s">
        <v>93</v>
      </c>
      <c r="C64" s="143"/>
      <c r="D64" s="143"/>
      <c r="E64" s="38"/>
      <c r="G64" s="332">
        <f>ROUND(C74*0.05+C74,0)</f>
        <v>0</v>
      </c>
      <c r="H64" s="300" t="str">
        <f>CONCATENATE("Less ",E1-2," Expenditures + 5%")</f>
        <v>Less 2023 Expenditures + 5%</v>
      </c>
      <c r="I64" s="329"/>
      <c r="J64" s="322"/>
    </row>
    <row r="65" spans="2:10" x14ac:dyDescent="0.25">
      <c r="B65" s="150"/>
      <c r="C65" s="229"/>
      <c r="D65" s="229"/>
      <c r="E65" s="42"/>
      <c r="G65" s="333">
        <f>G62-G64</f>
        <v>0</v>
      </c>
      <c r="H65" s="324" t="str">
        <f>CONCATENATE("Projected ",E1+1," carryover (est.)")</f>
        <v>Projected 2026 carryover (est.)</v>
      </c>
      <c r="I65" s="334"/>
      <c r="J65" s="335"/>
    </row>
    <row r="66" spans="2:10" x14ac:dyDescent="0.25">
      <c r="B66" s="150"/>
      <c r="C66" s="229"/>
      <c r="D66" s="229"/>
      <c r="E66" s="42"/>
      <c r="G66" s="1"/>
      <c r="H66" s="1"/>
      <c r="I66" s="1"/>
      <c r="J66" s="1"/>
    </row>
    <row r="67" spans="2:10" x14ac:dyDescent="0.2">
      <c r="B67" s="150"/>
      <c r="C67" s="229"/>
      <c r="D67" s="229"/>
      <c r="E67" s="42"/>
      <c r="G67" s="649" t="s">
        <v>558</v>
      </c>
      <c r="H67" s="650"/>
      <c r="I67" s="650"/>
      <c r="J67" s="651"/>
    </row>
    <row r="68" spans="2:10" x14ac:dyDescent="0.2">
      <c r="B68" s="150"/>
      <c r="C68" s="229"/>
      <c r="D68" s="229"/>
      <c r="E68" s="42"/>
      <c r="G68" s="652"/>
      <c r="H68" s="653"/>
      <c r="I68" s="653"/>
      <c r="J68" s="654"/>
    </row>
    <row r="69" spans="2:10" x14ac:dyDescent="0.2">
      <c r="B69" s="150"/>
      <c r="C69" s="229"/>
      <c r="D69" s="229"/>
      <c r="E69" s="42"/>
      <c r="G69" s="509" t="str">
        <f>'Budget Hearing Notice'!H36</f>
        <v xml:space="preserve">  </v>
      </c>
      <c r="H69" s="316" t="str">
        <f>CONCATENATE("",E1," Estimated Fund Mill Rate")</f>
        <v>2025 Estimated Fund Mill Rate</v>
      </c>
      <c r="I69" s="510"/>
      <c r="J69" s="511"/>
    </row>
    <row r="70" spans="2:10" x14ac:dyDescent="0.2">
      <c r="B70" s="150"/>
      <c r="C70" s="229"/>
      <c r="D70" s="229"/>
      <c r="E70" s="42"/>
      <c r="G70" s="512" t="str">
        <f>'Budget Hearing Notice'!E36</f>
        <v xml:space="preserve">  </v>
      </c>
      <c r="H70" s="316" t="str">
        <f>CONCATENATE("",E1-1," Fund Mill Rate")</f>
        <v>2024 Fund Mill Rate</v>
      </c>
      <c r="I70" s="510"/>
      <c r="J70" s="511"/>
    </row>
    <row r="71" spans="2:10" x14ac:dyDescent="0.2">
      <c r="B71" s="143" t="str">
        <f>CONCATENATE("Cash Reserve (",E1," column)")</f>
        <v>Cash Reserve (2025 column)</v>
      </c>
      <c r="C71" s="229"/>
      <c r="D71" s="229"/>
      <c r="E71" s="42"/>
      <c r="G71" s="513">
        <f>'Budget Hearing Notice'!H62</f>
        <v>0</v>
      </c>
      <c r="H71" s="514" t="s">
        <v>559</v>
      </c>
      <c r="I71" s="510"/>
      <c r="J71" s="511"/>
    </row>
    <row r="72" spans="2:10" x14ac:dyDescent="0.2">
      <c r="B72" s="143" t="s">
        <v>38</v>
      </c>
      <c r="C72" s="229"/>
      <c r="D72" s="229"/>
      <c r="E72" s="42"/>
      <c r="G72" s="509">
        <f>'Budget Hearing Notice'!H61</f>
        <v>0</v>
      </c>
      <c r="H72" s="316" t="str">
        <f>CONCATENATE(E1," Estimated Total Mill Rate")</f>
        <v>2025 Estimated Total Mill Rate</v>
      </c>
      <c r="I72" s="510"/>
      <c r="J72" s="511"/>
    </row>
    <row r="73" spans="2:10" x14ac:dyDescent="0.2">
      <c r="B73" s="143" t="s">
        <v>290</v>
      </c>
      <c r="C73" s="230" t="str">
        <f>IF(C74*0.1&lt;C72,"Exceed 10% Rule","")</f>
        <v/>
      </c>
      <c r="D73" s="230" t="str">
        <f>IF(D74*0.1&lt;D72,"Exceed 10% Rule","")</f>
        <v/>
      </c>
      <c r="E73" s="170" t="str">
        <f>IF(E74*0.1&lt;E72,"Exceed 10% Rule","")</f>
        <v/>
      </c>
      <c r="G73" s="515">
        <f>'Budget Hearing Notice'!E61</f>
        <v>0</v>
      </c>
      <c r="H73" s="316" t="str">
        <f>CONCATENATE(E1-1," Total Mill Rate")</f>
        <v>2024 Total Mill Rate</v>
      </c>
      <c r="I73" s="510"/>
      <c r="J73" s="511"/>
    </row>
    <row r="74" spans="2:10" x14ac:dyDescent="0.2">
      <c r="B74" s="145" t="s">
        <v>94</v>
      </c>
      <c r="C74" s="463">
        <f>SUM(C65:C72)</f>
        <v>0</v>
      </c>
      <c r="D74" s="463">
        <f>SUM(D65:D72)</f>
        <v>0</v>
      </c>
      <c r="E74" s="463">
        <f>SUM(E65:E72)</f>
        <v>0</v>
      </c>
      <c r="G74" s="327"/>
      <c r="H74" s="299"/>
      <c r="I74" s="299"/>
      <c r="J74" s="329"/>
    </row>
    <row r="75" spans="2:10" x14ac:dyDescent="0.2">
      <c r="B75" s="60" t="s">
        <v>196</v>
      </c>
      <c r="C75" s="106">
        <f>C63-C74</f>
        <v>0</v>
      </c>
      <c r="D75" s="106">
        <f>D63-D74</f>
        <v>0</v>
      </c>
      <c r="E75" s="165" t="s">
        <v>66</v>
      </c>
      <c r="G75" s="655" t="s">
        <v>560</v>
      </c>
      <c r="H75" s="656"/>
      <c r="I75" s="656"/>
      <c r="J75" s="659" t="str">
        <f>IF(G72&gt;G71, "Yes", "No")</f>
        <v>No</v>
      </c>
    </row>
    <row r="76" spans="2:10" x14ac:dyDescent="0.2">
      <c r="B76" s="135" t="str">
        <f>CONCATENATE("",E1-2,"/",E1-1,"/",E1," Budget Authority Amount:")</f>
        <v>2023/2024/2025 Budget Authority Amount:</v>
      </c>
      <c r="C76" s="167">
        <f>inputOth!B53</f>
        <v>0</v>
      </c>
      <c r="D76" s="167">
        <f>inputPrYr!D37</f>
        <v>0</v>
      </c>
      <c r="E76" s="106">
        <f>E74</f>
        <v>0</v>
      </c>
      <c r="G76" s="657"/>
      <c r="H76" s="658"/>
      <c r="I76" s="658"/>
      <c r="J76" s="660"/>
    </row>
    <row r="77" spans="2:10" x14ac:dyDescent="0.2">
      <c r="B77" s="125"/>
      <c r="C77" s="636" t="s">
        <v>294</v>
      </c>
      <c r="D77" s="637"/>
      <c r="E77" s="42"/>
      <c r="G77" s="661" t="str">
        <f>IF(J75="Yes", "Follow procedure prescribed by KSA 79-2988 to exceed the Revenue Neutral Rate.", " ")</f>
        <v xml:space="preserve"> </v>
      </c>
      <c r="H77" s="661"/>
      <c r="I77" s="661"/>
      <c r="J77" s="661"/>
    </row>
    <row r="78" spans="2:10" x14ac:dyDescent="0.2">
      <c r="B78" s="266" t="str">
        <f>CONCATENATE(C99,"     ",D99)</f>
        <v xml:space="preserve">     </v>
      </c>
      <c r="C78" s="638" t="s">
        <v>295</v>
      </c>
      <c r="D78" s="639"/>
      <c r="E78" s="106">
        <f>E74+E77</f>
        <v>0</v>
      </c>
      <c r="G78" s="662"/>
      <c r="H78" s="662"/>
      <c r="I78" s="662"/>
      <c r="J78" s="662"/>
    </row>
    <row r="79" spans="2:10" x14ac:dyDescent="0.2">
      <c r="B79" s="266" t="str">
        <f>CONCATENATE(C100,"     ",D100)</f>
        <v xml:space="preserve">     </v>
      </c>
      <c r="C79" s="152"/>
      <c r="D79" s="90" t="s">
        <v>95</v>
      </c>
      <c r="E79" s="106">
        <f>IF(E78-E63&gt;0,E78-E63,0)</f>
        <v>0</v>
      </c>
      <c r="F79" s="151"/>
      <c r="G79" s="662"/>
      <c r="H79" s="662"/>
      <c r="I79" s="662"/>
      <c r="J79" s="662"/>
    </row>
    <row r="80" spans="2:10" x14ac:dyDescent="0.2">
      <c r="B80" s="90"/>
      <c r="C80" s="265" t="s">
        <v>296</v>
      </c>
      <c r="D80" s="297">
        <f>inputOth!$E$26</f>
        <v>0</v>
      </c>
      <c r="E80" s="106">
        <f>ROUND(IF(D80&gt;0,($E$79*D80),0),0)</f>
        <v>0</v>
      </c>
      <c r="F80" s="238" t="str">
        <f>IF(E74/0.95-E74&lt;E77,"Exceeds 5%","")</f>
        <v/>
      </c>
    </row>
    <row r="81" spans="2:5" x14ac:dyDescent="0.2">
      <c r="B81" s="26"/>
      <c r="C81" s="644" t="str">
        <f>CONCATENATE("Amount of  ",$E$1-1," Ad Valorem Tax")</f>
        <v>Amount of  2024 Ad Valorem Tax</v>
      </c>
      <c r="D81" s="663"/>
      <c r="E81" s="106">
        <f>E79+E80</f>
        <v>0</v>
      </c>
    </row>
    <row r="82" spans="2:5" x14ac:dyDescent="0.2">
      <c r="B82" s="26"/>
      <c r="C82" s="125"/>
      <c r="D82" s="26"/>
      <c r="E82" s="125"/>
    </row>
    <row r="83" spans="2:5" x14ac:dyDescent="0.2">
      <c r="B83" s="423" t="s">
        <v>354</v>
      </c>
      <c r="C83" s="402"/>
      <c r="D83" s="347"/>
      <c r="E83" s="409"/>
    </row>
    <row r="84" spans="2:5" x14ac:dyDescent="0.2">
      <c r="B84" s="126"/>
      <c r="C84" s="125"/>
      <c r="D84" s="26"/>
      <c r="E84" s="410"/>
    </row>
    <row r="85" spans="2:5" x14ac:dyDescent="0.2">
      <c r="B85" s="403"/>
      <c r="C85" s="408"/>
      <c r="D85" s="44"/>
      <c r="E85" s="411"/>
    </row>
    <row r="86" spans="2:5" x14ac:dyDescent="0.2">
      <c r="B86" s="26"/>
      <c r="C86" s="125"/>
      <c r="D86" s="26"/>
      <c r="E86" s="125"/>
    </row>
    <row r="87" spans="2:5" x14ac:dyDescent="0.2">
      <c r="B87" s="125" t="s">
        <v>146</v>
      </c>
      <c r="C87" s="368"/>
      <c r="D87" s="26"/>
      <c r="E87" s="26"/>
    </row>
    <row r="95" spans="2:5" hidden="1" x14ac:dyDescent="0.2"/>
    <row r="96" spans="2:5" hidden="1" x14ac:dyDescent="0.2"/>
    <row r="97" spans="3:4" hidden="1" x14ac:dyDescent="0.2">
      <c r="C97" s="23" t="str">
        <f>IF(C33&gt;C35,"See Tab A","")</f>
        <v/>
      </c>
      <c r="D97" s="23" t="str">
        <f>IF(D33&gt;D35,"See Tab C","")</f>
        <v/>
      </c>
    </row>
    <row r="98" spans="3:4" hidden="1" x14ac:dyDescent="0.2">
      <c r="C98" s="23" t="str">
        <f>IF(C34&lt;0,"See Tab B","")</f>
        <v/>
      </c>
      <c r="D98" s="23" t="str">
        <f>IF(D34&lt;0,"See Tab D","")</f>
        <v/>
      </c>
    </row>
    <row r="99" spans="3:4" x14ac:dyDescent="0.2">
      <c r="C99" s="23" t="str">
        <f>IF(C74&gt;C76,"See Tab A","")</f>
        <v/>
      </c>
      <c r="D99" s="23" t="str">
        <f>IF(D74&gt;D76,"See Tab C","")</f>
        <v/>
      </c>
    </row>
    <row r="100" spans="3:4" x14ac:dyDescent="0.2">
      <c r="C100" s="23" t="str">
        <f>IF(C75&lt;0,"See Tab B","")</f>
        <v/>
      </c>
      <c r="D100" s="23" t="str">
        <f>IF(D75&lt;0,"See Tab D","")</f>
        <v/>
      </c>
    </row>
  </sheetData>
  <sheetProtection sheet="1" objects="1" scenarios="1"/>
  <mergeCells count="18">
    <mergeCell ref="G75:I76"/>
    <mergeCell ref="J75:J76"/>
    <mergeCell ref="G10:J10"/>
    <mergeCell ref="G17:J17"/>
    <mergeCell ref="G50:J50"/>
    <mergeCell ref="G57:J57"/>
    <mergeCell ref="C81:D81"/>
    <mergeCell ref="C40:D40"/>
    <mergeCell ref="C36:D36"/>
    <mergeCell ref="C37:D37"/>
    <mergeCell ref="C77:D77"/>
    <mergeCell ref="C78:D78"/>
    <mergeCell ref="G77:J79"/>
    <mergeCell ref="G27:J28"/>
    <mergeCell ref="G35:I36"/>
    <mergeCell ref="J35:J36"/>
    <mergeCell ref="G37:J39"/>
    <mergeCell ref="G67:J68"/>
  </mergeCells>
  <phoneticPr fontId="0" type="noConversion"/>
  <conditionalFormatting sqref="C20">
    <cfRule type="cellIs" dxfId="165" priority="30" stopIfTrue="1" operator="greaterThan">
      <formula>$C$22*0.1</formula>
    </cfRule>
  </conditionalFormatting>
  <conditionalFormatting sqref="C31">
    <cfRule type="cellIs" dxfId="164" priority="27" stopIfTrue="1" operator="greaterThan">
      <formula>$C$33*0.1</formula>
    </cfRule>
  </conditionalFormatting>
  <conditionalFormatting sqref="C33">
    <cfRule type="cellIs" dxfId="163" priority="6" stopIfTrue="1" operator="greaterThan">
      <formula>$C$34</formula>
    </cfRule>
  </conditionalFormatting>
  <conditionalFormatting sqref="C60">
    <cfRule type="cellIs" dxfId="162" priority="23" stopIfTrue="1" operator="greaterThan">
      <formula>$C$62*0.1</formula>
    </cfRule>
  </conditionalFormatting>
  <conditionalFormatting sqref="C72">
    <cfRule type="cellIs" dxfId="161" priority="20" stopIfTrue="1" operator="greaterThan">
      <formula>$C$74*0.1</formula>
    </cfRule>
  </conditionalFormatting>
  <conditionalFormatting sqref="C74">
    <cfRule type="cellIs" dxfId="160" priority="7" stopIfTrue="1" operator="greaterThan">
      <formula>$C$76</formula>
    </cfRule>
  </conditionalFormatting>
  <conditionalFormatting sqref="C34:D34">
    <cfRule type="cellIs" dxfId="159" priority="1" stopIfTrue="1" operator="lessThan">
      <formula>0</formula>
    </cfRule>
  </conditionalFormatting>
  <conditionalFormatting sqref="C75:D75">
    <cfRule type="cellIs" dxfId="158" priority="3" stopIfTrue="1" operator="lessThan">
      <formula>0</formula>
    </cfRule>
  </conditionalFormatting>
  <conditionalFormatting sqref="D20">
    <cfRule type="cellIs" dxfId="157" priority="31" stopIfTrue="1" operator="greaterThan">
      <formula>$D$22*0.1</formula>
    </cfRule>
  </conditionalFormatting>
  <conditionalFormatting sqref="D31">
    <cfRule type="cellIs" dxfId="156" priority="28" stopIfTrue="1" operator="greaterThan">
      <formula>$D$33*0.1</formula>
    </cfRule>
  </conditionalFormatting>
  <conditionalFormatting sqref="D33">
    <cfRule type="cellIs" dxfId="155" priority="5" stopIfTrue="1" operator="greaterThan">
      <formula>$D$34</formula>
    </cfRule>
  </conditionalFormatting>
  <conditionalFormatting sqref="D60">
    <cfRule type="cellIs" dxfId="154" priority="24" stopIfTrue="1" operator="greaterThan">
      <formula>$D$62*0.1</formula>
    </cfRule>
  </conditionalFormatting>
  <conditionalFormatting sqref="D72">
    <cfRule type="cellIs" dxfId="153" priority="21" stopIfTrue="1" operator="greaterThan">
      <formula>$D$74*0.1</formula>
    </cfRule>
  </conditionalFormatting>
  <conditionalFormatting sqref="D74">
    <cfRule type="cellIs" dxfId="152" priority="8" stopIfTrue="1" operator="greaterThan">
      <formula>$D$76</formula>
    </cfRule>
  </conditionalFormatting>
  <conditionalFormatting sqref="E20">
    <cfRule type="cellIs" dxfId="151" priority="29" stopIfTrue="1" operator="greaterThan">
      <formula>$E$22*0.1+E40</formula>
    </cfRule>
  </conditionalFormatting>
  <conditionalFormatting sqref="E31">
    <cfRule type="cellIs" dxfId="150" priority="16" stopIfTrue="1" operator="greaterThan">
      <formula>$E$33*0.1</formula>
    </cfRule>
  </conditionalFormatting>
  <conditionalFormatting sqref="E36">
    <cfRule type="cellIs" dxfId="149" priority="15" stopIfTrue="1" operator="greaterThan">
      <formula>$E$33/0.95-$E$33</formula>
    </cfRule>
  </conditionalFormatting>
  <conditionalFormatting sqref="E60">
    <cfRule type="cellIs" dxfId="148" priority="22" stopIfTrue="1" operator="greaterThan">
      <formula>$E$62*0.1+E81</formula>
    </cfRule>
  </conditionalFormatting>
  <conditionalFormatting sqref="E72">
    <cfRule type="cellIs" dxfId="147" priority="13" stopIfTrue="1" operator="greaterThan">
      <formula>$E$74*0.1</formula>
    </cfRule>
  </conditionalFormatting>
  <conditionalFormatting sqref="E77">
    <cfRule type="cellIs" dxfId="146" priority="14" stopIfTrue="1" operator="greaterThan">
      <formula>$E$74/0.95-$E$74</formula>
    </cfRule>
  </conditionalFormatting>
  <conditionalFormatting sqref="J35">
    <cfRule type="containsText" dxfId="145" priority="9" operator="containsText" text="Yes">
      <formula>NOT(ISERROR(SEARCH("Yes",J35)))</formula>
    </cfRule>
  </conditionalFormatting>
  <conditionalFormatting sqref="J75">
    <cfRule type="containsText" dxfId="144" priority="10" operator="containsText" text="Yes">
      <formula>NOT(ISERROR(SEARCH("Yes",J75)))</formula>
    </cfRule>
  </conditionalFormatting>
  <pageMargins left="1.1200000000000001" right="0.5" top="0.74" bottom="0.34" header="0.5" footer="0"/>
  <pageSetup scale="51" orientation="portrait" blackAndWhite="1" horizontalDpi="120" verticalDpi="144" r:id="rId1"/>
  <headerFooter alignWithMargins="0">
    <oddHeader xml:space="preserve">&amp;RState of Kansas
County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2">
    <tabColor rgb="FF00B0F0"/>
    <pageSetUpPr fitToPage="1"/>
  </sheetPr>
  <dimension ref="B1:K97"/>
  <sheetViews>
    <sheetView zoomScaleNormal="100" workbookViewId="0">
      <selection activeCell="C31" sqref="C31:E31"/>
    </sheetView>
  </sheetViews>
  <sheetFormatPr defaultRowHeight="15.75" x14ac:dyDescent="0.2"/>
  <cols>
    <col min="1" max="1" width="2.44140625" style="23" customWidth="1"/>
    <col min="2" max="2" width="31.109375" style="23" customWidth="1"/>
    <col min="3" max="4" width="15.77734375" style="23" customWidth="1"/>
    <col min="5" max="5" width="16.21875" style="23" customWidth="1"/>
    <col min="6" max="6" width="8.88671875" style="23"/>
    <col min="7" max="7" width="10.21875" style="23" customWidth="1"/>
    <col min="8" max="8" width="8.88671875" style="23"/>
    <col min="9" max="9" width="5.88671875" style="23" customWidth="1"/>
    <col min="10" max="10" width="10" style="23" customWidth="1"/>
    <col min="11" max="16384" width="8.88671875" style="23"/>
  </cols>
  <sheetData>
    <row r="1" spans="2:10" x14ac:dyDescent="0.2">
      <c r="B1" s="57">
        <f>inputPrYr!C4</f>
        <v>0</v>
      </c>
      <c r="C1" s="26"/>
      <c r="D1" s="26"/>
      <c r="E1" s="125">
        <f>inputPrYr!C5</f>
        <v>2025</v>
      </c>
    </row>
    <row r="2" spans="2:10" x14ac:dyDescent="0.2">
      <c r="B2" s="64"/>
      <c r="C2" s="161"/>
      <c r="D2" s="161"/>
      <c r="E2" s="162"/>
    </row>
    <row r="3" spans="2:10" x14ac:dyDescent="0.2">
      <c r="B3" s="338" t="s">
        <v>185</v>
      </c>
      <c r="C3" s="155"/>
      <c r="D3" s="155"/>
      <c r="E3" s="155"/>
    </row>
    <row r="4" spans="2:10" x14ac:dyDescent="0.2">
      <c r="B4" s="25" t="s">
        <v>80</v>
      </c>
      <c r="C4" s="339" t="s">
        <v>319</v>
      </c>
      <c r="D4" s="340" t="s">
        <v>320</v>
      </c>
      <c r="E4" s="80" t="s">
        <v>321</v>
      </c>
    </row>
    <row r="5" spans="2:10" x14ac:dyDescent="0.2">
      <c r="B5" s="57">
        <f>inputPrYr!B38</f>
        <v>0</v>
      </c>
      <c r="C5" s="231" t="str">
        <f>CONCATENATE("Actual for ",E1-2,"")</f>
        <v>Actual for 2023</v>
      </c>
      <c r="D5" s="231" t="str">
        <f>CONCATENATE("Estimate for ",E1-1,"")</f>
        <v>Estimate for 2024</v>
      </c>
      <c r="E5" s="136" t="str">
        <f>CONCATENATE("Year for ",E1,"")</f>
        <v>Year for 2025</v>
      </c>
    </row>
    <row r="6" spans="2:10" x14ac:dyDescent="0.2">
      <c r="B6" s="60" t="s">
        <v>195</v>
      </c>
      <c r="C6" s="229"/>
      <c r="D6" s="232">
        <f>C34</f>
        <v>0</v>
      </c>
      <c r="E6" s="106">
        <f>D34</f>
        <v>0</v>
      </c>
    </row>
    <row r="7" spans="2:10" x14ac:dyDescent="0.2">
      <c r="B7" s="128" t="s">
        <v>197</v>
      </c>
      <c r="C7" s="139"/>
      <c r="D7" s="139"/>
      <c r="E7" s="50"/>
    </row>
    <row r="8" spans="2:10" x14ac:dyDescent="0.2">
      <c r="B8" s="60" t="s">
        <v>81</v>
      </c>
      <c r="C8" s="229"/>
      <c r="D8" s="232">
        <f>IF(inputPrYr!H38&gt;0,inputPrYr!H38,inputPrYr!E38)</f>
        <v>0</v>
      </c>
      <c r="E8" s="165" t="s">
        <v>66</v>
      </c>
    </row>
    <row r="9" spans="2:10" x14ac:dyDescent="0.2">
      <c r="B9" s="60" t="s">
        <v>82</v>
      </c>
      <c r="C9" s="229"/>
      <c r="D9" s="229"/>
      <c r="E9" s="42"/>
      <c r="G9" s="646" t="str">
        <f>CONCATENATE("Desired Carryover Into ",E1+1,"")</f>
        <v>Desired Carryover Into 2026</v>
      </c>
      <c r="H9" s="647"/>
      <c r="I9" s="647"/>
      <c r="J9" s="648"/>
    </row>
    <row r="10" spans="2:10" x14ac:dyDescent="0.2">
      <c r="B10" s="60" t="s">
        <v>83</v>
      </c>
      <c r="C10" s="229"/>
      <c r="D10" s="229"/>
      <c r="E10" s="106" t="str">
        <f>Mvalloc!D28</f>
        <v xml:space="preserve">  </v>
      </c>
      <c r="G10" s="298"/>
      <c r="H10" s="299"/>
      <c r="I10" s="300"/>
      <c r="J10" s="301"/>
    </row>
    <row r="11" spans="2:10" x14ac:dyDescent="0.2">
      <c r="B11" s="60" t="s">
        <v>84</v>
      </c>
      <c r="C11" s="229"/>
      <c r="D11" s="229"/>
      <c r="E11" s="106" t="str">
        <f>Mvalloc!E28</f>
        <v xml:space="preserve">  </v>
      </c>
      <c r="G11" s="302" t="s">
        <v>297</v>
      </c>
      <c r="H11" s="300"/>
      <c r="I11" s="300"/>
      <c r="J11" s="303">
        <v>0</v>
      </c>
    </row>
    <row r="12" spans="2:10" x14ac:dyDescent="0.2">
      <c r="B12" s="139" t="s">
        <v>176</v>
      </c>
      <c r="C12" s="229"/>
      <c r="D12" s="229"/>
      <c r="E12" s="106" t="str">
        <f>Mvalloc!F28</f>
        <v xml:space="preserve">  </v>
      </c>
      <c r="G12" s="298" t="s">
        <v>298</v>
      </c>
      <c r="H12" s="299"/>
      <c r="I12" s="299"/>
      <c r="J12" s="304" t="str">
        <f>IF(J11=0,"",ROUND((J11+E40-G24)/inputOth!E6*1000,3)-G29)</f>
        <v/>
      </c>
    </row>
    <row r="13" spans="2:10" x14ac:dyDescent="0.2">
      <c r="B13" s="137" t="s">
        <v>348</v>
      </c>
      <c r="C13" s="229"/>
      <c r="D13" s="229"/>
      <c r="E13" s="106" t="str">
        <f>Mvalloc!G28</f>
        <v xml:space="preserve">  </v>
      </c>
      <c r="G13" s="305" t="str">
        <f>CONCATENATE("",E1," Tot Exp/Non-Appr Must Be:")</f>
        <v>2025 Tot Exp/Non-Appr Must Be:</v>
      </c>
      <c r="H13" s="306"/>
      <c r="I13" s="307"/>
      <c r="J13" s="308">
        <f>IF(J11&gt;0,IF(E37&lt;E23,IF(J11=G24,E37,((J11-G24)*(1-D39))+E23),E37+(J11-G24)),0)</f>
        <v>0</v>
      </c>
    </row>
    <row r="14" spans="2:10" x14ac:dyDescent="0.2">
      <c r="B14" s="137" t="s">
        <v>349</v>
      </c>
      <c r="C14" s="229"/>
      <c r="D14" s="229"/>
      <c r="E14" s="106" t="str">
        <f>Mvalloc!H28</f>
        <v xml:space="preserve">  </v>
      </c>
      <c r="G14" s="309" t="s">
        <v>318</v>
      </c>
      <c r="H14" s="310"/>
      <c r="I14" s="310"/>
      <c r="J14" s="311">
        <f>IF(J11&gt;0,J13-E37,0)</f>
        <v>0</v>
      </c>
    </row>
    <row r="15" spans="2:10" x14ac:dyDescent="0.25">
      <c r="B15" s="150"/>
      <c r="C15" s="229"/>
      <c r="D15" s="229"/>
      <c r="E15" s="42"/>
      <c r="G15" s="1"/>
      <c r="H15" s="1"/>
      <c r="I15" s="1"/>
      <c r="J15" s="1"/>
    </row>
    <row r="16" spans="2:10" x14ac:dyDescent="0.2">
      <c r="B16" s="150"/>
      <c r="C16" s="229"/>
      <c r="D16" s="229"/>
      <c r="E16" s="42"/>
      <c r="G16" s="646" t="str">
        <f>CONCATENATE("Projected Carryover Into ",E1+1,"")</f>
        <v>Projected Carryover Into 2026</v>
      </c>
      <c r="H16" s="666"/>
      <c r="I16" s="666"/>
      <c r="J16" s="667"/>
    </row>
    <row r="17" spans="2:11" x14ac:dyDescent="0.2">
      <c r="B17" s="150"/>
      <c r="C17" s="229"/>
      <c r="D17" s="229"/>
      <c r="E17" s="42"/>
      <c r="G17" s="298"/>
      <c r="H17" s="300"/>
      <c r="I17" s="300"/>
      <c r="J17" s="317"/>
    </row>
    <row r="18" spans="2:11" x14ac:dyDescent="0.2">
      <c r="B18" s="142" t="s">
        <v>88</v>
      </c>
      <c r="C18" s="229"/>
      <c r="D18" s="229"/>
      <c r="E18" s="42"/>
      <c r="G18" s="318">
        <f>D34</f>
        <v>0</v>
      </c>
      <c r="H18" s="316" t="str">
        <f>CONCATENATE("",E1-1," Ending Cash Balance (est.)")</f>
        <v>2024 Ending Cash Balance (est.)</v>
      </c>
      <c r="I18" s="319"/>
      <c r="J18" s="317"/>
    </row>
    <row r="19" spans="2:11" x14ac:dyDescent="0.2">
      <c r="B19" s="143" t="s">
        <v>40</v>
      </c>
      <c r="C19" s="229"/>
      <c r="D19" s="229"/>
      <c r="E19" s="106">
        <f>'NR Rebate'!E27*-1</f>
        <v>0</v>
      </c>
      <c r="G19" s="318">
        <f>E22</f>
        <v>0</v>
      </c>
      <c r="H19" s="300" t="str">
        <f>CONCATENATE("",E1," Non-AV Receipts (est.)")</f>
        <v>2025 Non-AV Receipts (est.)</v>
      </c>
      <c r="I19" s="319"/>
      <c r="J19" s="317"/>
    </row>
    <row r="20" spans="2:11" x14ac:dyDescent="0.2">
      <c r="B20" s="143" t="s">
        <v>38</v>
      </c>
      <c r="C20" s="229"/>
      <c r="D20" s="229"/>
      <c r="E20" s="42"/>
      <c r="G20" s="320">
        <f>IF(E39&gt;0,E38,E40)</f>
        <v>0</v>
      </c>
      <c r="H20" s="300" t="str">
        <f>CONCATENATE("",E1," Ad Valorem Tax (est.)")</f>
        <v>2025 Ad Valorem Tax (est.)</v>
      </c>
      <c r="I20" s="319"/>
      <c r="J20" s="317"/>
      <c r="K20" s="314" t="str">
        <f>IF(G20=E40,"","Note: Does not include Delinquent Taxes")</f>
        <v/>
      </c>
    </row>
    <row r="21" spans="2:11" x14ac:dyDescent="0.2">
      <c r="B21" s="143" t="s">
        <v>39</v>
      </c>
      <c r="C21" s="230" t="str">
        <f>IF(C22*0.1&lt;C20,"Exceed 10% Rule","")</f>
        <v/>
      </c>
      <c r="D21" s="230" t="str">
        <f>IF(D22*0.1&lt;D20,"Exceed 10% Rule","")</f>
        <v/>
      </c>
      <c r="E21" s="170" t="str">
        <f>IF(E22*0.1+E40&lt;E20,"Exceed 10% Rule","")</f>
        <v/>
      </c>
      <c r="G21" s="318">
        <f>SUM(G18:G20)</f>
        <v>0</v>
      </c>
      <c r="H21" s="300" t="str">
        <f>CONCATENATE("Total ",E1," Resources Available")</f>
        <v>Total 2025 Resources Available</v>
      </c>
      <c r="I21" s="319"/>
      <c r="J21" s="317"/>
    </row>
    <row r="22" spans="2:11" x14ac:dyDescent="0.2">
      <c r="B22" s="145" t="s">
        <v>89</v>
      </c>
      <c r="C22" s="463">
        <f>SUM(C8:C20)</f>
        <v>0</v>
      </c>
      <c r="D22" s="463">
        <f>SUM(D8:D20)</f>
        <v>0</v>
      </c>
      <c r="E22" s="463">
        <f>SUM(E8:E20)</f>
        <v>0</v>
      </c>
      <c r="G22" s="321"/>
      <c r="H22" s="300"/>
      <c r="I22" s="300"/>
      <c r="J22" s="317"/>
    </row>
    <row r="23" spans="2:11" x14ac:dyDescent="0.25">
      <c r="B23" s="145" t="s">
        <v>90</v>
      </c>
      <c r="C23" s="463">
        <f>C6+C22</f>
        <v>0</v>
      </c>
      <c r="D23" s="463">
        <f>D6+D22</f>
        <v>0</v>
      </c>
      <c r="E23" s="463">
        <f>E6+E22</f>
        <v>0</v>
      </c>
      <c r="G23" s="320">
        <f>ROUND(C33*0.05+C33,0)</f>
        <v>0</v>
      </c>
      <c r="H23" s="300" t="str">
        <f>CONCATENATE("Less ",E1-2," Expenditures + 5%")</f>
        <v>Less 2023 Expenditures + 5%</v>
      </c>
      <c r="I23" s="319"/>
      <c r="J23" s="322"/>
    </row>
    <row r="24" spans="2:11" x14ac:dyDescent="0.2">
      <c r="B24" s="60" t="s">
        <v>93</v>
      </c>
      <c r="C24" s="143"/>
      <c r="D24" s="143"/>
      <c r="E24" s="38"/>
      <c r="G24" s="323">
        <f>G21-G23</f>
        <v>0</v>
      </c>
      <c r="H24" s="324" t="str">
        <f>CONCATENATE("Projected ",E1+1," carryover (est.)")</f>
        <v>Projected 2026 carryover (est.)</v>
      </c>
      <c r="I24" s="325"/>
      <c r="J24" s="326"/>
    </row>
    <row r="25" spans="2:11" x14ac:dyDescent="0.25">
      <c r="B25" s="150"/>
      <c r="C25" s="229"/>
      <c r="D25" s="229"/>
      <c r="E25" s="42"/>
      <c r="G25" s="1"/>
      <c r="H25" s="1"/>
      <c r="I25" s="1"/>
      <c r="J25" s="1"/>
    </row>
    <row r="26" spans="2:11" x14ac:dyDescent="0.2">
      <c r="B26" s="150"/>
      <c r="C26" s="229"/>
      <c r="D26" s="229"/>
      <c r="E26" s="42"/>
      <c r="G26" s="649" t="s">
        <v>558</v>
      </c>
      <c r="H26" s="650"/>
      <c r="I26" s="650"/>
      <c r="J26" s="651"/>
    </row>
    <row r="27" spans="2:11" x14ac:dyDescent="0.2">
      <c r="B27" s="150"/>
      <c r="C27" s="229"/>
      <c r="D27" s="229"/>
      <c r="E27" s="42"/>
      <c r="G27" s="652"/>
      <c r="H27" s="653"/>
      <c r="I27" s="653"/>
      <c r="J27" s="654"/>
    </row>
    <row r="28" spans="2:11" x14ac:dyDescent="0.2">
      <c r="B28" s="150"/>
      <c r="C28" s="229"/>
      <c r="D28" s="229"/>
      <c r="E28" s="42"/>
      <c r="G28" s="509" t="str">
        <f>'Budget Hearing Notice'!H37</f>
        <v xml:space="preserve">  </v>
      </c>
      <c r="H28" s="316" t="str">
        <f>CONCATENATE("",E1," Estimated Fund Mill Rate")</f>
        <v>2025 Estimated Fund Mill Rate</v>
      </c>
      <c r="I28" s="510"/>
      <c r="J28" s="511"/>
    </row>
    <row r="29" spans="2:11" x14ac:dyDescent="0.2">
      <c r="B29" s="150"/>
      <c r="C29" s="229"/>
      <c r="D29" s="229"/>
      <c r="E29" s="42"/>
      <c r="G29" s="512" t="str">
        <f>'Budget Hearing Notice'!E37</f>
        <v xml:space="preserve">  </v>
      </c>
      <c r="H29" s="316" t="str">
        <f>CONCATENATE("",E1-1," Fund Mill Rate")</f>
        <v>2024 Fund Mill Rate</v>
      </c>
      <c r="I29" s="510"/>
      <c r="J29" s="511"/>
    </row>
    <row r="30" spans="2:11" x14ac:dyDescent="0.2">
      <c r="B30" s="143" t="str">
        <f>CONCATENATE("Cash Reserve (",E1," column)")</f>
        <v>Cash Reserve (2025 column)</v>
      </c>
      <c r="C30" s="229"/>
      <c r="D30" s="229"/>
      <c r="E30" s="42"/>
      <c r="G30" s="513">
        <f>'Budget Hearing Notice'!H62</f>
        <v>0</v>
      </c>
      <c r="H30" s="514" t="s">
        <v>559</v>
      </c>
      <c r="I30" s="510"/>
      <c r="J30" s="511"/>
    </row>
    <row r="31" spans="2:11" x14ac:dyDescent="0.2">
      <c r="B31" s="143" t="s">
        <v>38</v>
      </c>
      <c r="C31" s="229"/>
      <c r="D31" s="229"/>
      <c r="E31" s="42"/>
      <c r="G31" s="509">
        <f>'Budget Hearing Notice'!H61</f>
        <v>0</v>
      </c>
      <c r="H31" s="316" t="str">
        <f>CONCATENATE(E1," Estimated Total Mill Rate")</f>
        <v>2025 Estimated Total Mill Rate</v>
      </c>
      <c r="I31" s="510"/>
      <c r="J31" s="511"/>
    </row>
    <row r="32" spans="2:11" x14ac:dyDescent="0.2">
      <c r="B32" s="143" t="s">
        <v>41</v>
      </c>
      <c r="C32" s="230" t="str">
        <f>IF(C33*0.1&lt;C31,"Exceed 10% Rule","")</f>
        <v/>
      </c>
      <c r="D32" s="230" t="str">
        <f>IF(D33*0.1&lt;D31,"Exceed 10% Rule","")</f>
        <v/>
      </c>
      <c r="E32" s="170" t="str">
        <f>IF(E33*0.1&lt;E31,"Exceed 10% Rule","")</f>
        <v/>
      </c>
      <c r="G32" s="515">
        <f>'Budget Hearing Notice'!E61</f>
        <v>0</v>
      </c>
      <c r="H32" s="316" t="str">
        <f>CONCATENATE(E1-1," Total Mill Rate")</f>
        <v>2024 Total Mill Rate</v>
      </c>
      <c r="I32" s="510"/>
      <c r="J32" s="511"/>
    </row>
    <row r="33" spans="2:10" x14ac:dyDescent="0.2">
      <c r="B33" s="145" t="s">
        <v>94</v>
      </c>
      <c r="C33" s="463">
        <f>SUM(C25:C31)</f>
        <v>0</v>
      </c>
      <c r="D33" s="463">
        <f>SUM(D25:D31)</f>
        <v>0</v>
      </c>
      <c r="E33" s="463">
        <f>SUM(E25:E31)</f>
        <v>0</v>
      </c>
      <c r="G33" s="327"/>
      <c r="H33" s="299"/>
      <c r="I33" s="299"/>
      <c r="J33" s="329"/>
    </row>
    <row r="34" spans="2:10" x14ac:dyDescent="0.2">
      <c r="B34" s="60" t="s">
        <v>196</v>
      </c>
      <c r="C34" s="106">
        <f>C23-C33</f>
        <v>0</v>
      </c>
      <c r="D34" s="106">
        <f>D23-D33</f>
        <v>0</v>
      </c>
      <c r="E34" s="165" t="s">
        <v>66</v>
      </c>
      <c r="G34" s="655" t="s">
        <v>560</v>
      </c>
      <c r="H34" s="656"/>
      <c r="I34" s="656"/>
      <c r="J34" s="659" t="str">
        <f>IF(G31&gt;G30, "Yes", "No")</f>
        <v>No</v>
      </c>
    </row>
    <row r="35" spans="2:10" x14ac:dyDescent="0.2">
      <c r="B35" s="135" t="str">
        <f>CONCATENATE("",E1-2,"/",E1-1,"/",E1," Budget Authority Amount:")</f>
        <v>2023/2024/2025 Budget Authority Amount:</v>
      </c>
      <c r="C35" s="167">
        <f>inputOth!B54</f>
        <v>0</v>
      </c>
      <c r="D35" s="167">
        <f>inputPrYr!D38</f>
        <v>0</v>
      </c>
      <c r="E35" s="106">
        <f>E33</f>
        <v>0</v>
      </c>
      <c r="G35" s="657"/>
      <c r="H35" s="658"/>
      <c r="I35" s="658"/>
      <c r="J35" s="660"/>
    </row>
    <row r="36" spans="2:10" x14ac:dyDescent="0.2">
      <c r="B36" s="125"/>
      <c r="C36" s="636" t="s">
        <v>294</v>
      </c>
      <c r="D36" s="637"/>
      <c r="E36" s="42"/>
      <c r="G36" s="661" t="str">
        <f>IF(J34="Yes", "Follow procedure prescribed by KSA 79-2988 to exceed the Revenue Neutral Rate.", " ")</f>
        <v xml:space="preserve"> </v>
      </c>
      <c r="H36" s="661"/>
      <c r="I36" s="661"/>
      <c r="J36" s="661"/>
    </row>
    <row r="37" spans="2:10" x14ac:dyDescent="0.2">
      <c r="B37" s="341" t="str">
        <f>CONCATENATE(C94,"     ",D94)</f>
        <v xml:space="preserve">     </v>
      </c>
      <c r="C37" s="638" t="s">
        <v>295</v>
      </c>
      <c r="D37" s="639"/>
      <c r="E37" s="106">
        <f>E33+E36</f>
        <v>0</v>
      </c>
      <c r="F37" s="151"/>
      <c r="G37" s="662"/>
      <c r="H37" s="662"/>
      <c r="I37" s="662"/>
      <c r="J37" s="662"/>
    </row>
    <row r="38" spans="2:10" x14ac:dyDescent="0.2">
      <c r="B38" s="341" t="str">
        <f>CONCATENATE(C95,"      ",D95)</f>
        <v xml:space="preserve">      </v>
      </c>
      <c r="C38" s="152"/>
      <c r="D38" s="90" t="s">
        <v>95</v>
      </c>
      <c r="E38" s="106">
        <f>IF(E37-E23&gt;0,E37-E23,0)</f>
        <v>0</v>
      </c>
      <c r="F38" s="238" t="str">
        <f>IF(E33/0.95-E33&lt;E36,"Exceeds 5%","")</f>
        <v/>
      </c>
      <c r="G38" s="662"/>
      <c r="H38" s="662"/>
      <c r="I38" s="662"/>
      <c r="J38" s="662"/>
    </row>
    <row r="39" spans="2:10" x14ac:dyDescent="0.25">
      <c r="B39" s="90"/>
      <c r="C39" s="265" t="s">
        <v>296</v>
      </c>
      <c r="D39" s="297">
        <f>inputOth!$E$26</f>
        <v>0</v>
      </c>
      <c r="E39" s="106">
        <f>ROUND(IF(D39&gt;0,(E38*D39),0),0)</f>
        <v>0</v>
      </c>
      <c r="G39" s="1"/>
      <c r="H39" s="1"/>
      <c r="I39" s="1"/>
      <c r="J39" s="1"/>
    </row>
    <row r="40" spans="2:10" x14ac:dyDescent="0.25">
      <c r="B40" s="26"/>
      <c r="C40" s="644" t="str">
        <f>CONCATENATE("Amount of  ",$E$1-1," Ad Valorem Tax")</f>
        <v>Amount of  2024 Ad Valorem Tax</v>
      </c>
      <c r="D40" s="663"/>
      <c r="E40" s="106">
        <f>E38+E39</f>
        <v>0</v>
      </c>
      <c r="G40" s="1"/>
      <c r="H40" s="1"/>
      <c r="I40" s="1"/>
      <c r="J40" s="1"/>
    </row>
    <row r="41" spans="2:10" x14ac:dyDescent="0.25">
      <c r="B41" s="26"/>
      <c r="C41" s="125"/>
      <c r="D41" s="26"/>
      <c r="E41" s="26"/>
      <c r="G41" s="1"/>
      <c r="H41" s="1"/>
      <c r="I41" s="1"/>
      <c r="J41" s="1"/>
    </row>
    <row r="42" spans="2:10" x14ac:dyDescent="0.25">
      <c r="B42" s="26"/>
      <c r="C42" s="125"/>
      <c r="D42" s="26"/>
      <c r="E42" s="26"/>
      <c r="G42" s="1"/>
      <c r="H42" s="1"/>
      <c r="I42" s="1"/>
      <c r="J42" s="1"/>
    </row>
    <row r="43" spans="2:10" x14ac:dyDescent="0.25">
      <c r="B43" s="26"/>
      <c r="C43" s="155"/>
      <c r="D43" s="155"/>
      <c r="E43" s="155"/>
      <c r="G43" s="1"/>
      <c r="H43" s="1"/>
      <c r="I43" s="1"/>
      <c r="J43" s="1"/>
    </row>
    <row r="44" spans="2:10" x14ac:dyDescent="0.25">
      <c r="B44" s="25" t="s">
        <v>80</v>
      </c>
      <c r="C44" s="339" t="str">
        <f t="shared" ref="C44:E45" si="0">C4</f>
        <v xml:space="preserve">Prior Year </v>
      </c>
      <c r="D44" s="340" t="str">
        <f t="shared" si="0"/>
        <v xml:space="preserve">Current Year </v>
      </c>
      <c r="E44" s="80" t="str">
        <f t="shared" si="0"/>
        <v xml:space="preserve">Proposed Budget </v>
      </c>
      <c r="G44" s="1"/>
      <c r="H44" s="1"/>
      <c r="I44" s="1"/>
      <c r="J44" s="1"/>
    </row>
    <row r="45" spans="2:10" x14ac:dyDescent="0.25">
      <c r="B45" s="248">
        <f>inputPrYr!$B$39</f>
        <v>0</v>
      </c>
      <c r="C45" s="231" t="str">
        <f t="shared" si="0"/>
        <v>Actual for 2023</v>
      </c>
      <c r="D45" s="231" t="str">
        <f t="shared" si="0"/>
        <v>Estimate for 2024</v>
      </c>
      <c r="E45" s="104" t="str">
        <f t="shared" si="0"/>
        <v>Year for 2025</v>
      </c>
      <c r="G45" s="1"/>
      <c r="H45" s="1"/>
      <c r="I45" s="1"/>
      <c r="J45" s="1"/>
    </row>
    <row r="46" spans="2:10" x14ac:dyDescent="0.25">
      <c r="B46" s="60" t="s">
        <v>195</v>
      </c>
      <c r="C46" s="229"/>
      <c r="D46" s="232">
        <f>C75</f>
        <v>0</v>
      </c>
      <c r="E46" s="106">
        <f>D75</f>
        <v>0</v>
      </c>
      <c r="G46" s="1"/>
      <c r="H46" s="1"/>
      <c r="I46" s="1"/>
      <c r="J46" s="1"/>
    </row>
    <row r="47" spans="2:10" x14ac:dyDescent="0.25">
      <c r="B47" s="137" t="s">
        <v>197</v>
      </c>
      <c r="C47" s="139"/>
      <c r="D47" s="139"/>
      <c r="E47" s="50"/>
      <c r="G47" s="1"/>
      <c r="H47" s="1"/>
      <c r="I47" s="1"/>
      <c r="J47" s="1"/>
    </row>
    <row r="48" spans="2:10" x14ac:dyDescent="0.25">
      <c r="B48" s="60" t="s">
        <v>81</v>
      </c>
      <c r="C48" s="229"/>
      <c r="D48" s="232">
        <f>IF(inputPrYr!H39&gt;0,inputPrYr!H39,inputPrYr!E39)</f>
        <v>0</v>
      </c>
      <c r="E48" s="165" t="s">
        <v>66</v>
      </c>
      <c r="G48" s="1"/>
      <c r="H48" s="1"/>
      <c r="I48" s="1"/>
      <c r="J48" s="1"/>
    </row>
    <row r="49" spans="2:11" x14ac:dyDescent="0.25">
      <c r="B49" s="60" t="s">
        <v>82</v>
      </c>
      <c r="C49" s="229"/>
      <c r="D49" s="229"/>
      <c r="E49" s="42"/>
      <c r="G49" s="1"/>
      <c r="H49" s="1"/>
      <c r="I49" s="1"/>
      <c r="J49" s="1"/>
    </row>
    <row r="50" spans="2:11" x14ac:dyDescent="0.25">
      <c r="B50" s="60" t="s">
        <v>83</v>
      </c>
      <c r="C50" s="229"/>
      <c r="D50" s="229"/>
      <c r="E50" s="106" t="str">
        <f>Mvalloc!D29</f>
        <v xml:space="preserve">  </v>
      </c>
      <c r="G50" s="1"/>
      <c r="H50" s="1"/>
      <c r="I50" s="1"/>
      <c r="J50" s="1"/>
    </row>
    <row r="51" spans="2:11" x14ac:dyDescent="0.2">
      <c r="B51" s="60" t="s">
        <v>84</v>
      </c>
      <c r="C51" s="229"/>
      <c r="D51" s="229"/>
      <c r="E51" s="106" t="str">
        <f>Mvalloc!E29</f>
        <v xml:space="preserve">  </v>
      </c>
      <c r="G51" s="646" t="str">
        <f>CONCATENATE("Desired Carryover Into ",E1+1,"")</f>
        <v>Desired Carryover Into 2026</v>
      </c>
      <c r="H51" s="647"/>
      <c r="I51" s="647"/>
      <c r="J51" s="648"/>
    </row>
    <row r="52" spans="2:11" x14ac:dyDescent="0.2">
      <c r="B52" s="139" t="s">
        <v>176</v>
      </c>
      <c r="C52" s="229"/>
      <c r="D52" s="229"/>
      <c r="E52" s="106" t="str">
        <f>Mvalloc!F29</f>
        <v xml:space="preserve">  </v>
      </c>
      <c r="G52" s="298"/>
      <c r="H52" s="299"/>
      <c r="I52" s="300"/>
      <c r="J52" s="301"/>
    </row>
    <row r="53" spans="2:11" x14ac:dyDescent="0.2">
      <c r="B53" s="137" t="s">
        <v>348</v>
      </c>
      <c r="C53" s="229"/>
      <c r="D53" s="229"/>
      <c r="E53" s="106" t="str">
        <f>Mvalloc!G29</f>
        <v xml:space="preserve">  </v>
      </c>
      <c r="G53" s="302" t="s">
        <v>297</v>
      </c>
      <c r="H53" s="300"/>
      <c r="I53" s="300"/>
      <c r="J53" s="303">
        <v>0</v>
      </c>
    </row>
    <row r="54" spans="2:11" x14ac:dyDescent="0.2">
      <c r="B54" s="137" t="s">
        <v>349</v>
      </c>
      <c r="C54" s="229"/>
      <c r="D54" s="229"/>
      <c r="E54" s="106" t="str">
        <f>Mvalloc!H29</f>
        <v xml:space="preserve">  </v>
      </c>
      <c r="G54" s="298" t="s">
        <v>298</v>
      </c>
      <c r="H54" s="299"/>
      <c r="I54" s="299"/>
      <c r="J54" s="304" t="str">
        <f>IF(J53=0,"",ROUND((J53+E81-G66)/inputOth!E6*1000,3)-G71)</f>
        <v/>
      </c>
    </row>
    <row r="55" spans="2:11" x14ac:dyDescent="0.2">
      <c r="B55" s="150"/>
      <c r="C55" s="229"/>
      <c r="D55" s="229"/>
      <c r="E55" s="42"/>
      <c r="G55" s="305" t="str">
        <f>CONCATENATE("",E1," Tot Exp/Non-Appr Must Be:")</f>
        <v>2025 Tot Exp/Non-Appr Must Be:</v>
      </c>
      <c r="H55" s="306"/>
      <c r="I55" s="307"/>
      <c r="J55" s="308">
        <f>IF(J53&gt;0,IF(E78&lt;E63,IF(J53=G66,E78,((J53-G66)*(1-D80))+E63),E78+(J53-G66)),0)</f>
        <v>0</v>
      </c>
    </row>
    <row r="56" spans="2:11" x14ac:dyDescent="0.2">
      <c r="B56" s="150"/>
      <c r="C56" s="229"/>
      <c r="D56" s="229"/>
      <c r="E56" s="42"/>
      <c r="G56" s="309" t="s">
        <v>318</v>
      </c>
      <c r="H56" s="310"/>
      <c r="I56" s="310"/>
      <c r="J56" s="311">
        <f>IF(J53&gt;0,J55-E78,0)</f>
        <v>0</v>
      </c>
    </row>
    <row r="57" spans="2:11" x14ac:dyDescent="0.25">
      <c r="B57" s="150"/>
      <c r="C57" s="229"/>
      <c r="D57" s="229"/>
      <c r="E57" s="42"/>
      <c r="G57" s="1"/>
      <c r="H57" s="1"/>
      <c r="I57" s="1"/>
      <c r="J57" s="1"/>
    </row>
    <row r="58" spans="2:11" x14ac:dyDescent="0.2">
      <c r="B58" s="142" t="s">
        <v>88</v>
      </c>
      <c r="C58" s="229"/>
      <c r="D58" s="229"/>
      <c r="E58" s="42"/>
      <c r="G58" s="646" t="str">
        <f>CONCATENATE("Projected Carryover Into ",E1+1,"")</f>
        <v>Projected Carryover Into 2026</v>
      </c>
      <c r="H58" s="668"/>
      <c r="I58" s="668"/>
      <c r="J58" s="667"/>
    </row>
    <row r="59" spans="2:11" x14ac:dyDescent="0.25">
      <c r="B59" s="143" t="s">
        <v>40</v>
      </c>
      <c r="C59" s="229"/>
      <c r="D59" s="229"/>
      <c r="E59" s="106">
        <f>'NR Rebate'!E28*-1</f>
        <v>0</v>
      </c>
      <c r="G59" s="327"/>
      <c r="H59" s="299"/>
      <c r="I59" s="299"/>
      <c r="J59" s="322"/>
    </row>
    <row r="60" spans="2:11" x14ac:dyDescent="0.25">
      <c r="B60" s="143" t="s">
        <v>38</v>
      </c>
      <c r="C60" s="229"/>
      <c r="D60" s="229"/>
      <c r="E60" s="42"/>
      <c r="G60" s="318">
        <f>D75</f>
        <v>0</v>
      </c>
      <c r="H60" s="316" t="str">
        <f>CONCATENATE("",E1-1," Ending Cash Balance (est.)")</f>
        <v>2024 Ending Cash Balance (est.)</v>
      </c>
      <c r="I60" s="319"/>
      <c r="J60" s="322"/>
    </row>
    <row r="61" spans="2:11" x14ac:dyDescent="0.25">
      <c r="B61" s="143" t="s">
        <v>39</v>
      </c>
      <c r="C61" s="230" t="str">
        <f>IF(C62*0.1&lt;C60,"Exceed 10% Rule","")</f>
        <v/>
      </c>
      <c r="D61" s="230" t="str">
        <f>IF(D62*0.1&lt;D60,"Exceed 10% Rule","")</f>
        <v/>
      </c>
      <c r="E61" s="170" t="str">
        <f>IF(E62*0.1+E81&lt;E60,"Exceed 10% Rule","")</f>
        <v/>
      </c>
      <c r="G61" s="318">
        <f>E62</f>
        <v>0</v>
      </c>
      <c r="H61" s="300" t="str">
        <f>CONCATENATE("",E1," Non-AV Receipts (est.)")</f>
        <v>2025 Non-AV Receipts (est.)</v>
      </c>
      <c r="I61" s="319"/>
      <c r="J61" s="322"/>
    </row>
    <row r="62" spans="2:11" x14ac:dyDescent="0.25">
      <c r="B62" s="145" t="s">
        <v>89</v>
      </c>
      <c r="C62" s="463">
        <f>SUM(C48:C60)</f>
        <v>0</v>
      </c>
      <c r="D62" s="463">
        <f>SUM(D48:D60)</f>
        <v>0</v>
      </c>
      <c r="E62" s="463">
        <f>SUM(E48:E60)</f>
        <v>0</v>
      </c>
      <c r="G62" s="320">
        <f>IF(E80&gt;0,E79,E81)</f>
        <v>0</v>
      </c>
      <c r="H62" s="300" t="str">
        <f>CONCATENATE("",E1," Ad Valorem Tax (est.)")</f>
        <v>2025 Ad Valorem Tax (est.)</v>
      </c>
      <c r="I62" s="319"/>
      <c r="J62" s="322"/>
      <c r="K62" s="314" t="str">
        <f>IF(G62=E81,"","Note: Does not include Delinquent Taxes")</f>
        <v/>
      </c>
    </row>
    <row r="63" spans="2:11" x14ac:dyDescent="0.25">
      <c r="B63" s="145" t="s">
        <v>90</v>
      </c>
      <c r="C63" s="463">
        <f>C46+C62</f>
        <v>0</v>
      </c>
      <c r="D63" s="463">
        <f>D46+D62</f>
        <v>0</v>
      </c>
      <c r="E63" s="463">
        <f>E46+E62</f>
        <v>0</v>
      </c>
      <c r="G63" s="328">
        <f>SUM(G60:G62)</f>
        <v>0</v>
      </c>
      <c r="H63" s="300" t="str">
        <f>CONCATENATE("Total ",E1," Resources Available")</f>
        <v>Total 2025 Resources Available</v>
      </c>
      <c r="I63" s="329"/>
      <c r="J63" s="322"/>
    </row>
    <row r="64" spans="2:11" x14ac:dyDescent="0.25">
      <c r="B64" s="60" t="s">
        <v>93</v>
      </c>
      <c r="C64" s="143"/>
      <c r="D64" s="143"/>
      <c r="E64" s="38"/>
      <c r="G64" s="330"/>
      <c r="H64" s="331"/>
      <c r="I64" s="299"/>
      <c r="J64" s="322"/>
    </row>
    <row r="65" spans="2:10" x14ac:dyDescent="0.25">
      <c r="B65" s="150"/>
      <c r="C65" s="229"/>
      <c r="D65" s="229"/>
      <c r="E65" s="42"/>
      <c r="G65" s="332">
        <f>ROUND(C74*0.05+C74,0)</f>
        <v>0</v>
      </c>
      <c r="H65" s="300" t="str">
        <f>CONCATENATE("Less ",E1-2," Expenditures + 5%")</f>
        <v>Less 2023 Expenditures + 5%</v>
      </c>
      <c r="I65" s="329"/>
      <c r="J65" s="322"/>
    </row>
    <row r="66" spans="2:10" x14ac:dyDescent="0.25">
      <c r="B66" s="150"/>
      <c r="C66" s="229"/>
      <c r="D66" s="229"/>
      <c r="E66" s="42"/>
      <c r="G66" s="333">
        <f>G63-G65</f>
        <v>0</v>
      </c>
      <c r="H66" s="324" t="str">
        <f>CONCATENATE("Projected ",E1+1," carryover (est.)")</f>
        <v>Projected 2026 carryover (est.)</v>
      </c>
      <c r="I66" s="334"/>
      <c r="J66" s="335"/>
    </row>
    <row r="67" spans="2:10" x14ac:dyDescent="0.25">
      <c r="B67" s="150"/>
      <c r="C67" s="229"/>
      <c r="D67" s="229"/>
      <c r="E67" s="42"/>
      <c r="G67" s="1"/>
      <c r="H67" s="1"/>
      <c r="I67" s="1"/>
      <c r="J67" s="1"/>
    </row>
    <row r="68" spans="2:10" x14ac:dyDescent="0.2">
      <c r="B68" s="150"/>
      <c r="C68" s="229"/>
      <c r="D68" s="229"/>
      <c r="E68" s="42"/>
      <c r="G68" s="649" t="s">
        <v>558</v>
      </c>
      <c r="H68" s="650"/>
      <c r="I68" s="650"/>
      <c r="J68" s="651"/>
    </row>
    <row r="69" spans="2:10" x14ac:dyDescent="0.2">
      <c r="B69" s="150"/>
      <c r="C69" s="229"/>
      <c r="D69" s="229"/>
      <c r="E69" s="42"/>
      <c r="G69" s="652"/>
      <c r="H69" s="653"/>
      <c r="I69" s="653"/>
      <c r="J69" s="654"/>
    </row>
    <row r="70" spans="2:10" x14ac:dyDescent="0.2">
      <c r="B70" s="150"/>
      <c r="C70" s="229"/>
      <c r="D70" s="229"/>
      <c r="E70" s="42"/>
      <c r="G70" s="509" t="str">
        <f>'Budget Hearing Notice'!H38</f>
        <v xml:space="preserve">  </v>
      </c>
      <c r="H70" s="316" t="str">
        <f>CONCATENATE("",E1," Estimated Fund Mill Rate")</f>
        <v>2025 Estimated Fund Mill Rate</v>
      </c>
      <c r="I70" s="510"/>
      <c r="J70" s="511"/>
    </row>
    <row r="71" spans="2:10" x14ac:dyDescent="0.2">
      <c r="B71" s="143" t="str">
        <f>CONCATENATE("Cash Reserve (",E1," column)")</f>
        <v>Cash Reserve (2025 column)</v>
      </c>
      <c r="C71" s="229"/>
      <c r="D71" s="229"/>
      <c r="E71" s="42"/>
      <c r="G71" s="512" t="str">
        <f>'Budget Hearing Notice'!E38</f>
        <v xml:space="preserve">  </v>
      </c>
      <c r="H71" s="316" t="str">
        <f>CONCATENATE("",E1-1," Fund Mill Rate")</f>
        <v>2024 Fund Mill Rate</v>
      </c>
      <c r="I71" s="510"/>
      <c r="J71" s="511"/>
    </row>
    <row r="72" spans="2:10" x14ac:dyDescent="0.2">
      <c r="B72" s="143" t="s">
        <v>38</v>
      </c>
      <c r="C72" s="229"/>
      <c r="D72" s="229"/>
      <c r="E72" s="42"/>
      <c r="G72" s="513">
        <f>'Budget Hearing Notice'!H62</f>
        <v>0</v>
      </c>
      <c r="H72" s="514" t="s">
        <v>559</v>
      </c>
      <c r="I72" s="510"/>
      <c r="J72" s="511"/>
    </row>
    <row r="73" spans="2:10" x14ac:dyDescent="0.2">
      <c r="B73" s="143" t="s">
        <v>41</v>
      </c>
      <c r="C73" s="230" t="str">
        <f>IF(C74*0.1&lt;C72,"Exceed 10% Rule","")</f>
        <v/>
      </c>
      <c r="D73" s="230" t="str">
        <f>IF(D74*0.1&lt;D72,"Exceed 10% Rule","")</f>
        <v/>
      </c>
      <c r="E73" s="170" t="str">
        <f>IF(E74*0.1&lt;E72,"Exceed 10% Rule","")</f>
        <v/>
      </c>
      <c r="G73" s="509">
        <f>'Budget Hearing Notice'!H61</f>
        <v>0</v>
      </c>
      <c r="H73" s="316" t="str">
        <f>CONCATENATE(E1," Estimated Total Mill Rate")</f>
        <v>2025 Estimated Total Mill Rate</v>
      </c>
      <c r="I73" s="510"/>
      <c r="J73" s="511"/>
    </row>
    <row r="74" spans="2:10" x14ac:dyDescent="0.2">
      <c r="B74" s="145" t="s">
        <v>94</v>
      </c>
      <c r="C74" s="463">
        <f>SUM(C65:C72)</f>
        <v>0</v>
      </c>
      <c r="D74" s="463">
        <f>SUM(D65:D72)</f>
        <v>0</v>
      </c>
      <c r="E74" s="463">
        <f>SUM(E65:E72)</f>
        <v>0</v>
      </c>
      <c r="G74" s="515">
        <f>'Budget Hearing Notice'!E61</f>
        <v>0</v>
      </c>
      <c r="H74" s="316" t="str">
        <f>CONCATENATE(E1-1," Total Mill Rate")</f>
        <v>2024 Total Mill Rate</v>
      </c>
      <c r="I74" s="510"/>
      <c r="J74" s="511"/>
    </row>
    <row r="75" spans="2:10" x14ac:dyDescent="0.2">
      <c r="B75" s="60" t="s">
        <v>196</v>
      </c>
      <c r="C75" s="106">
        <f>C63-C74</f>
        <v>0</v>
      </c>
      <c r="D75" s="106">
        <f>D63-D74</f>
        <v>0</v>
      </c>
      <c r="E75" s="165" t="s">
        <v>66</v>
      </c>
      <c r="G75" s="327"/>
      <c r="H75" s="299"/>
      <c r="I75" s="299"/>
      <c r="J75" s="329"/>
    </row>
    <row r="76" spans="2:10" x14ac:dyDescent="0.2">
      <c r="B76" s="135" t="str">
        <f>CONCATENATE("",E1-2,"/",E1-1,"/",E1," Budget Authority Amount:")</f>
        <v>2023/2024/2025 Budget Authority Amount:</v>
      </c>
      <c r="C76" s="167">
        <f>inputOth!B55</f>
        <v>0</v>
      </c>
      <c r="D76" s="167">
        <f>inputPrYr!D39</f>
        <v>0</v>
      </c>
      <c r="E76" s="106">
        <f>E74</f>
        <v>0</v>
      </c>
      <c r="G76" s="655" t="s">
        <v>560</v>
      </c>
      <c r="H76" s="656"/>
      <c r="I76" s="656"/>
      <c r="J76" s="659" t="str">
        <f>IF(G73&gt;G72, "Yes", "No")</f>
        <v>No</v>
      </c>
    </row>
    <row r="77" spans="2:10" x14ac:dyDescent="0.2">
      <c r="B77" s="125"/>
      <c r="C77" s="636" t="s">
        <v>294</v>
      </c>
      <c r="D77" s="637"/>
      <c r="E77" s="42"/>
      <c r="G77" s="657"/>
      <c r="H77" s="658"/>
      <c r="I77" s="658"/>
      <c r="J77" s="660"/>
    </row>
    <row r="78" spans="2:10" x14ac:dyDescent="0.2">
      <c r="B78" s="341" t="str">
        <f>CONCATENATE(C96,"      ",D96)</f>
        <v xml:space="preserve">      </v>
      </c>
      <c r="C78" s="638" t="s">
        <v>295</v>
      </c>
      <c r="D78" s="639"/>
      <c r="E78" s="106">
        <f>E74+E77</f>
        <v>0</v>
      </c>
      <c r="G78" s="661" t="str">
        <f>IF(J76="Yes", "Follow procedure prescribed by KSA 79-2988 to exceed the Revenue Neutral Rate.", " ")</f>
        <v xml:space="preserve"> </v>
      </c>
      <c r="H78" s="661"/>
      <c r="I78" s="661"/>
      <c r="J78" s="661"/>
    </row>
    <row r="79" spans="2:10" x14ac:dyDescent="0.2">
      <c r="B79" s="341" t="str">
        <f>CONCATENATE(C97,"      ",D97)</f>
        <v xml:space="preserve">      </v>
      </c>
      <c r="C79" s="152"/>
      <c r="D79" s="90" t="s">
        <v>95</v>
      </c>
      <c r="E79" s="106">
        <f>IF(E78-E63&gt;0,E78-E63,0)</f>
        <v>0</v>
      </c>
      <c r="F79" s="151"/>
      <c r="G79" s="662"/>
      <c r="H79" s="662"/>
      <c r="I79" s="662"/>
      <c r="J79" s="662"/>
    </row>
    <row r="80" spans="2:10" x14ac:dyDescent="0.2">
      <c r="B80" s="90"/>
      <c r="C80" s="265" t="s">
        <v>296</v>
      </c>
      <c r="D80" s="297">
        <f>inputOth!$E$26</f>
        <v>0</v>
      </c>
      <c r="E80" s="106">
        <f>ROUND(IF(D80&gt;0,(E79*D80),0),0)</f>
        <v>0</v>
      </c>
      <c r="F80" s="238" t="str">
        <f>IF(E74/0.95-E74&lt;E77,"Exceeds 5%","")</f>
        <v/>
      </c>
      <c r="G80" s="662"/>
      <c r="H80" s="662"/>
      <c r="I80" s="662"/>
      <c r="J80" s="662"/>
    </row>
    <row r="81" spans="2:5" x14ac:dyDescent="0.2">
      <c r="B81" s="26"/>
      <c r="C81" s="644" t="str">
        <f>CONCATENATE("Amount of  ",$E$1-1," Ad Valorem Tax")</f>
        <v>Amount of  2024 Ad Valorem Tax</v>
      </c>
      <c r="D81" s="663"/>
      <c r="E81" s="106">
        <f>E79+E80</f>
        <v>0</v>
      </c>
    </row>
    <row r="82" spans="2:5" x14ac:dyDescent="0.2">
      <c r="B82" s="26"/>
      <c r="C82" s="125"/>
      <c r="D82" s="26"/>
      <c r="E82" s="125"/>
    </row>
    <row r="83" spans="2:5" x14ac:dyDescent="0.2">
      <c r="B83" s="423" t="s">
        <v>354</v>
      </c>
      <c r="C83" s="402"/>
      <c r="D83" s="347"/>
      <c r="E83" s="409"/>
    </row>
    <row r="84" spans="2:5" x14ac:dyDescent="0.2">
      <c r="B84" s="126"/>
      <c r="C84" s="125"/>
      <c r="D84" s="26"/>
      <c r="E84" s="410"/>
    </row>
    <row r="85" spans="2:5" x14ac:dyDescent="0.2">
      <c r="B85" s="403"/>
      <c r="C85" s="408"/>
      <c r="D85" s="44"/>
      <c r="E85" s="411"/>
    </row>
    <row r="86" spans="2:5" x14ac:dyDescent="0.2">
      <c r="B86" s="26"/>
      <c r="C86" s="125"/>
      <c r="D86" s="26"/>
      <c r="E86" s="125"/>
    </row>
    <row r="87" spans="2:5" x14ac:dyDescent="0.2">
      <c r="B87" s="125" t="s">
        <v>146</v>
      </c>
      <c r="C87" s="368"/>
      <c r="D87" s="26"/>
      <c r="E87" s="26"/>
    </row>
    <row r="92" spans="2:5" hidden="1" x14ac:dyDescent="0.2"/>
    <row r="93" spans="2:5" hidden="1" x14ac:dyDescent="0.2"/>
    <row r="94" spans="2:5" hidden="1" x14ac:dyDescent="0.2">
      <c r="C94" s="23" t="str">
        <f>IF(C33&gt;C35,"See Tab A","")</f>
        <v/>
      </c>
      <c r="D94" s="23" t="str">
        <f>IF(D33&gt;D35,"See Tab C","")</f>
        <v/>
      </c>
    </row>
    <row r="95" spans="2:5" hidden="1" x14ac:dyDescent="0.2">
      <c r="C95" s="23" t="str">
        <f>IF(C34&lt;0,"See Tab B","")</f>
        <v/>
      </c>
      <c r="D95" s="23" t="str">
        <f>IF(D34&lt;0,"See Tab D","")</f>
        <v/>
      </c>
    </row>
    <row r="96" spans="2:5" x14ac:dyDescent="0.2">
      <c r="C96" s="23" t="str">
        <f>IF(C74&gt;C76,"See Tab A","")</f>
        <v/>
      </c>
      <c r="D96" s="23" t="str">
        <f>IF(D74&gt;D76,"See Tab C","")</f>
        <v/>
      </c>
    </row>
    <row r="97" spans="3:4" x14ac:dyDescent="0.2">
      <c r="C97" s="23" t="str">
        <f>IF(C75&lt;0,"See Tab B","")</f>
        <v/>
      </c>
      <c r="D97" s="23" t="str">
        <f>IF(D75&lt;0,"See Tab D","")</f>
        <v/>
      </c>
    </row>
  </sheetData>
  <sheetProtection sheet="1" objects="1" scenarios="1"/>
  <mergeCells count="18">
    <mergeCell ref="C81:D81"/>
    <mergeCell ref="G68:J69"/>
    <mergeCell ref="G76:I77"/>
    <mergeCell ref="J76:J77"/>
    <mergeCell ref="G78:J80"/>
    <mergeCell ref="G51:J51"/>
    <mergeCell ref="C37:D37"/>
    <mergeCell ref="C78:D78"/>
    <mergeCell ref="G58:J58"/>
    <mergeCell ref="C77:D77"/>
    <mergeCell ref="G36:J38"/>
    <mergeCell ref="G9:J9"/>
    <mergeCell ref="G16:J16"/>
    <mergeCell ref="C36:D36"/>
    <mergeCell ref="C40:D40"/>
    <mergeCell ref="G26:J27"/>
    <mergeCell ref="G34:I35"/>
    <mergeCell ref="J34:J35"/>
  </mergeCells>
  <phoneticPr fontId="0" type="noConversion"/>
  <conditionalFormatting sqref="C20">
    <cfRule type="cellIs" dxfId="143" priority="27" stopIfTrue="1" operator="greaterThan">
      <formula>$C$22*0.1</formula>
    </cfRule>
  </conditionalFormatting>
  <conditionalFormatting sqref="C31">
    <cfRule type="cellIs" dxfId="142" priority="18" stopIfTrue="1" operator="greaterThan">
      <formula>$C$33*0.1</formula>
    </cfRule>
  </conditionalFormatting>
  <conditionalFormatting sqref="C33">
    <cfRule type="cellIs" dxfId="141" priority="8" stopIfTrue="1" operator="greaterThan">
      <formula>$C$35</formula>
    </cfRule>
  </conditionalFormatting>
  <conditionalFormatting sqref="C60">
    <cfRule type="cellIs" dxfId="140" priority="19" stopIfTrue="1" operator="greaterThan">
      <formula>$C$62*0.1</formula>
    </cfRule>
  </conditionalFormatting>
  <conditionalFormatting sqref="C72">
    <cfRule type="cellIs" dxfId="139" priority="22" stopIfTrue="1" operator="greaterThan">
      <formula>$C$74*0.1</formula>
    </cfRule>
  </conditionalFormatting>
  <conditionalFormatting sqref="C74">
    <cfRule type="cellIs" dxfId="138" priority="6" stopIfTrue="1" operator="greaterThan">
      <formula>$C$76</formula>
    </cfRule>
  </conditionalFormatting>
  <conditionalFormatting sqref="C34:D34">
    <cfRule type="cellIs" dxfId="137" priority="3" stopIfTrue="1" operator="lessThan">
      <formula>0</formula>
    </cfRule>
  </conditionalFormatting>
  <conditionalFormatting sqref="C75:D75">
    <cfRule type="cellIs" dxfId="136" priority="1" stopIfTrue="1" operator="lessThan">
      <formula>0</formula>
    </cfRule>
  </conditionalFormatting>
  <conditionalFormatting sqref="D20">
    <cfRule type="cellIs" dxfId="135" priority="26" stopIfTrue="1" operator="greaterThan">
      <formula>$D$22*0.1</formula>
    </cfRule>
  </conditionalFormatting>
  <conditionalFormatting sqref="D31">
    <cfRule type="cellIs" dxfId="134" priority="17" stopIfTrue="1" operator="greaterThan">
      <formula>$D$33*0.1</formula>
    </cfRule>
  </conditionalFormatting>
  <conditionalFormatting sqref="D33">
    <cfRule type="cellIs" dxfId="133" priority="7" stopIfTrue="1" operator="greaterThan">
      <formula>$D$35</formula>
    </cfRule>
  </conditionalFormatting>
  <conditionalFormatting sqref="D60">
    <cfRule type="cellIs" dxfId="132" priority="20" stopIfTrue="1" operator="greaterThan">
      <formula>$D$62*0.1</formula>
    </cfRule>
  </conditionalFormatting>
  <conditionalFormatting sqref="D72">
    <cfRule type="cellIs" dxfId="131" priority="21" stopIfTrue="1" operator="greaterThan">
      <formula>$D$74*0.1</formula>
    </cfRule>
  </conditionalFormatting>
  <conditionalFormatting sqref="D74">
    <cfRule type="cellIs" dxfId="130" priority="5" stopIfTrue="1" operator="greaterThan">
      <formula>$D$76</formula>
    </cfRule>
  </conditionalFormatting>
  <conditionalFormatting sqref="E20">
    <cfRule type="cellIs" dxfId="129" priority="24" stopIfTrue="1" operator="greaterThan">
      <formula>$E$22*0.1+E40</formula>
    </cfRule>
  </conditionalFormatting>
  <conditionalFormatting sqref="E31">
    <cfRule type="cellIs" dxfId="128" priority="25" stopIfTrue="1" operator="greaterThan">
      <formula>$E$33*0.1</formula>
    </cfRule>
  </conditionalFormatting>
  <conditionalFormatting sqref="E36">
    <cfRule type="cellIs" dxfId="127" priority="30" stopIfTrue="1" operator="greaterThan">
      <formula>$E$33/0.95-$E$33</formula>
    </cfRule>
  </conditionalFormatting>
  <conditionalFormatting sqref="E60">
    <cfRule type="cellIs" dxfId="126" priority="23" stopIfTrue="1" operator="greaterThan">
      <formula>$E$62*0.1+E81</formula>
    </cfRule>
  </conditionalFormatting>
  <conditionalFormatting sqref="E72">
    <cfRule type="cellIs" dxfId="125" priority="28" stopIfTrue="1" operator="greaterThan">
      <formula>$E$74*0.1</formula>
    </cfRule>
  </conditionalFormatting>
  <conditionalFormatting sqref="E77">
    <cfRule type="cellIs" dxfId="124" priority="29" stopIfTrue="1" operator="greaterThan">
      <formula>$E$74/0.95-$E$74</formula>
    </cfRule>
  </conditionalFormatting>
  <conditionalFormatting sqref="J34">
    <cfRule type="containsText" dxfId="123" priority="9" operator="containsText" text="Yes">
      <formula>NOT(ISERROR(SEARCH("Yes",J34)))</formula>
    </cfRule>
  </conditionalFormatting>
  <conditionalFormatting sqref="J76">
    <cfRule type="containsText" dxfId="122" priority="10" operator="containsText" text="Yes">
      <formula>NOT(ISERROR(SEARCH("Yes",J76)))</formula>
    </cfRule>
  </conditionalFormatting>
  <pageMargins left="1.1200000000000001" right="0.5" top="0.74" bottom="0.34" header="0.5" footer="0"/>
  <pageSetup scale="51" orientation="portrait" blackAndWhite="1" horizontalDpi="300" verticalDpi="300" r:id="rId1"/>
  <headerFooter alignWithMargins="0">
    <oddHeader xml:space="preserve">&amp;RState of Kansas
County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3">
    <tabColor rgb="FF00B0F0"/>
    <pageSetUpPr fitToPage="1"/>
  </sheetPr>
  <dimension ref="B1:K100"/>
  <sheetViews>
    <sheetView zoomScaleNormal="100" workbookViewId="0">
      <selection activeCell="C31" sqref="C31:E31"/>
    </sheetView>
  </sheetViews>
  <sheetFormatPr defaultRowHeight="15.75" x14ac:dyDescent="0.2"/>
  <cols>
    <col min="1" max="1" width="2.44140625" style="23" customWidth="1"/>
    <col min="2" max="2" width="31.109375" style="23" customWidth="1"/>
    <col min="3" max="4" width="15.77734375" style="23" customWidth="1"/>
    <col min="5" max="5" width="16.33203125" style="23" customWidth="1"/>
    <col min="6" max="6" width="7.44140625" style="23" customWidth="1"/>
    <col min="7" max="7" width="10.21875" style="23" customWidth="1"/>
    <col min="8" max="8" width="8.88671875" style="23"/>
    <col min="9" max="9" width="5.88671875" style="23" customWidth="1"/>
    <col min="10" max="10" width="10" style="23" customWidth="1"/>
    <col min="11" max="16384" width="8.88671875" style="23"/>
  </cols>
  <sheetData>
    <row r="1" spans="2:10" x14ac:dyDescent="0.2">
      <c r="B1" s="57">
        <f>inputPrYr!C3</f>
        <v>0</v>
      </c>
      <c r="C1" s="26"/>
      <c r="D1" s="26"/>
      <c r="E1" s="125">
        <f>inputPrYr!C5</f>
        <v>2025</v>
      </c>
    </row>
    <row r="2" spans="2:10" x14ac:dyDescent="0.2">
      <c r="B2" s="26"/>
      <c r="C2" s="26"/>
      <c r="D2" s="26"/>
      <c r="E2" s="90"/>
    </row>
    <row r="3" spans="2:10" x14ac:dyDescent="0.2">
      <c r="B3" s="64" t="s">
        <v>185</v>
      </c>
      <c r="C3" s="161"/>
      <c r="D3" s="161"/>
      <c r="E3" s="162"/>
    </row>
    <row r="4" spans="2:10" x14ac:dyDescent="0.2">
      <c r="B4" s="25" t="s">
        <v>80</v>
      </c>
      <c r="C4" s="339" t="s">
        <v>319</v>
      </c>
      <c r="D4" s="340" t="s">
        <v>320</v>
      </c>
      <c r="E4" s="80" t="s">
        <v>321</v>
      </c>
    </row>
    <row r="5" spans="2:10" x14ac:dyDescent="0.2">
      <c r="B5" s="248">
        <f>inputPrYr!B40</f>
        <v>0</v>
      </c>
      <c r="C5" s="231" t="str">
        <f>CONCATENATE("Actual for ",E1-2,"")</f>
        <v>Actual for 2023</v>
      </c>
      <c r="D5" s="231" t="str">
        <f>CONCATENATE("Estimate for ",E1-1,"")</f>
        <v>Estimate for 2024</v>
      </c>
      <c r="E5" s="136" t="str">
        <f>CONCATENATE("Year for ",E1,"")</f>
        <v>Year for 2025</v>
      </c>
    </row>
    <row r="6" spans="2:10" x14ac:dyDescent="0.2">
      <c r="B6" s="60" t="s">
        <v>195</v>
      </c>
      <c r="C6" s="229"/>
      <c r="D6" s="232">
        <f>C34</f>
        <v>0</v>
      </c>
      <c r="E6" s="106">
        <f>D34</f>
        <v>0</v>
      </c>
    </row>
    <row r="7" spans="2:10" x14ac:dyDescent="0.2">
      <c r="B7" s="128" t="s">
        <v>197</v>
      </c>
      <c r="C7" s="139"/>
      <c r="D7" s="139"/>
      <c r="E7" s="50"/>
    </row>
    <row r="8" spans="2:10" x14ac:dyDescent="0.2">
      <c r="B8" s="60" t="s">
        <v>81</v>
      </c>
      <c r="C8" s="229"/>
      <c r="D8" s="232">
        <f>IF(inputPrYr!H40&gt;0,inputPrYr!H40,inputPrYr!E40)</f>
        <v>0</v>
      </c>
      <c r="E8" s="165" t="s">
        <v>66</v>
      </c>
    </row>
    <row r="9" spans="2:10" x14ac:dyDescent="0.2">
      <c r="B9" s="60" t="s">
        <v>82</v>
      </c>
      <c r="C9" s="229"/>
      <c r="D9" s="229"/>
      <c r="E9" s="42"/>
      <c r="G9" s="646" t="str">
        <f>CONCATENATE("Desired Carryover Into ",E1+1,"")</f>
        <v>Desired Carryover Into 2026</v>
      </c>
      <c r="H9" s="647"/>
      <c r="I9" s="647"/>
      <c r="J9" s="648"/>
    </row>
    <row r="10" spans="2:10" x14ac:dyDescent="0.2">
      <c r="B10" s="60" t="s">
        <v>83</v>
      </c>
      <c r="C10" s="229"/>
      <c r="D10" s="229"/>
      <c r="E10" s="106" t="str">
        <f>Mvalloc!D30</f>
        <v xml:space="preserve">  </v>
      </c>
      <c r="G10" s="298"/>
      <c r="H10" s="299"/>
      <c r="I10" s="300"/>
      <c r="J10" s="301"/>
    </row>
    <row r="11" spans="2:10" x14ac:dyDescent="0.2">
      <c r="B11" s="60" t="s">
        <v>84</v>
      </c>
      <c r="C11" s="229"/>
      <c r="D11" s="229"/>
      <c r="E11" s="106" t="str">
        <f>Mvalloc!E30</f>
        <v xml:space="preserve">  </v>
      </c>
      <c r="G11" s="302" t="s">
        <v>297</v>
      </c>
      <c r="H11" s="300"/>
      <c r="I11" s="300"/>
      <c r="J11" s="303">
        <v>0</v>
      </c>
    </row>
    <row r="12" spans="2:10" x14ac:dyDescent="0.2">
      <c r="B12" s="139" t="s">
        <v>176</v>
      </c>
      <c r="C12" s="229"/>
      <c r="D12" s="229"/>
      <c r="E12" s="106" t="str">
        <f>Mvalloc!F30</f>
        <v xml:space="preserve">  </v>
      </c>
      <c r="G12" s="298" t="s">
        <v>298</v>
      </c>
      <c r="H12" s="299"/>
      <c r="I12" s="299"/>
      <c r="J12" s="304" t="str">
        <f>IF(J11=0,"",ROUND((J11+E40-G24)/inputOth!E6*1000,3)-G29)</f>
        <v/>
      </c>
    </row>
    <row r="13" spans="2:10" x14ac:dyDescent="0.2">
      <c r="B13" s="137" t="s">
        <v>348</v>
      </c>
      <c r="C13" s="229"/>
      <c r="D13" s="229"/>
      <c r="E13" s="106" t="str">
        <f>Mvalloc!G30</f>
        <v xml:space="preserve">  </v>
      </c>
      <c r="G13" s="305" t="str">
        <f>CONCATENATE("",E1," Tot Exp/Non-Appr Must Be:")</f>
        <v>2025 Tot Exp/Non-Appr Must Be:</v>
      </c>
      <c r="H13" s="306"/>
      <c r="I13" s="307"/>
      <c r="J13" s="308">
        <f>IF(J11&gt;0,IF(E37&lt;E23,IF(J11=G24,E37,((J11-G24)*(1-D39))+E23),E37+(J11-G24)),0)</f>
        <v>0</v>
      </c>
    </row>
    <row r="14" spans="2:10" x14ac:dyDescent="0.2">
      <c r="B14" s="137" t="s">
        <v>349</v>
      </c>
      <c r="C14" s="229"/>
      <c r="D14" s="229"/>
      <c r="E14" s="106" t="str">
        <f>Mvalloc!H30</f>
        <v xml:space="preserve">  </v>
      </c>
      <c r="G14" s="309" t="s">
        <v>318</v>
      </c>
      <c r="H14" s="310"/>
      <c r="I14" s="310"/>
      <c r="J14" s="311">
        <f>IF(J11&gt;0,J13-E37,0)</f>
        <v>0</v>
      </c>
    </row>
    <row r="15" spans="2:10" x14ac:dyDescent="0.25">
      <c r="B15" s="150"/>
      <c r="C15" s="229"/>
      <c r="D15" s="229"/>
      <c r="E15" s="42"/>
      <c r="G15" s="1"/>
      <c r="H15" s="1"/>
      <c r="I15" s="1"/>
      <c r="J15" s="1"/>
    </row>
    <row r="16" spans="2:10" x14ac:dyDescent="0.2">
      <c r="B16" s="150"/>
      <c r="C16" s="229"/>
      <c r="D16" s="229"/>
      <c r="E16" s="42"/>
      <c r="G16" s="646" t="str">
        <f>CONCATENATE("Projected Carryover Into ",E1+1,"")</f>
        <v>Projected Carryover Into 2026</v>
      </c>
      <c r="H16" s="666"/>
      <c r="I16" s="666"/>
      <c r="J16" s="667"/>
    </row>
    <row r="17" spans="2:11" x14ac:dyDescent="0.2">
      <c r="B17" s="150"/>
      <c r="C17" s="229"/>
      <c r="D17" s="229"/>
      <c r="E17" s="42"/>
      <c r="G17" s="298"/>
      <c r="H17" s="300"/>
      <c r="I17" s="300"/>
      <c r="J17" s="317"/>
    </row>
    <row r="18" spans="2:11" x14ac:dyDescent="0.2">
      <c r="B18" s="142" t="s">
        <v>88</v>
      </c>
      <c r="C18" s="229"/>
      <c r="D18" s="229"/>
      <c r="E18" s="42"/>
      <c r="G18" s="318">
        <f>D34</f>
        <v>0</v>
      </c>
      <c r="H18" s="316" t="str">
        <f>CONCATENATE("",E1-1," Ending Cash Balance (est.)")</f>
        <v>2024 Ending Cash Balance (est.)</v>
      </c>
      <c r="I18" s="319"/>
      <c r="J18" s="317"/>
    </row>
    <row r="19" spans="2:11" x14ac:dyDescent="0.2">
      <c r="B19" s="143" t="s">
        <v>40</v>
      </c>
      <c r="C19" s="229"/>
      <c r="D19" s="229"/>
      <c r="E19" s="106">
        <f>'NR Rebate'!E29*-1</f>
        <v>0</v>
      </c>
      <c r="G19" s="318">
        <f>E22</f>
        <v>0</v>
      </c>
      <c r="H19" s="300" t="str">
        <f>CONCATENATE("",E1," Non-AV Receipts (est.)")</f>
        <v>2025 Non-AV Receipts (est.)</v>
      </c>
      <c r="I19" s="319"/>
      <c r="J19" s="317"/>
    </row>
    <row r="20" spans="2:11" x14ac:dyDescent="0.2">
      <c r="B20" s="143" t="s">
        <v>38</v>
      </c>
      <c r="C20" s="229"/>
      <c r="D20" s="229"/>
      <c r="E20" s="42"/>
      <c r="G20" s="320">
        <f>IF(E39&gt;0,E38,E40)</f>
        <v>0</v>
      </c>
      <c r="H20" s="300" t="str">
        <f>CONCATENATE("",E1," Ad Valorem Tax (est.)")</f>
        <v>2025 Ad Valorem Tax (est.)</v>
      </c>
      <c r="I20" s="319"/>
      <c r="J20" s="317"/>
      <c r="K20" s="314" t="str">
        <f>IF(G20=E40,"","Note: Does not include Delinquent Taxes")</f>
        <v/>
      </c>
    </row>
    <row r="21" spans="2:11" x14ac:dyDescent="0.2">
      <c r="B21" s="143" t="s">
        <v>291</v>
      </c>
      <c r="C21" s="230" t="str">
        <f>IF(C22*0.1&lt;C20,"Exceed 10% Rule","")</f>
        <v/>
      </c>
      <c r="D21" s="230" t="str">
        <f>IF(D22*0.1&lt;D20,"Exceed 10% Rule","")</f>
        <v/>
      </c>
      <c r="E21" s="170" t="str">
        <f>IF(E22*0.1+E40&lt;E20,"Exceed 10% Rule","")</f>
        <v/>
      </c>
      <c r="G21" s="318">
        <f>SUM(G18:G20)</f>
        <v>0</v>
      </c>
      <c r="H21" s="300" t="str">
        <f>CONCATENATE("Total ",E1," Resources Available")</f>
        <v>Total 2025 Resources Available</v>
      </c>
      <c r="I21" s="319"/>
      <c r="J21" s="317"/>
    </row>
    <row r="22" spans="2:11" x14ac:dyDescent="0.2">
      <c r="B22" s="145" t="s">
        <v>89</v>
      </c>
      <c r="C22" s="508">
        <f>SUM(C8:C20)</f>
        <v>0</v>
      </c>
      <c r="D22" s="508">
        <f>SUM(D8:D20)</f>
        <v>0</v>
      </c>
      <c r="E22" s="463">
        <f>SUM(E8:E20)</f>
        <v>0</v>
      </c>
      <c r="G22" s="321"/>
      <c r="H22" s="300"/>
      <c r="I22" s="300"/>
      <c r="J22" s="317"/>
    </row>
    <row r="23" spans="2:11" x14ac:dyDescent="0.25">
      <c r="B23" s="145" t="s">
        <v>90</v>
      </c>
      <c r="C23" s="508">
        <f>C6+C22</f>
        <v>0</v>
      </c>
      <c r="D23" s="508">
        <f>D6+D22</f>
        <v>0</v>
      </c>
      <c r="E23" s="463">
        <f>E6+E22</f>
        <v>0</v>
      </c>
      <c r="G23" s="320">
        <f>ROUND(C33*0.05+C33,0)</f>
        <v>0</v>
      </c>
      <c r="H23" s="300" t="str">
        <f>CONCATENATE("Less ",E1-2," Expenditures + 5%")</f>
        <v>Less 2023 Expenditures + 5%</v>
      </c>
      <c r="I23" s="319"/>
      <c r="J23" s="322"/>
    </row>
    <row r="24" spans="2:11" x14ac:dyDescent="0.2">
      <c r="B24" s="60" t="s">
        <v>93</v>
      </c>
      <c r="C24" s="143"/>
      <c r="D24" s="143"/>
      <c r="E24" s="38"/>
      <c r="G24" s="323">
        <f>G21-G23</f>
        <v>0</v>
      </c>
      <c r="H24" s="324" t="str">
        <f>CONCATENATE("Projected ",E1+1," carryover (est.)")</f>
        <v>Projected 2026 carryover (est.)</v>
      </c>
      <c r="I24" s="325"/>
      <c r="J24" s="326"/>
    </row>
    <row r="25" spans="2:11" x14ac:dyDescent="0.25">
      <c r="B25" s="150"/>
      <c r="C25" s="229"/>
      <c r="D25" s="229"/>
      <c r="E25" s="42"/>
      <c r="G25" s="1"/>
      <c r="H25" s="1"/>
      <c r="I25" s="1"/>
      <c r="J25" s="1"/>
    </row>
    <row r="26" spans="2:11" x14ac:dyDescent="0.2">
      <c r="B26" s="150"/>
      <c r="C26" s="229"/>
      <c r="D26" s="229"/>
      <c r="E26" s="42"/>
      <c r="G26" s="649" t="s">
        <v>558</v>
      </c>
      <c r="H26" s="650"/>
      <c r="I26" s="650"/>
      <c r="J26" s="651"/>
    </row>
    <row r="27" spans="2:11" x14ac:dyDescent="0.2">
      <c r="B27" s="150"/>
      <c r="C27" s="229"/>
      <c r="D27" s="229"/>
      <c r="E27" s="42"/>
      <c r="G27" s="652"/>
      <c r="H27" s="653"/>
      <c r="I27" s="653"/>
      <c r="J27" s="654"/>
    </row>
    <row r="28" spans="2:11" x14ac:dyDescent="0.2">
      <c r="B28" s="150"/>
      <c r="C28" s="229"/>
      <c r="D28" s="229"/>
      <c r="E28" s="42"/>
      <c r="G28" s="509" t="str">
        <f>'Budget Hearing Notice'!H39</f>
        <v xml:space="preserve">  </v>
      </c>
      <c r="H28" s="316" t="str">
        <f>CONCATENATE("",E1," Estimated Fund Mill Rate")</f>
        <v>2025 Estimated Fund Mill Rate</v>
      </c>
      <c r="I28" s="510"/>
      <c r="J28" s="511"/>
    </row>
    <row r="29" spans="2:11" x14ac:dyDescent="0.2">
      <c r="B29" s="150"/>
      <c r="C29" s="229"/>
      <c r="D29" s="229"/>
      <c r="E29" s="42"/>
      <c r="G29" s="512" t="str">
        <f>'Budget Hearing Notice'!E39</f>
        <v xml:space="preserve">  </v>
      </c>
      <c r="H29" s="316" t="str">
        <f>CONCATENATE("",E1-1," Fund Mill Rate")</f>
        <v>2024 Fund Mill Rate</v>
      </c>
      <c r="I29" s="510"/>
      <c r="J29" s="511"/>
    </row>
    <row r="30" spans="2:11" x14ac:dyDescent="0.2">
      <c r="B30" s="143" t="str">
        <f>CONCATENATE("Cash Reserve (",E1," column)")</f>
        <v>Cash Reserve (2025 column)</v>
      </c>
      <c r="C30" s="229"/>
      <c r="D30" s="229"/>
      <c r="E30" s="42"/>
      <c r="G30" s="513">
        <f>'Budget Hearing Notice'!H62</f>
        <v>0</v>
      </c>
      <c r="H30" s="514" t="s">
        <v>559</v>
      </c>
      <c r="I30" s="510"/>
      <c r="J30" s="511"/>
    </row>
    <row r="31" spans="2:11" x14ac:dyDescent="0.2">
      <c r="B31" s="143" t="s">
        <v>38</v>
      </c>
      <c r="C31" s="229"/>
      <c r="D31" s="229"/>
      <c r="E31" s="42"/>
      <c r="G31" s="509">
        <f>'Budget Hearing Notice'!H61</f>
        <v>0</v>
      </c>
      <c r="H31" s="316" t="str">
        <f>CONCATENATE(E1," Estimated Total Mill Rate")</f>
        <v>2025 Estimated Total Mill Rate</v>
      </c>
      <c r="I31" s="510"/>
      <c r="J31" s="511"/>
    </row>
    <row r="32" spans="2:11" x14ac:dyDescent="0.2">
      <c r="B32" s="143" t="s">
        <v>290</v>
      </c>
      <c r="C32" s="230" t="str">
        <f>IF(C33*0.1&lt;C31,"Exceed 10% Rule","")</f>
        <v/>
      </c>
      <c r="D32" s="230" t="str">
        <f>IF(D33*0.1&lt;D31,"Exceed 10% Rule","")</f>
        <v/>
      </c>
      <c r="E32" s="170" t="str">
        <f>IF(E33*0.1&lt;E31,"Exceed 10% Rule","")</f>
        <v/>
      </c>
      <c r="G32" s="515">
        <f>'Budget Hearing Notice'!E61</f>
        <v>0</v>
      </c>
      <c r="H32" s="316" t="str">
        <f>CONCATENATE(E1-1," Total Mill Rate")</f>
        <v>2024 Total Mill Rate</v>
      </c>
      <c r="I32" s="510"/>
      <c r="J32" s="511"/>
    </row>
    <row r="33" spans="2:10" x14ac:dyDescent="0.2">
      <c r="B33" s="145" t="s">
        <v>94</v>
      </c>
      <c r="C33" s="508">
        <f>SUM(C25:C31)</f>
        <v>0</v>
      </c>
      <c r="D33" s="508">
        <f>SUM(D25:D31)</f>
        <v>0</v>
      </c>
      <c r="E33" s="463">
        <f>SUM(E25:E31)</f>
        <v>0</v>
      </c>
      <c r="G33" s="327"/>
      <c r="H33" s="299"/>
      <c r="I33" s="299"/>
      <c r="J33" s="329"/>
    </row>
    <row r="34" spans="2:10" x14ac:dyDescent="0.2">
      <c r="B34" s="60" t="s">
        <v>196</v>
      </c>
      <c r="C34" s="232">
        <f>C23-C33</f>
        <v>0</v>
      </c>
      <c r="D34" s="232">
        <f>D23-D33</f>
        <v>0</v>
      </c>
      <c r="E34" s="165" t="s">
        <v>66</v>
      </c>
      <c r="G34" s="655" t="s">
        <v>560</v>
      </c>
      <c r="H34" s="656"/>
      <c r="I34" s="656"/>
      <c r="J34" s="659" t="str">
        <f>IF(G31&gt;G30, "Yes", "No")</f>
        <v>No</v>
      </c>
    </row>
    <row r="35" spans="2:10" x14ac:dyDescent="0.2">
      <c r="B35" s="135" t="str">
        <f>CONCATENATE("",E1-2,"/",E1-1,"/",E1," Budget Authority Amount:")</f>
        <v>2023/2024/2025 Budget Authority Amount:</v>
      </c>
      <c r="C35" s="167">
        <f>inputOth!B56</f>
        <v>0</v>
      </c>
      <c r="D35" s="167">
        <f>inputPrYr!D40</f>
        <v>0</v>
      </c>
      <c r="E35" s="106">
        <f>E33</f>
        <v>0</v>
      </c>
      <c r="G35" s="657"/>
      <c r="H35" s="658"/>
      <c r="I35" s="658"/>
      <c r="J35" s="660"/>
    </row>
    <row r="36" spans="2:10" x14ac:dyDescent="0.2">
      <c r="B36" s="125"/>
      <c r="C36" s="636" t="s">
        <v>294</v>
      </c>
      <c r="D36" s="637"/>
      <c r="E36" s="42"/>
      <c r="G36" s="661" t="str">
        <f>IF(J34="Yes", "Follow procedure prescribed by KSA 79-2988 to exceed the Revenue Neutral Rate.", " ")</f>
        <v xml:space="preserve"> </v>
      </c>
      <c r="H36" s="661"/>
      <c r="I36" s="661"/>
      <c r="J36" s="661"/>
    </row>
    <row r="37" spans="2:10" x14ac:dyDescent="0.2">
      <c r="B37" s="266" t="str">
        <f>CONCATENATE(C97,"     ",D97)</f>
        <v xml:space="preserve">     </v>
      </c>
      <c r="C37" s="638" t="s">
        <v>295</v>
      </c>
      <c r="D37" s="639"/>
      <c r="E37" s="106">
        <f>E33+E36</f>
        <v>0</v>
      </c>
      <c r="F37" s="151"/>
      <c r="G37" s="662"/>
      <c r="H37" s="662"/>
      <c r="I37" s="662"/>
      <c r="J37" s="662"/>
    </row>
    <row r="38" spans="2:10" x14ac:dyDescent="0.2">
      <c r="B38" s="266" t="str">
        <f>CONCATENATE(C98,"     ",D98)</f>
        <v xml:space="preserve">     </v>
      </c>
      <c r="C38" s="152"/>
      <c r="D38" s="90" t="s">
        <v>95</v>
      </c>
      <c r="E38" s="106">
        <f>IF(E37-E23&gt;0,E37-E23,0)</f>
        <v>0</v>
      </c>
      <c r="F38" s="238" t="str">
        <f>IF(E33/0.95-E33&lt;E36,"Exceeds 5%","")</f>
        <v/>
      </c>
      <c r="G38" s="662"/>
      <c r="H38" s="662"/>
      <c r="I38" s="662"/>
      <c r="J38" s="662"/>
    </row>
    <row r="39" spans="2:10" x14ac:dyDescent="0.25">
      <c r="B39" s="90"/>
      <c r="C39" s="265" t="s">
        <v>296</v>
      </c>
      <c r="D39" s="297">
        <f>inputOth!$E$26</f>
        <v>0</v>
      </c>
      <c r="E39" s="106">
        <f>ROUND(IF(D39&gt;0,($E$38*D39),0),0)</f>
        <v>0</v>
      </c>
      <c r="G39" s="1"/>
      <c r="H39" s="1"/>
      <c r="I39" s="1"/>
      <c r="J39" s="1"/>
    </row>
    <row r="40" spans="2:10" x14ac:dyDescent="0.25">
      <c r="B40" s="26"/>
      <c r="C40" s="644" t="str">
        <f>CONCATENATE("Amount of  ",$E$1-1," Ad Valorem Tax")</f>
        <v>Amount of  2024 Ad Valorem Tax</v>
      </c>
      <c r="D40" s="663"/>
      <c r="E40" s="106">
        <f>E38+E39</f>
        <v>0</v>
      </c>
      <c r="G40" s="1"/>
      <c r="H40" s="1"/>
      <c r="I40" s="1"/>
      <c r="J40" s="1"/>
    </row>
    <row r="41" spans="2:10" x14ac:dyDescent="0.25">
      <c r="B41" s="26"/>
      <c r="C41" s="155"/>
      <c r="D41" s="155"/>
      <c r="E41" s="155"/>
      <c r="G41" s="1"/>
      <c r="H41" s="1"/>
      <c r="I41" s="1"/>
      <c r="J41" s="1"/>
    </row>
    <row r="42" spans="2:10" x14ac:dyDescent="0.25">
      <c r="B42" s="25" t="s">
        <v>80</v>
      </c>
      <c r="C42" s="339" t="str">
        <f t="shared" ref="C42:E43" si="0">C4</f>
        <v xml:space="preserve">Prior Year </v>
      </c>
      <c r="D42" s="340" t="str">
        <f t="shared" si="0"/>
        <v xml:space="preserve">Current Year </v>
      </c>
      <c r="E42" s="80" t="str">
        <f t="shared" si="0"/>
        <v xml:space="preserve">Proposed Budget </v>
      </c>
      <c r="G42" s="1"/>
      <c r="H42" s="1"/>
      <c r="I42" s="1"/>
      <c r="J42" s="1"/>
    </row>
    <row r="43" spans="2:10" x14ac:dyDescent="0.25">
      <c r="B43" s="247">
        <f>inputPrYr!B41</f>
        <v>0</v>
      </c>
      <c r="C43" s="231" t="str">
        <f t="shared" si="0"/>
        <v>Actual for 2023</v>
      </c>
      <c r="D43" s="231" t="str">
        <f t="shared" si="0"/>
        <v>Estimate for 2024</v>
      </c>
      <c r="E43" s="136" t="str">
        <f t="shared" si="0"/>
        <v>Year for 2025</v>
      </c>
      <c r="G43" s="1"/>
      <c r="H43" s="1"/>
      <c r="I43" s="1"/>
      <c r="J43" s="1"/>
    </row>
    <row r="44" spans="2:10" x14ac:dyDescent="0.25">
      <c r="B44" s="60" t="s">
        <v>195</v>
      </c>
      <c r="C44" s="229"/>
      <c r="D44" s="232">
        <f>C75</f>
        <v>0</v>
      </c>
      <c r="E44" s="106">
        <f>D75</f>
        <v>0</v>
      </c>
      <c r="G44" s="1"/>
      <c r="H44" s="1"/>
      <c r="I44" s="1"/>
      <c r="J44" s="1"/>
    </row>
    <row r="45" spans="2:10" x14ac:dyDescent="0.25">
      <c r="B45" s="137" t="s">
        <v>197</v>
      </c>
      <c r="C45" s="139"/>
      <c r="D45" s="139"/>
      <c r="E45" s="50"/>
      <c r="G45" s="1"/>
      <c r="H45" s="1"/>
      <c r="I45" s="1"/>
      <c r="J45" s="1"/>
    </row>
    <row r="46" spans="2:10" x14ac:dyDescent="0.25">
      <c r="B46" s="60" t="s">
        <v>81</v>
      </c>
      <c r="C46" s="229"/>
      <c r="D46" s="232">
        <f>IF(inputPrYr!H41&gt;0,inputPrYr!H41,inputPrYr!E41)</f>
        <v>0</v>
      </c>
      <c r="E46" s="165" t="s">
        <v>66</v>
      </c>
      <c r="G46" s="1"/>
      <c r="H46" s="1"/>
      <c r="I46" s="1"/>
      <c r="J46" s="1"/>
    </row>
    <row r="47" spans="2:10" x14ac:dyDescent="0.25">
      <c r="B47" s="60" t="s">
        <v>82</v>
      </c>
      <c r="C47" s="229"/>
      <c r="D47" s="229"/>
      <c r="E47" s="42"/>
      <c r="G47" s="1"/>
      <c r="H47" s="1"/>
      <c r="I47" s="1"/>
      <c r="J47" s="1"/>
    </row>
    <row r="48" spans="2:10" x14ac:dyDescent="0.25">
      <c r="B48" s="60" t="s">
        <v>83</v>
      </c>
      <c r="C48" s="229"/>
      <c r="D48" s="229"/>
      <c r="E48" s="106" t="str">
        <f>Mvalloc!D31</f>
        <v xml:space="preserve">  </v>
      </c>
      <c r="G48" s="1"/>
      <c r="H48" s="1"/>
      <c r="I48" s="1"/>
      <c r="J48" s="1"/>
    </row>
    <row r="49" spans="2:11" x14ac:dyDescent="0.25">
      <c r="B49" s="60" t="s">
        <v>84</v>
      </c>
      <c r="C49" s="229"/>
      <c r="D49" s="229"/>
      <c r="E49" s="106" t="str">
        <f>Mvalloc!E31</f>
        <v xml:space="preserve">  </v>
      </c>
      <c r="G49" s="1"/>
      <c r="H49" s="1"/>
      <c r="I49" s="1"/>
      <c r="J49" s="1"/>
    </row>
    <row r="50" spans="2:11" x14ac:dyDescent="0.25">
      <c r="B50" s="139" t="s">
        <v>176</v>
      </c>
      <c r="C50" s="229"/>
      <c r="D50" s="229"/>
      <c r="E50" s="106" t="str">
        <f>Mvalloc!F31</f>
        <v xml:space="preserve">  </v>
      </c>
      <c r="G50" s="1"/>
      <c r="H50" s="1"/>
      <c r="I50" s="1"/>
      <c r="J50" s="1"/>
    </row>
    <row r="51" spans="2:11" x14ac:dyDescent="0.2">
      <c r="B51" s="137" t="s">
        <v>348</v>
      </c>
      <c r="C51" s="229"/>
      <c r="D51" s="229"/>
      <c r="E51" s="106" t="str">
        <f>Mvalloc!G31</f>
        <v xml:space="preserve">  </v>
      </c>
      <c r="G51" s="646" t="str">
        <f>CONCATENATE("Desired Carryover Into ",E1+1,"")</f>
        <v>Desired Carryover Into 2026</v>
      </c>
      <c r="H51" s="647"/>
      <c r="I51" s="647"/>
      <c r="J51" s="648"/>
    </row>
    <row r="52" spans="2:11" x14ac:dyDescent="0.2">
      <c r="B52" s="137" t="s">
        <v>349</v>
      </c>
      <c r="C52" s="229"/>
      <c r="D52" s="229"/>
      <c r="E52" s="106" t="str">
        <f>Mvalloc!H31</f>
        <v xml:space="preserve">  </v>
      </c>
      <c r="G52" s="298"/>
      <c r="H52" s="299"/>
      <c r="I52" s="300"/>
      <c r="J52" s="301"/>
    </row>
    <row r="53" spans="2:11" x14ac:dyDescent="0.2">
      <c r="B53" s="150"/>
      <c r="C53" s="229"/>
      <c r="D53" s="229"/>
      <c r="E53" s="42"/>
      <c r="G53" s="302" t="s">
        <v>297</v>
      </c>
      <c r="H53" s="300"/>
      <c r="I53" s="300"/>
      <c r="J53" s="303">
        <v>0</v>
      </c>
    </row>
    <row r="54" spans="2:11" x14ac:dyDescent="0.2">
      <c r="B54" s="150"/>
      <c r="C54" s="229"/>
      <c r="D54" s="229"/>
      <c r="E54" s="42"/>
      <c r="G54" s="298" t="s">
        <v>298</v>
      </c>
      <c r="H54" s="299"/>
      <c r="I54" s="299"/>
      <c r="J54" s="304" t="str">
        <f>IF(J53=0,"",ROUND((J53+E81-G66)/inputOth!E6*1000,3)-G71)</f>
        <v/>
      </c>
    </row>
    <row r="55" spans="2:11" x14ac:dyDescent="0.2">
      <c r="B55" s="150"/>
      <c r="C55" s="229"/>
      <c r="D55" s="229"/>
      <c r="E55" s="42"/>
      <c r="G55" s="305" t="str">
        <f>CONCATENATE("",E1," Tot Exp/Non-Appr Must Be:")</f>
        <v>2025 Tot Exp/Non-Appr Must Be:</v>
      </c>
      <c r="H55" s="306"/>
      <c r="I55" s="307"/>
      <c r="J55" s="308">
        <f>IF(J53&gt;0,IF(E78&lt;E63,IF(J53=G66,E78,((J53-G66)*(1-D80))+E63),E78+(J53-G66)),0)</f>
        <v>0</v>
      </c>
    </row>
    <row r="56" spans="2:11" x14ac:dyDescent="0.2">
      <c r="B56" s="150"/>
      <c r="C56" s="229"/>
      <c r="D56" s="229"/>
      <c r="E56" s="42"/>
      <c r="G56" s="309" t="s">
        <v>318</v>
      </c>
      <c r="H56" s="310"/>
      <c r="I56" s="310"/>
      <c r="J56" s="311">
        <f>IF(J53&gt;0,J55-E78,0)</f>
        <v>0</v>
      </c>
    </row>
    <row r="57" spans="2:11" x14ac:dyDescent="0.25">
      <c r="B57" s="150"/>
      <c r="C57" s="229"/>
      <c r="D57" s="229"/>
      <c r="E57" s="42"/>
      <c r="G57" s="1"/>
      <c r="H57" s="1"/>
      <c r="I57" s="1"/>
      <c r="J57" s="1"/>
    </row>
    <row r="58" spans="2:11" x14ac:dyDescent="0.2">
      <c r="B58" s="142" t="s">
        <v>88</v>
      </c>
      <c r="C58" s="229"/>
      <c r="D58" s="229"/>
      <c r="E58" s="42"/>
      <c r="G58" s="646" t="str">
        <f>CONCATENATE("Projected Carryover Into ",E1+1,"")</f>
        <v>Projected Carryover Into 2026</v>
      </c>
      <c r="H58" s="668"/>
      <c r="I58" s="668"/>
      <c r="J58" s="667"/>
    </row>
    <row r="59" spans="2:11" x14ac:dyDescent="0.25">
      <c r="B59" s="143" t="s">
        <v>40</v>
      </c>
      <c r="C59" s="229"/>
      <c r="D59" s="229"/>
      <c r="E59" s="106">
        <f>E57+E58</f>
        <v>0</v>
      </c>
      <c r="G59" s="327"/>
      <c r="H59" s="299"/>
      <c r="I59" s="299"/>
      <c r="J59" s="322"/>
    </row>
    <row r="60" spans="2:11" x14ac:dyDescent="0.25">
      <c r="B60" s="143" t="s">
        <v>38</v>
      </c>
      <c r="C60" s="229"/>
      <c r="D60" s="229"/>
      <c r="E60" s="42"/>
      <c r="G60" s="318">
        <f>D75</f>
        <v>0</v>
      </c>
      <c r="H60" s="316" t="str">
        <f>CONCATENATE("",E1-1," Ending Cash Balance (est.)")</f>
        <v>2024 Ending Cash Balance (est.)</v>
      </c>
      <c r="I60" s="319"/>
      <c r="J60" s="322"/>
    </row>
    <row r="61" spans="2:11" x14ac:dyDescent="0.25">
      <c r="B61" s="143" t="s">
        <v>291</v>
      </c>
      <c r="C61" s="230" t="str">
        <f>IF(C62*0.1&lt;C60,"Exceed 10% Rule","")</f>
        <v/>
      </c>
      <c r="D61" s="230" t="str">
        <f>IF(D62*0.1&lt;D60,"Exceed 10% Rule","")</f>
        <v/>
      </c>
      <c r="E61" s="170" t="str">
        <f>IF(E62*0.1+E81&lt;E60,"Exceed 10% Rule","")</f>
        <v/>
      </c>
      <c r="G61" s="318">
        <f>E62</f>
        <v>0</v>
      </c>
      <c r="H61" s="300" t="str">
        <f>CONCATENATE("",E1," Non-AV Receipts (est.)")</f>
        <v>2025 Non-AV Receipts (est.)</v>
      </c>
      <c r="I61" s="319"/>
      <c r="J61" s="322"/>
    </row>
    <row r="62" spans="2:11" x14ac:dyDescent="0.25">
      <c r="B62" s="145" t="s">
        <v>89</v>
      </c>
      <c r="C62" s="463">
        <f>SUM(C46:C60)</f>
        <v>0</v>
      </c>
      <c r="D62" s="463">
        <f>SUM(D46:D60)</f>
        <v>0</v>
      </c>
      <c r="E62" s="463">
        <f>SUM(E46:E60)</f>
        <v>0</v>
      </c>
      <c r="G62" s="320">
        <f>IF(E80&gt;0,E79,E81)</f>
        <v>0</v>
      </c>
      <c r="H62" s="300" t="str">
        <f>CONCATENATE("",E1," Ad Valorem Tax (est.)")</f>
        <v>2025 Ad Valorem Tax (est.)</v>
      </c>
      <c r="I62" s="319"/>
      <c r="J62" s="322"/>
      <c r="K62" s="314" t="str">
        <f>IF(G62=E81,"","Note: Does not include Delinquent Taxes")</f>
        <v/>
      </c>
    </row>
    <row r="63" spans="2:11" x14ac:dyDescent="0.25">
      <c r="B63" s="145" t="s">
        <v>90</v>
      </c>
      <c r="C63" s="463">
        <f>C44+C62</f>
        <v>0</v>
      </c>
      <c r="D63" s="463">
        <f>D44+D62</f>
        <v>0</v>
      </c>
      <c r="E63" s="463">
        <f>E44+E62</f>
        <v>0</v>
      </c>
      <c r="G63" s="328">
        <f>SUM(G60:G62)</f>
        <v>0</v>
      </c>
      <c r="H63" s="300" t="str">
        <f>CONCATENATE("Total ",E1," Resources Available")</f>
        <v>Total 2025 Resources Available</v>
      </c>
      <c r="I63" s="329"/>
      <c r="J63" s="322"/>
    </row>
    <row r="64" spans="2:11" x14ac:dyDescent="0.25">
      <c r="B64" s="60" t="s">
        <v>93</v>
      </c>
      <c r="C64" s="143"/>
      <c r="D64" s="143"/>
      <c r="E64" s="38"/>
      <c r="G64" s="330"/>
      <c r="H64" s="331"/>
      <c r="I64" s="299"/>
      <c r="J64" s="322"/>
    </row>
    <row r="65" spans="2:10" x14ac:dyDescent="0.25">
      <c r="B65" s="150"/>
      <c r="C65" s="229"/>
      <c r="D65" s="229"/>
      <c r="E65" s="42"/>
      <c r="G65" s="332">
        <f>ROUND(C74*0.05+C74,0)</f>
        <v>0</v>
      </c>
      <c r="H65" s="300" t="str">
        <f>CONCATENATE("Less ",E1-2," Expenditures + 5%")</f>
        <v>Less 2023 Expenditures + 5%</v>
      </c>
      <c r="I65" s="329"/>
      <c r="J65" s="322"/>
    </row>
    <row r="66" spans="2:10" x14ac:dyDescent="0.25">
      <c r="B66" s="150"/>
      <c r="C66" s="229"/>
      <c r="D66" s="229"/>
      <c r="E66" s="42"/>
      <c r="G66" s="333">
        <f>G63-G65</f>
        <v>0</v>
      </c>
      <c r="H66" s="324" t="str">
        <f>CONCATENATE("Projected ",E1+1," carryover (est.)")</f>
        <v>Projected 2026 carryover (est.)</v>
      </c>
      <c r="I66" s="334"/>
      <c r="J66" s="335"/>
    </row>
    <row r="67" spans="2:10" x14ac:dyDescent="0.25">
      <c r="B67" s="150"/>
      <c r="C67" s="229"/>
      <c r="D67" s="229"/>
      <c r="E67" s="42"/>
      <c r="G67" s="1"/>
      <c r="H67" s="1"/>
      <c r="I67" s="1"/>
      <c r="J67" s="1"/>
    </row>
    <row r="68" spans="2:10" x14ac:dyDescent="0.2">
      <c r="B68" s="150"/>
      <c r="C68" s="229"/>
      <c r="D68" s="229"/>
      <c r="E68" s="42"/>
      <c r="G68" s="649" t="s">
        <v>558</v>
      </c>
      <c r="H68" s="650"/>
      <c r="I68" s="650"/>
      <c r="J68" s="651"/>
    </row>
    <row r="69" spans="2:10" x14ac:dyDescent="0.2">
      <c r="B69" s="150"/>
      <c r="C69" s="229"/>
      <c r="D69" s="229"/>
      <c r="E69" s="42"/>
      <c r="G69" s="652"/>
      <c r="H69" s="653"/>
      <c r="I69" s="653"/>
      <c r="J69" s="654"/>
    </row>
    <row r="70" spans="2:10" x14ac:dyDescent="0.2">
      <c r="B70" s="150"/>
      <c r="C70" s="229"/>
      <c r="D70" s="229"/>
      <c r="E70" s="42"/>
      <c r="G70" s="509" t="str">
        <f>'Budget Hearing Notice'!H40</f>
        <v xml:space="preserve">  </v>
      </c>
      <c r="H70" s="316" t="str">
        <f>CONCATENATE("",E1," Estimated Fund Mill Rate")</f>
        <v>2025 Estimated Fund Mill Rate</v>
      </c>
      <c r="I70" s="510"/>
      <c r="J70" s="511"/>
    </row>
    <row r="71" spans="2:10" x14ac:dyDescent="0.2">
      <c r="B71" s="143" t="str">
        <f>CONCATENATE("Cash Reserve (",E1," column)")</f>
        <v>Cash Reserve (2025 column)</v>
      </c>
      <c r="C71" s="229"/>
      <c r="D71" s="229"/>
      <c r="E71" s="42"/>
      <c r="G71" s="512" t="str">
        <f>'Budget Hearing Notice'!E40</f>
        <v xml:space="preserve">  </v>
      </c>
      <c r="H71" s="316" t="str">
        <f>CONCATENATE("",E1-1," Fund Mill Rate")</f>
        <v>2024 Fund Mill Rate</v>
      </c>
      <c r="I71" s="510"/>
      <c r="J71" s="511"/>
    </row>
    <row r="72" spans="2:10" x14ac:dyDescent="0.2">
      <c r="B72" s="143" t="s">
        <v>38</v>
      </c>
      <c r="C72" s="229"/>
      <c r="D72" s="229"/>
      <c r="E72" s="42"/>
      <c r="G72" s="513">
        <f>'Budget Hearing Notice'!H62</f>
        <v>0</v>
      </c>
      <c r="H72" s="514" t="s">
        <v>559</v>
      </c>
      <c r="I72" s="510"/>
      <c r="J72" s="511"/>
    </row>
    <row r="73" spans="2:10" x14ac:dyDescent="0.2">
      <c r="B73" s="143" t="s">
        <v>290</v>
      </c>
      <c r="C73" s="230" t="str">
        <f>IF(C74*0.1&lt;C72,"Exceed 10% Rule","")</f>
        <v/>
      </c>
      <c r="D73" s="230" t="str">
        <f>IF(D74*0.1&lt;D72,"Exceed 10% Rule","")</f>
        <v/>
      </c>
      <c r="E73" s="170" t="str">
        <f>IF(E74*0.1&lt;E72,"Exceed 10% Rule","")</f>
        <v/>
      </c>
      <c r="G73" s="509">
        <f>'Budget Hearing Notice'!H61</f>
        <v>0</v>
      </c>
      <c r="H73" s="316" t="str">
        <f>CONCATENATE(E1," Estimated Total Mill Rate")</f>
        <v>2025 Estimated Total Mill Rate</v>
      </c>
      <c r="I73" s="510"/>
      <c r="J73" s="511"/>
    </row>
    <row r="74" spans="2:10" x14ac:dyDescent="0.2">
      <c r="B74" s="145" t="s">
        <v>94</v>
      </c>
      <c r="C74" s="463">
        <f>SUM(C65:C72)</f>
        <v>0</v>
      </c>
      <c r="D74" s="463">
        <f>SUM(D65:D72)</f>
        <v>0</v>
      </c>
      <c r="E74" s="463">
        <f>SUM(E65:E72)</f>
        <v>0</v>
      </c>
      <c r="G74" s="515">
        <f>'Budget Hearing Notice'!E61</f>
        <v>0</v>
      </c>
      <c r="H74" s="316" t="str">
        <f>CONCATENATE(E1-1," Total Mill Rate")</f>
        <v>2024 Total Mill Rate</v>
      </c>
      <c r="I74" s="510"/>
      <c r="J74" s="511"/>
    </row>
    <row r="75" spans="2:10" x14ac:dyDescent="0.2">
      <c r="B75" s="60" t="s">
        <v>196</v>
      </c>
      <c r="C75" s="106">
        <f>C63-C74</f>
        <v>0</v>
      </c>
      <c r="D75" s="106">
        <f>D63-D74</f>
        <v>0</v>
      </c>
      <c r="E75" s="165" t="s">
        <v>66</v>
      </c>
      <c r="G75" s="327"/>
      <c r="H75" s="299"/>
      <c r="I75" s="299"/>
      <c r="J75" s="329"/>
    </row>
    <row r="76" spans="2:10" x14ac:dyDescent="0.2">
      <c r="B76" s="135" t="str">
        <f>CONCATENATE("",E1-2,"/",E1-1,"/",E1," Budget Authority Amount:")</f>
        <v>2023/2024/2025 Budget Authority Amount:</v>
      </c>
      <c r="C76" s="167">
        <f>inputOth!B57</f>
        <v>0</v>
      </c>
      <c r="D76" s="167">
        <f>inputPrYr!D41</f>
        <v>0</v>
      </c>
      <c r="E76" s="106">
        <f>E74</f>
        <v>0</v>
      </c>
      <c r="G76" s="655" t="s">
        <v>560</v>
      </c>
      <c r="H76" s="656"/>
      <c r="I76" s="656"/>
      <c r="J76" s="659" t="str">
        <f>IF(G73&gt;G72, "Yes", "No")</f>
        <v>No</v>
      </c>
    </row>
    <row r="77" spans="2:10" x14ac:dyDescent="0.2">
      <c r="B77" s="125"/>
      <c r="C77" s="636" t="s">
        <v>294</v>
      </c>
      <c r="D77" s="637"/>
      <c r="E77" s="42"/>
      <c r="G77" s="657"/>
      <c r="H77" s="658"/>
      <c r="I77" s="658"/>
      <c r="J77" s="660"/>
    </row>
    <row r="78" spans="2:10" x14ac:dyDescent="0.2">
      <c r="B78" s="266" t="str">
        <f>CONCATENATE(C99,"     ",D99)</f>
        <v xml:space="preserve">     </v>
      </c>
      <c r="C78" s="638" t="s">
        <v>295</v>
      </c>
      <c r="D78" s="639"/>
      <c r="E78" s="106">
        <f>E74+E77</f>
        <v>0</v>
      </c>
      <c r="G78" s="661" t="str">
        <f>IF(J76="Yes", "Follow procedure prescribed by KSA 79-2988 to exceed the Revenue Neutral Rate.", " ")</f>
        <v xml:space="preserve"> </v>
      </c>
      <c r="H78" s="661"/>
      <c r="I78" s="661"/>
      <c r="J78" s="661"/>
    </row>
    <row r="79" spans="2:10" x14ac:dyDescent="0.2">
      <c r="B79" s="266" t="str">
        <f>CONCATENATE(C100,"     ",D100)</f>
        <v xml:space="preserve">     </v>
      </c>
      <c r="C79" s="152"/>
      <c r="D79" s="90" t="s">
        <v>95</v>
      </c>
      <c r="E79" s="106">
        <f>IF(E78-E63&gt;0,E78-E63,0)</f>
        <v>0</v>
      </c>
      <c r="F79" s="151"/>
      <c r="G79" s="662"/>
      <c r="H79" s="662"/>
      <c r="I79" s="662"/>
      <c r="J79" s="662"/>
    </row>
    <row r="80" spans="2:10" x14ac:dyDescent="0.2">
      <c r="B80" s="90"/>
      <c r="C80" s="265" t="s">
        <v>296</v>
      </c>
      <c r="D80" s="297">
        <f>inputOth!$E$26</f>
        <v>0</v>
      </c>
      <c r="E80" s="106">
        <f>ROUND(IF(D80&gt;0,($E$79*D80),0),0)</f>
        <v>0</v>
      </c>
      <c r="F80" s="238" t="str">
        <f>IF(E74/0.95-E74&lt;E77,"Exceeds 5%","")</f>
        <v/>
      </c>
      <c r="G80" s="662"/>
      <c r="H80" s="662"/>
      <c r="I80" s="662"/>
      <c r="J80" s="662"/>
    </row>
    <row r="81" spans="2:5" x14ac:dyDescent="0.2">
      <c r="B81" s="26"/>
      <c r="C81" s="644" t="str">
        <f>CONCATENATE("Amount of  ",$E$1-1," Ad Valorem Tax")</f>
        <v>Amount of  2024 Ad Valorem Tax</v>
      </c>
      <c r="D81" s="663"/>
      <c r="E81" s="106">
        <f>E79+E80</f>
        <v>0</v>
      </c>
    </row>
    <row r="82" spans="2:5" x14ac:dyDescent="0.2">
      <c r="B82" s="26"/>
      <c r="C82" s="125"/>
      <c r="D82" s="26"/>
      <c r="E82" s="125"/>
    </row>
    <row r="83" spans="2:5" x14ac:dyDescent="0.2">
      <c r="B83" s="423" t="s">
        <v>354</v>
      </c>
      <c r="C83" s="402"/>
      <c r="D83" s="347"/>
      <c r="E83" s="409"/>
    </row>
    <row r="84" spans="2:5" x14ac:dyDescent="0.2">
      <c r="B84" s="126"/>
      <c r="C84" s="125"/>
      <c r="D84" s="26"/>
      <c r="E84" s="410"/>
    </row>
    <row r="85" spans="2:5" x14ac:dyDescent="0.2">
      <c r="B85" s="403"/>
      <c r="C85" s="408"/>
      <c r="D85" s="44"/>
      <c r="E85" s="411"/>
    </row>
    <row r="86" spans="2:5" x14ac:dyDescent="0.2">
      <c r="B86" s="26"/>
      <c r="C86" s="125"/>
      <c r="D86" s="26"/>
      <c r="E86" s="125"/>
    </row>
    <row r="87" spans="2:5" x14ac:dyDescent="0.2">
      <c r="B87" s="125" t="s">
        <v>146</v>
      </c>
      <c r="C87" s="368"/>
      <c r="D87" s="26"/>
      <c r="E87" s="26"/>
    </row>
    <row r="95" spans="2:5" hidden="1" x14ac:dyDescent="0.2"/>
    <row r="96" spans="2:5" hidden="1" x14ac:dyDescent="0.2"/>
    <row r="97" spans="3:4" hidden="1" x14ac:dyDescent="0.2">
      <c r="C97" s="23" t="str">
        <f>IF(C33&gt;C35,"See Tab A","")</f>
        <v/>
      </c>
      <c r="D97" s="23" t="str">
        <f>IF(D33&gt;D35,"See Tab C","")</f>
        <v/>
      </c>
    </row>
    <row r="98" spans="3:4" hidden="1" x14ac:dyDescent="0.2">
      <c r="C98" s="23" t="str">
        <f>IF(C34&lt;0,"See Tab B","")</f>
        <v/>
      </c>
      <c r="D98" s="23" t="str">
        <f>IF(D34&lt;0,"See Tab D","")</f>
        <v/>
      </c>
    </row>
    <row r="99" spans="3:4" x14ac:dyDescent="0.2">
      <c r="C99" s="23" t="str">
        <f>IF(C74&gt;C76,"See Tab A","")</f>
        <v/>
      </c>
      <c r="D99" s="23" t="str">
        <f>IF(D74&gt;D76,"See Tab C","")</f>
        <v/>
      </c>
    </row>
    <row r="100" spans="3:4" x14ac:dyDescent="0.2">
      <c r="C100" s="23" t="str">
        <f>IF(C75&lt;0,"See Tab B","")</f>
        <v/>
      </c>
      <c r="D100" s="23" t="str">
        <f>IF(D75&lt;0,"See Tab D","")</f>
        <v/>
      </c>
    </row>
  </sheetData>
  <sheetProtection sheet="1" objects="1" scenarios="1"/>
  <mergeCells count="18">
    <mergeCell ref="C77:D77"/>
    <mergeCell ref="C78:D78"/>
    <mergeCell ref="G9:J9"/>
    <mergeCell ref="G16:J16"/>
    <mergeCell ref="G51:J51"/>
    <mergeCell ref="G58:J58"/>
    <mergeCell ref="C81:D81"/>
    <mergeCell ref="C40:D40"/>
    <mergeCell ref="G26:J27"/>
    <mergeCell ref="G34:I35"/>
    <mergeCell ref="J34:J35"/>
    <mergeCell ref="G36:J38"/>
    <mergeCell ref="G68:J69"/>
    <mergeCell ref="G76:I77"/>
    <mergeCell ref="J76:J77"/>
    <mergeCell ref="G78:J80"/>
    <mergeCell ref="C36:D36"/>
    <mergeCell ref="C37:D37"/>
  </mergeCells>
  <phoneticPr fontId="0" type="noConversion"/>
  <conditionalFormatting sqref="C20">
    <cfRule type="cellIs" dxfId="121" priority="30" stopIfTrue="1" operator="greaterThan">
      <formula>$C$22*0.1</formula>
    </cfRule>
  </conditionalFormatting>
  <conditionalFormatting sqref="C31">
    <cfRule type="cellIs" dxfId="120" priority="27" stopIfTrue="1" operator="greaterThan">
      <formula>$C$33*0.1</formula>
    </cfRule>
  </conditionalFormatting>
  <conditionalFormatting sqref="C33">
    <cfRule type="cellIs" dxfId="119" priority="8" stopIfTrue="1" operator="greaterThan">
      <formula>$C$35</formula>
    </cfRule>
  </conditionalFormatting>
  <conditionalFormatting sqref="C60">
    <cfRule type="cellIs" dxfId="118" priority="23" stopIfTrue="1" operator="greaterThan">
      <formula>$C$62*0.1</formula>
    </cfRule>
  </conditionalFormatting>
  <conditionalFormatting sqref="C72">
    <cfRule type="cellIs" dxfId="117" priority="20" stopIfTrue="1" operator="greaterThan">
      <formula>$C$74*0.1</formula>
    </cfRule>
  </conditionalFormatting>
  <conditionalFormatting sqref="C74">
    <cfRule type="cellIs" dxfId="116" priority="4" stopIfTrue="1" operator="greaterThan">
      <formula>$C$76</formula>
    </cfRule>
  </conditionalFormatting>
  <conditionalFormatting sqref="C34:D34">
    <cfRule type="cellIs" dxfId="115" priority="5" stopIfTrue="1" operator="lessThan">
      <formula>0</formula>
    </cfRule>
  </conditionalFormatting>
  <conditionalFormatting sqref="C75:D75">
    <cfRule type="cellIs" dxfId="114" priority="1" stopIfTrue="1" operator="lessThan">
      <formula>0</formula>
    </cfRule>
  </conditionalFormatting>
  <conditionalFormatting sqref="D20">
    <cfRule type="cellIs" dxfId="113" priority="31" stopIfTrue="1" operator="greaterThan">
      <formula>$D$22*0.1</formula>
    </cfRule>
  </conditionalFormatting>
  <conditionalFormatting sqref="D31">
    <cfRule type="cellIs" dxfId="112" priority="28" stopIfTrue="1" operator="greaterThan">
      <formula>$D$33*0.1</formula>
    </cfRule>
  </conditionalFormatting>
  <conditionalFormatting sqref="D33">
    <cfRule type="cellIs" dxfId="111" priority="7" stopIfTrue="1" operator="greaterThan">
      <formula>$D$35</formula>
    </cfRule>
  </conditionalFormatting>
  <conditionalFormatting sqref="D60">
    <cfRule type="cellIs" dxfId="110" priority="24" stopIfTrue="1" operator="greaterThan">
      <formula>$D$62*0.1</formula>
    </cfRule>
  </conditionalFormatting>
  <conditionalFormatting sqref="D72">
    <cfRule type="cellIs" dxfId="109" priority="21" stopIfTrue="1" operator="greaterThan">
      <formula>$D$74*0.1</formula>
    </cfRule>
  </conditionalFormatting>
  <conditionalFormatting sqref="D74">
    <cfRule type="cellIs" dxfId="108" priority="3" stopIfTrue="1" operator="greaterThan">
      <formula>$D$76</formula>
    </cfRule>
  </conditionalFormatting>
  <conditionalFormatting sqref="E20">
    <cfRule type="cellIs" dxfId="107" priority="29" stopIfTrue="1" operator="greaterThan">
      <formula>$E$22*0.1+E40</formula>
    </cfRule>
  </conditionalFormatting>
  <conditionalFormatting sqref="E31">
    <cfRule type="cellIs" dxfId="106" priority="16" stopIfTrue="1" operator="greaterThan">
      <formula>$E$33*0.1</formula>
    </cfRule>
  </conditionalFormatting>
  <conditionalFormatting sqref="E36">
    <cfRule type="cellIs" dxfId="105" priority="15" stopIfTrue="1" operator="greaterThan">
      <formula>$E$33/0.95-$E$33</formula>
    </cfRule>
  </conditionalFormatting>
  <conditionalFormatting sqref="E60">
    <cfRule type="cellIs" dxfId="104" priority="22" stopIfTrue="1" operator="greaterThan">
      <formula>$E$62*0.1+E81</formula>
    </cfRule>
  </conditionalFormatting>
  <conditionalFormatting sqref="E72">
    <cfRule type="cellIs" dxfId="103" priority="13" stopIfTrue="1" operator="greaterThan">
      <formula>$E$74*0.1</formula>
    </cfRule>
  </conditionalFormatting>
  <conditionalFormatting sqref="E77">
    <cfRule type="cellIs" dxfId="102" priority="14" stopIfTrue="1" operator="greaterThan">
      <formula>$E$74/0.95-$E$74</formula>
    </cfRule>
  </conditionalFormatting>
  <conditionalFormatting sqref="J34">
    <cfRule type="containsText" dxfId="101" priority="10" operator="containsText" text="Yes">
      <formula>NOT(ISERROR(SEARCH("Yes",J34)))</formula>
    </cfRule>
  </conditionalFormatting>
  <conditionalFormatting sqref="J76">
    <cfRule type="containsText" dxfId="100" priority="9" operator="containsText" text="Yes">
      <formula>NOT(ISERROR(SEARCH("Yes",J76)))</formula>
    </cfRule>
  </conditionalFormatting>
  <pageMargins left="1.1200000000000001" right="0.5" top="0.74" bottom="0.34" header="0.5" footer="0"/>
  <pageSetup scale="51" orientation="portrait" blackAndWhite="1" horizontalDpi="300" verticalDpi="300" r:id="rId1"/>
  <headerFooter alignWithMargins="0">
    <oddHeader xml:space="preserve">&amp;RState of Kansas
County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4">
    <tabColor rgb="FF00B0F0"/>
    <pageSetUpPr fitToPage="1"/>
  </sheetPr>
  <dimension ref="B1:E64"/>
  <sheetViews>
    <sheetView workbookViewId="0">
      <selection activeCell="B15" sqref="B15"/>
    </sheetView>
  </sheetViews>
  <sheetFormatPr defaultRowHeight="15.75" x14ac:dyDescent="0.2"/>
  <cols>
    <col min="1" max="1" width="2.44140625" style="23" customWidth="1"/>
    <col min="2" max="2" width="31.109375" style="23" customWidth="1"/>
    <col min="3" max="4" width="15.77734375" style="23" customWidth="1"/>
    <col min="5" max="5" width="16.109375" style="23" customWidth="1"/>
    <col min="6" max="16384" width="8.88671875" style="23"/>
  </cols>
  <sheetData>
    <row r="1" spans="2:5" x14ac:dyDescent="0.2">
      <c r="B1" s="57">
        <f>(inputPrYr!C3)</f>
        <v>0</v>
      </c>
      <c r="C1" s="26"/>
      <c r="D1" s="26"/>
      <c r="E1" s="125">
        <f>inputPrYr!C5</f>
        <v>2025</v>
      </c>
    </row>
    <row r="2" spans="2:5" x14ac:dyDescent="0.2">
      <c r="B2" s="26"/>
      <c r="C2" s="26"/>
      <c r="D2" s="26"/>
      <c r="E2" s="90"/>
    </row>
    <row r="3" spans="2:5" x14ac:dyDescent="0.2">
      <c r="B3" s="64" t="s">
        <v>186</v>
      </c>
      <c r="C3" s="161"/>
      <c r="D3" s="161"/>
      <c r="E3" s="162"/>
    </row>
    <row r="4" spans="2:5" x14ac:dyDescent="0.2">
      <c r="B4" s="26"/>
      <c r="C4" s="155"/>
      <c r="D4" s="155"/>
      <c r="E4" s="155"/>
    </row>
    <row r="5" spans="2:5" x14ac:dyDescent="0.2">
      <c r="B5" s="25" t="s">
        <v>80</v>
      </c>
      <c r="C5" s="153" t="str">
        <f>General!C4</f>
        <v xml:space="preserve">Prior Year </v>
      </c>
      <c r="D5" s="80" t="str">
        <f>General!D4</f>
        <v xml:space="preserve">Current Year </v>
      </c>
      <c r="E5" s="80" t="str">
        <f>General!E4</f>
        <v xml:space="preserve">Proposed Budget </v>
      </c>
    </row>
    <row r="6" spans="2:5" x14ac:dyDescent="0.2">
      <c r="B6" s="248">
        <f>inputPrYr!B44</f>
        <v>0</v>
      </c>
      <c r="C6" s="104" t="str">
        <f>General!C5</f>
        <v>Actual for 2023</v>
      </c>
      <c r="D6" s="104" t="str">
        <f>General!D5</f>
        <v>Estimate for 2024</v>
      </c>
      <c r="E6" s="136" t="str">
        <f>General!E5</f>
        <v>Year for 2025</v>
      </c>
    </row>
    <row r="7" spans="2:5" x14ac:dyDescent="0.2">
      <c r="B7" s="60" t="s">
        <v>195</v>
      </c>
      <c r="C7" s="42"/>
      <c r="D7" s="106">
        <f>C28</f>
        <v>0</v>
      </c>
      <c r="E7" s="106">
        <f>D28</f>
        <v>0</v>
      </c>
    </row>
    <row r="8" spans="2:5" x14ac:dyDescent="0.2">
      <c r="B8" s="164" t="s">
        <v>197</v>
      </c>
      <c r="C8" s="38"/>
      <c r="D8" s="38"/>
      <c r="E8" s="38"/>
    </row>
    <row r="9" spans="2:5" x14ac:dyDescent="0.2">
      <c r="B9" s="150"/>
      <c r="C9" s="42"/>
      <c r="D9" s="42"/>
      <c r="E9" s="42"/>
    </row>
    <row r="10" spans="2:5" x14ac:dyDescent="0.2">
      <c r="B10" s="150"/>
      <c r="C10" s="42"/>
      <c r="D10" s="42"/>
      <c r="E10" s="42"/>
    </row>
    <row r="11" spans="2:5" x14ac:dyDescent="0.2">
      <c r="B11" s="150"/>
      <c r="C11" s="42"/>
      <c r="D11" s="42"/>
      <c r="E11" s="42"/>
    </row>
    <row r="12" spans="2:5" x14ac:dyDescent="0.2">
      <c r="B12" s="142" t="s">
        <v>88</v>
      </c>
      <c r="C12" s="42"/>
      <c r="D12" s="42"/>
      <c r="E12" s="42"/>
    </row>
    <row r="13" spans="2:5" x14ac:dyDescent="0.2">
      <c r="B13" s="143" t="s">
        <v>38</v>
      </c>
      <c r="C13" s="42"/>
      <c r="D13" s="138"/>
      <c r="E13" s="138"/>
    </row>
    <row r="14" spans="2:5" x14ac:dyDescent="0.2">
      <c r="B14" s="143" t="s">
        <v>291</v>
      </c>
      <c r="C14" s="244" t="str">
        <f>IF(C15*0.1&lt;C13,"Exceed 10% Rule","")</f>
        <v/>
      </c>
      <c r="D14" s="144" t="str">
        <f>IF(D15*0.1&lt;D13,"Exceed 10% Rule","")</f>
        <v/>
      </c>
      <c r="E14" s="144" t="str">
        <f>IF(E15*0.1&lt;E13,"Exceed 10% Rule","")</f>
        <v/>
      </c>
    </row>
    <row r="15" spans="2:5" x14ac:dyDescent="0.2">
      <c r="B15" s="145" t="s">
        <v>89</v>
      </c>
      <c r="C15" s="463">
        <f>SUM(C9:C13)</f>
        <v>0</v>
      </c>
      <c r="D15" s="463">
        <f>SUM(D9:D13)</f>
        <v>0</v>
      </c>
      <c r="E15" s="463">
        <f>SUM(E9:E13)</f>
        <v>0</v>
      </c>
    </row>
    <row r="16" spans="2:5" x14ac:dyDescent="0.2">
      <c r="B16" s="145" t="s">
        <v>90</v>
      </c>
      <c r="C16" s="463">
        <f>C15+C7</f>
        <v>0</v>
      </c>
      <c r="D16" s="463">
        <f>D15+D7</f>
        <v>0</v>
      </c>
      <c r="E16" s="463">
        <f>E15+E7</f>
        <v>0</v>
      </c>
    </row>
    <row r="17" spans="2:5" x14ac:dyDescent="0.2">
      <c r="B17" s="60" t="s">
        <v>93</v>
      </c>
      <c r="C17" s="106"/>
      <c r="D17" s="106"/>
      <c r="E17" s="106"/>
    </row>
    <row r="18" spans="2:5" x14ac:dyDescent="0.2">
      <c r="B18" s="150"/>
      <c r="C18" s="42"/>
      <c r="D18" s="42"/>
      <c r="E18" s="42"/>
    </row>
    <row r="19" spans="2:5" x14ac:dyDescent="0.2">
      <c r="B19" s="150"/>
      <c r="C19" s="42"/>
      <c r="D19" s="42"/>
      <c r="E19" s="42"/>
    </row>
    <row r="20" spans="2:5" x14ac:dyDescent="0.2">
      <c r="B20" s="150"/>
      <c r="C20" s="42"/>
      <c r="D20" s="42"/>
      <c r="E20" s="42"/>
    </row>
    <row r="21" spans="2:5" x14ac:dyDescent="0.2">
      <c r="B21" s="150"/>
      <c r="C21" s="42"/>
      <c r="D21" s="42"/>
      <c r="E21" s="42"/>
    </row>
    <row r="22" spans="2:5" x14ac:dyDescent="0.2">
      <c r="B22" s="150"/>
      <c r="C22" s="42"/>
      <c r="D22" s="42"/>
      <c r="E22" s="42"/>
    </row>
    <row r="23" spans="2:5" x14ac:dyDescent="0.2">
      <c r="B23" s="150"/>
      <c r="C23" s="42"/>
      <c r="D23" s="42"/>
      <c r="E23" s="42"/>
    </row>
    <row r="24" spans="2:5" x14ac:dyDescent="0.2">
      <c r="B24" s="143" t="str">
        <f>CONCATENATE("Cash Reserve (",E1," column)")</f>
        <v>Cash Reserve (2025 column)</v>
      </c>
      <c r="C24" s="42"/>
      <c r="D24" s="42"/>
      <c r="E24" s="42"/>
    </row>
    <row r="25" spans="2:5" x14ac:dyDescent="0.2">
      <c r="B25" s="143" t="s">
        <v>38</v>
      </c>
      <c r="C25" s="42"/>
      <c r="D25" s="138"/>
      <c r="E25" s="138"/>
    </row>
    <row r="26" spans="2:5" x14ac:dyDescent="0.2">
      <c r="B26" s="143" t="s">
        <v>290</v>
      </c>
      <c r="C26" s="244" t="str">
        <f>IF(C27*0.1&lt;C25,"Exceed 10% Rule","")</f>
        <v/>
      </c>
      <c r="D26" s="144" t="str">
        <f>IF(D27*0.1&lt;D25,"Exceed 10% Rule","")</f>
        <v/>
      </c>
      <c r="E26" s="144" t="str">
        <f>IF(E27*0.1&lt;E25,"Exceed 10% Rule","")</f>
        <v/>
      </c>
    </row>
    <row r="27" spans="2:5" x14ac:dyDescent="0.2">
      <c r="B27" s="145" t="s">
        <v>94</v>
      </c>
      <c r="C27" s="463">
        <f>SUM(C18:C25)</f>
        <v>0</v>
      </c>
      <c r="D27" s="463">
        <f>SUM(D18:D25)</f>
        <v>0</v>
      </c>
      <c r="E27" s="463">
        <f>SUM(E18:E25)</f>
        <v>0</v>
      </c>
    </row>
    <row r="28" spans="2:5" x14ac:dyDescent="0.2">
      <c r="B28" s="60" t="s">
        <v>196</v>
      </c>
      <c r="C28" s="106">
        <f>C16-C27</f>
        <v>0</v>
      </c>
      <c r="D28" s="106">
        <f>D16-D27</f>
        <v>0</v>
      </c>
      <c r="E28" s="106">
        <f>E16-E27</f>
        <v>0</v>
      </c>
    </row>
    <row r="29" spans="2:5" x14ac:dyDescent="0.2">
      <c r="B29" s="135" t="str">
        <f>CONCATENATE("",E1-2,"/",E1-1,"/",E1," Budget Authority Amount:")</f>
        <v>2023/2024/2025 Budget Authority Amount:</v>
      </c>
      <c r="C29" s="167">
        <f>inputOth!B58</f>
        <v>0</v>
      </c>
      <c r="D29" s="167">
        <f>inputPrYr!D44</f>
        <v>0</v>
      </c>
      <c r="E29" s="344">
        <f>E27</f>
        <v>0</v>
      </c>
    </row>
    <row r="30" spans="2:5" x14ac:dyDescent="0.2">
      <c r="B30" s="125"/>
      <c r="C30" s="152" t="str">
        <f>IF(C27&gt;C29,"See Tab A","")</f>
        <v/>
      </c>
      <c r="D30" s="152" t="str">
        <f>IF(D27&gt;D29,"See Tab C","")</f>
        <v/>
      </c>
      <c r="E30" s="345" t="str">
        <f>IF(E28&lt;0,"See Tab E","")</f>
        <v/>
      </c>
    </row>
    <row r="31" spans="2:5" x14ac:dyDescent="0.2">
      <c r="B31" s="125"/>
      <c r="C31" s="152" t="str">
        <f>IF(C28&lt;0,"See Tab B","")</f>
        <v/>
      </c>
      <c r="D31" s="152" t="str">
        <f>IF(D28&lt;0,"See Tab D","")</f>
        <v/>
      </c>
      <c r="E31" s="49"/>
    </row>
    <row r="32" spans="2:5" x14ac:dyDescent="0.2">
      <c r="B32" s="26"/>
      <c r="C32" s="49"/>
      <c r="D32" s="49"/>
      <c r="E32" s="49"/>
    </row>
    <row r="33" spans="2:5" x14ac:dyDescent="0.2">
      <c r="B33" s="25" t="s">
        <v>80</v>
      </c>
      <c r="C33" s="155"/>
      <c r="D33" s="155"/>
      <c r="E33" s="155"/>
    </row>
    <row r="34" spans="2:5" x14ac:dyDescent="0.2">
      <c r="B34" s="26"/>
      <c r="C34" s="153" t="str">
        <f t="shared" ref="C34:E35" si="0">C5</f>
        <v xml:space="preserve">Prior Year </v>
      </c>
      <c r="D34" s="80" t="str">
        <f t="shared" si="0"/>
        <v xml:space="preserve">Current Year </v>
      </c>
      <c r="E34" s="80" t="str">
        <f t="shared" si="0"/>
        <v xml:space="preserve">Proposed Budget </v>
      </c>
    </row>
    <row r="35" spans="2:5" x14ac:dyDescent="0.2">
      <c r="B35" s="247">
        <f>inputPrYr!B45</f>
        <v>0</v>
      </c>
      <c r="C35" s="104" t="str">
        <f t="shared" si="0"/>
        <v>Actual for 2023</v>
      </c>
      <c r="D35" s="104" t="str">
        <f t="shared" si="0"/>
        <v>Estimate for 2024</v>
      </c>
      <c r="E35" s="136" t="str">
        <f t="shared" si="0"/>
        <v>Year for 2025</v>
      </c>
    </row>
    <row r="36" spans="2:5" x14ac:dyDescent="0.2">
      <c r="B36" s="60" t="s">
        <v>195</v>
      </c>
      <c r="C36" s="42"/>
      <c r="D36" s="106">
        <f>C57</f>
        <v>0</v>
      </c>
      <c r="E36" s="106">
        <f>D57</f>
        <v>0</v>
      </c>
    </row>
    <row r="37" spans="2:5" x14ac:dyDescent="0.2">
      <c r="B37" s="60" t="s">
        <v>197</v>
      </c>
      <c r="C37" s="38"/>
      <c r="D37" s="38"/>
      <c r="E37" s="38"/>
    </row>
    <row r="38" spans="2:5" x14ac:dyDescent="0.2">
      <c r="B38" s="150"/>
      <c r="C38" s="42"/>
      <c r="D38" s="42"/>
      <c r="E38" s="42"/>
    </row>
    <row r="39" spans="2:5" x14ac:dyDescent="0.2">
      <c r="B39" s="150"/>
      <c r="C39" s="42"/>
      <c r="D39" s="42"/>
      <c r="E39" s="42"/>
    </row>
    <row r="40" spans="2:5" x14ac:dyDescent="0.2">
      <c r="B40" s="150"/>
      <c r="C40" s="42"/>
      <c r="D40" s="42"/>
      <c r="E40" s="42"/>
    </row>
    <row r="41" spans="2:5" x14ac:dyDescent="0.2">
      <c r="B41" s="142" t="s">
        <v>88</v>
      </c>
      <c r="C41" s="42"/>
      <c r="D41" s="42"/>
      <c r="E41" s="42"/>
    </row>
    <row r="42" spans="2:5" x14ac:dyDescent="0.2">
      <c r="B42" s="143" t="s">
        <v>38</v>
      </c>
      <c r="C42" s="42"/>
      <c r="D42" s="138"/>
      <c r="E42" s="138"/>
    </row>
    <row r="43" spans="2:5" x14ac:dyDescent="0.2">
      <c r="B43" s="143" t="s">
        <v>291</v>
      </c>
      <c r="C43" s="244" t="str">
        <f>IF(C44*0.1&lt;C42,"Exceed 10% Rule","")</f>
        <v/>
      </c>
      <c r="D43" s="144" t="str">
        <f>IF(D44*0.1&lt;D42,"Exceed 10% Rule","")</f>
        <v/>
      </c>
      <c r="E43" s="144" t="str">
        <f>IF(E44*0.1&lt;E42,"Exceed 10% Rule","")</f>
        <v/>
      </c>
    </row>
    <row r="44" spans="2:5" x14ac:dyDescent="0.2">
      <c r="B44" s="145" t="s">
        <v>89</v>
      </c>
      <c r="C44" s="463">
        <f>SUM(C38:C42)</f>
        <v>0</v>
      </c>
      <c r="D44" s="463">
        <f>SUM(D38:D42)</f>
        <v>0</v>
      </c>
      <c r="E44" s="463">
        <f>SUM(E38:E42)</f>
        <v>0</v>
      </c>
    </row>
    <row r="45" spans="2:5" x14ac:dyDescent="0.2">
      <c r="B45" s="145" t="s">
        <v>90</v>
      </c>
      <c r="C45" s="463">
        <f>C36+C44</f>
        <v>0</v>
      </c>
      <c r="D45" s="463">
        <f>D36+D44</f>
        <v>0</v>
      </c>
      <c r="E45" s="463">
        <f>E36+E44</f>
        <v>0</v>
      </c>
    </row>
    <row r="46" spans="2:5" x14ac:dyDescent="0.2">
      <c r="B46" s="60" t="s">
        <v>93</v>
      </c>
      <c r="C46" s="106"/>
      <c r="D46" s="106"/>
      <c r="E46" s="106"/>
    </row>
    <row r="47" spans="2:5" x14ac:dyDescent="0.2">
      <c r="B47" s="150"/>
      <c r="C47" s="42"/>
      <c r="D47" s="42"/>
      <c r="E47" s="42"/>
    </row>
    <row r="48" spans="2:5" x14ac:dyDescent="0.2">
      <c r="B48" s="150"/>
      <c r="C48" s="42"/>
      <c r="D48" s="42"/>
      <c r="E48" s="42"/>
    </row>
    <row r="49" spans="2:5" x14ac:dyDescent="0.2">
      <c r="B49" s="150"/>
      <c r="C49" s="42"/>
      <c r="D49" s="42"/>
      <c r="E49" s="42"/>
    </row>
    <row r="50" spans="2:5" x14ac:dyDescent="0.2">
      <c r="B50" s="150"/>
      <c r="C50" s="42"/>
      <c r="D50" s="42"/>
      <c r="E50" s="42"/>
    </row>
    <row r="51" spans="2:5" x14ac:dyDescent="0.2">
      <c r="B51" s="150"/>
      <c r="C51" s="42"/>
      <c r="D51" s="42"/>
      <c r="E51" s="42"/>
    </row>
    <row r="52" spans="2:5" x14ac:dyDescent="0.2">
      <c r="B52" s="150"/>
      <c r="C52" s="42"/>
      <c r="D52" s="42"/>
      <c r="E52" s="42"/>
    </row>
    <row r="53" spans="2:5" x14ac:dyDescent="0.2">
      <c r="B53" s="143" t="str">
        <f>CONCATENATE("Cash Reserve (",E1," column)")</f>
        <v>Cash Reserve (2025 column)</v>
      </c>
      <c r="C53" s="42"/>
      <c r="D53" s="42"/>
      <c r="E53" s="42"/>
    </row>
    <row r="54" spans="2:5" x14ac:dyDescent="0.2">
      <c r="B54" s="143" t="s">
        <v>38</v>
      </c>
      <c r="C54" s="42"/>
      <c r="D54" s="138"/>
      <c r="E54" s="138"/>
    </row>
    <row r="55" spans="2:5" x14ac:dyDescent="0.2">
      <c r="B55" s="143" t="s">
        <v>290</v>
      </c>
      <c r="C55" s="244" t="str">
        <f>IF(C56*0.1&lt;C54,"Exceed 10% Rule","")</f>
        <v/>
      </c>
      <c r="D55" s="144" t="str">
        <f>IF(D56*0.1&lt;D54,"Exceed 10% Rule","")</f>
        <v/>
      </c>
      <c r="E55" s="144" t="str">
        <f>IF(E56*0.1&lt;E54,"Exceed 10% Rule","")</f>
        <v/>
      </c>
    </row>
    <row r="56" spans="2:5" x14ac:dyDescent="0.2">
      <c r="B56" s="145" t="s">
        <v>94</v>
      </c>
      <c r="C56" s="463">
        <f>SUM(C47:C54)</f>
        <v>0</v>
      </c>
      <c r="D56" s="463">
        <f>SUM(D47:D54)</f>
        <v>0</v>
      </c>
      <c r="E56" s="463">
        <f>SUM(E47:E54)</f>
        <v>0</v>
      </c>
    </row>
    <row r="57" spans="2:5" x14ac:dyDescent="0.2">
      <c r="B57" s="60" t="s">
        <v>196</v>
      </c>
      <c r="C57" s="106">
        <f>C45-C56</f>
        <v>0</v>
      </c>
      <c r="D57" s="106">
        <f>D45-D56</f>
        <v>0</v>
      </c>
      <c r="E57" s="106">
        <f>E45-E56</f>
        <v>0</v>
      </c>
    </row>
    <row r="58" spans="2:5" x14ac:dyDescent="0.2">
      <c r="B58" s="135" t="str">
        <f>CONCATENATE("",E1-2,"/",E1-1,"/",E1," Budget Authority Amount:")</f>
        <v>2023/2024/2025 Budget Authority Amount:</v>
      </c>
      <c r="C58" s="167">
        <f>inputOth!B59</f>
        <v>0</v>
      </c>
      <c r="D58" s="167">
        <f>inputPrYr!D45</f>
        <v>0</v>
      </c>
      <c r="E58" s="344">
        <f>E56</f>
        <v>0</v>
      </c>
    </row>
    <row r="59" spans="2:5" x14ac:dyDescent="0.2">
      <c r="B59" s="125"/>
      <c r="C59" s="152" t="str">
        <f>IF(C56&gt;C58,"See Tab A","")</f>
        <v/>
      </c>
      <c r="D59" s="152" t="str">
        <f>IF(D56&gt;D58,"See Tab C","")</f>
        <v/>
      </c>
      <c r="E59" s="346" t="str">
        <f>IF(E57&lt;0,"See Tab E","")</f>
        <v/>
      </c>
    </row>
    <row r="60" spans="2:5" x14ac:dyDescent="0.2">
      <c r="B60" s="425" t="s">
        <v>354</v>
      </c>
      <c r="C60" s="346"/>
      <c r="D60" s="346"/>
      <c r="E60" s="415"/>
    </row>
    <row r="61" spans="2:5" x14ac:dyDescent="0.2">
      <c r="B61" s="416"/>
      <c r="C61" s="152"/>
      <c r="D61" s="152"/>
      <c r="E61" s="417"/>
    </row>
    <row r="62" spans="2:5" x14ac:dyDescent="0.2">
      <c r="B62" s="418"/>
      <c r="C62" s="419" t="str">
        <f>IF(C57&lt;0,"See Tab B","")</f>
        <v/>
      </c>
      <c r="D62" s="419" t="str">
        <f>IF(D57&lt;0,"See Tab D","")</f>
        <v/>
      </c>
      <c r="E62" s="47"/>
    </row>
    <row r="63" spans="2:5" x14ac:dyDescent="0.2">
      <c r="B63" s="26"/>
      <c r="C63" s="26"/>
      <c r="D63" s="26"/>
      <c r="E63" s="26"/>
    </row>
    <row r="64" spans="2:5" x14ac:dyDescent="0.2">
      <c r="B64" s="125" t="s">
        <v>146</v>
      </c>
      <c r="C64" s="368"/>
      <c r="D64" s="26"/>
      <c r="E64" s="26"/>
    </row>
  </sheetData>
  <sheetProtection sheet="1" objects="1" scenarios="1"/>
  <phoneticPr fontId="0" type="noConversion"/>
  <conditionalFormatting sqref="C13">
    <cfRule type="cellIs" dxfId="99" priority="10" stopIfTrue="1" operator="greaterThan">
      <formula>$C$15*0.1</formula>
    </cfRule>
  </conditionalFormatting>
  <conditionalFormatting sqref="C25">
    <cfRule type="cellIs" dxfId="98" priority="7" stopIfTrue="1" operator="greaterThan">
      <formula>$C$27*0.1</formula>
    </cfRule>
  </conditionalFormatting>
  <conditionalFormatting sqref="C42">
    <cfRule type="cellIs" dxfId="97" priority="13" stopIfTrue="1" operator="greaterThan">
      <formula>$C$44*0.1</formula>
    </cfRule>
  </conditionalFormatting>
  <conditionalFormatting sqref="C54">
    <cfRule type="cellIs" dxfId="96" priority="16" stopIfTrue="1" operator="greaterThan">
      <formula>$C$56*0.1</formula>
    </cfRule>
  </conditionalFormatting>
  <conditionalFormatting sqref="D13">
    <cfRule type="cellIs" dxfId="95" priority="11" stopIfTrue="1" operator="greaterThan">
      <formula>$D$15*0.1</formula>
    </cfRule>
  </conditionalFormatting>
  <conditionalFormatting sqref="D25">
    <cfRule type="cellIs" dxfId="94" priority="8" stopIfTrue="1" operator="greaterThan">
      <formula>$D$27*0.1</formula>
    </cfRule>
  </conditionalFormatting>
  <conditionalFormatting sqref="D42">
    <cfRule type="cellIs" dxfId="93" priority="14" stopIfTrue="1" operator="greaterThan">
      <formula>$D$44*0.1</formula>
    </cfRule>
  </conditionalFormatting>
  <conditionalFormatting sqref="D54">
    <cfRule type="cellIs" dxfId="92" priority="17" stopIfTrue="1" operator="greaterThan">
      <formula>$D$56*0.1</formula>
    </cfRule>
  </conditionalFormatting>
  <conditionalFormatting sqref="E13">
    <cfRule type="cellIs" dxfId="91" priority="12" stopIfTrue="1" operator="greaterThan">
      <formula>$E$15*0.1</formula>
    </cfRule>
  </conditionalFormatting>
  <conditionalFormatting sqref="E25">
    <cfRule type="cellIs" dxfId="90" priority="9" stopIfTrue="1" operator="greaterThan">
      <formula>$E$27*0.1</formula>
    </cfRule>
  </conditionalFormatting>
  <conditionalFormatting sqref="E42">
    <cfRule type="cellIs" dxfId="89" priority="15" stopIfTrue="1" operator="greaterThan">
      <formula>$E$44*0.1</formula>
    </cfRule>
  </conditionalFormatting>
  <conditionalFormatting sqref="E54">
    <cfRule type="cellIs" dxfId="88" priority="18" stopIfTrue="1" operator="greaterThan">
      <formula>$E$56*0.1</formula>
    </cfRule>
  </conditionalFormatting>
  <pageMargins left="1.1200000000000001" right="0.5" top="0.74" bottom="0.34" header="0.5" footer="0"/>
  <pageSetup scale="71" orientation="portrait" blackAndWhite="1" horizontalDpi="120" verticalDpi="144" r:id="rId1"/>
  <headerFooter alignWithMargins="0">
    <oddHeader xml:space="preserve">&amp;RState of Kansas
County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73"/>
  <sheetViews>
    <sheetView workbookViewId="0">
      <selection activeCell="A23" sqref="A23:E24"/>
    </sheetView>
  </sheetViews>
  <sheetFormatPr defaultRowHeight="15.75" x14ac:dyDescent="0.2"/>
  <cols>
    <col min="1" max="1" width="15.77734375" style="23" customWidth="1"/>
    <col min="2" max="2" width="20.77734375" style="23" customWidth="1"/>
    <col min="3" max="3" width="9.77734375" style="23" customWidth="1"/>
    <col min="4" max="4" width="15.33203125" style="23" customWidth="1"/>
    <col min="5" max="5" width="15.77734375" style="23" customWidth="1"/>
    <col min="6" max="16384" width="8.88671875" style="23"/>
  </cols>
  <sheetData>
    <row r="1" spans="1:5" x14ac:dyDescent="0.2">
      <c r="A1" s="57">
        <f>inputPrYr!C3</f>
        <v>0</v>
      </c>
      <c r="B1" s="26"/>
      <c r="C1" s="26"/>
      <c r="D1" s="26"/>
      <c r="E1" s="26">
        <f>inputPrYr!C5</f>
        <v>2025</v>
      </c>
    </row>
    <row r="2" spans="1:5" x14ac:dyDescent="0.2">
      <c r="A2" s="57"/>
      <c r="B2" s="26"/>
      <c r="C2" s="26"/>
      <c r="D2" s="26"/>
      <c r="E2" s="26"/>
    </row>
    <row r="3" spans="1:5" x14ac:dyDescent="0.2">
      <c r="A3" s="555" t="s">
        <v>331</v>
      </c>
      <c r="B3" s="556"/>
      <c r="C3" s="556"/>
      <c r="D3" s="556"/>
      <c r="E3" s="556"/>
    </row>
    <row r="4" spans="1:5" x14ac:dyDescent="0.2">
      <c r="A4" s="26"/>
      <c r="B4" s="26"/>
      <c r="C4" s="26"/>
      <c r="D4" s="26"/>
      <c r="E4" s="26"/>
    </row>
    <row r="5" spans="1:5" x14ac:dyDescent="0.2">
      <c r="A5" s="362" t="str">
        <f>CONCATENATE("From the County Clerk's ",E1," Budget Information:")</f>
        <v>From the County Clerk's 2025 Budget Information:</v>
      </c>
      <c r="B5" s="363"/>
      <c r="C5" s="353"/>
      <c r="D5" s="26"/>
      <c r="E5" s="49"/>
    </row>
    <row r="6" spans="1:5" x14ac:dyDescent="0.2">
      <c r="A6" s="58" t="str">
        <f>CONCATENATE("Total Assessed Valuation for ",E1-1,"")</f>
        <v>Total Assessed Valuation for 2024</v>
      </c>
      <c r="B6" s="51"/>
      <c r="C6" s="51"/>
      <c r="D6" s="51"/>
      <c r="E6" s="42"/>
    </row>
    <row r="7" spans="1:5" hidden="1" x14ac:dyDescent="0.2">
      <c r="A7" s="58" t="str">
        <f>CONCATENATE("New Improvements, Remodeling and Renovations for ",E1-1,"")</f>
        <v>New Improvements, Remodeling and Renovations for 2024</v>
      </c>
      <c r="B7" s="51"/>
      <c r="C7" s="51"/>
      <c r="D7" s="51"/>
      <c r="E7" s="59"/>
    </row>
    <row r="8" spans="1:5" hidden="1" x14ac:dyDescent="0.2">
      <c r="A8" s="58" t="str">
        <f>CONCATENATE("Personal Property - ",E1-1,"")</f>
        <v>Personal Property - 2024</v>
      </c>
      <c r="B8" s="51"/>
      <c r="C8" s="51"/>
      <c r="D8" s="51"/>
      <c r="E8" s="59"/>
    </row>
    <row r="9" spans="1:5" hidden="1" x14ac:dyDescent="0.2">
      <c r="A9" s="58" t="str">
        <f>CONCATENATE("Property that has changed in use for ",E1-1,"")</f>
        <v>Property that has changed in use for 2024</v>
      </c>
      <c r="B9" s="51"/>
      <c r="C9" s="51"/>
      <c r="D9" s="51"/>
      <c r="E9" s="59"/>
    </row>
    <row r="10" spans="1:5" hidden="1" x14ac:dyDescent="0.2">
      <c r="A10" s="58" t="str">
        <f>CONCATENATE("Personal Property - ",E1-2,"")</f>
        <v>Personal Property - 2023</v>
      </c>
      <c r="B10" s="51"/>
      <c r="C10" s="51"/>
      <c r="D10" s="51"/>
      <c r="E10" s="59"/>
    </row>
    <row r="11" spans="1:5" hidden="1" x14ac:dyDescent="0.2">
      <c r="A11" s="58" t="s">
        <v>356</v>
      </c>
      <c r="B11" s="51"/>
      <c r="C11" s="51"/>
      <c r="D11" s="51"/>
      <c r="E11" s="59"/>
    </row>
    <row r="12" spans="1:5" x14ac:dyDescent="0.2">
      <c r="A12" s="58" t="str">
        <f>CONCATENATE("Gross earnings (intangible) tax esitmate for ",E1,"")</f>
        <v>Gross earnings (intangible) tax esitmate for 2025</v>
      </c>
      <c r="B12" s="51"/>
      <c r="C12" s="51"/>
      <c r="D12" s="51"/>
      <c r="E12" s="42"/>
    </row>
    <row r="13" spans="1:5" x14ac:dyDescent="0.2">
      <c r="A13" s="60" t="s">
        <v>211</v>
      </c>
      <c r="B13" s="51"/>
      <c r="C13" s="51"/>
      <c r="D13" s="45"/>
      <c r="E13" s="42"/>
    </row>
    <row r="14" spans="1:5" x14ac:dyDescent="0.2">
      <c r="A14" s="25"/>
      <c r="B14" s="299"/>
      <c r="C14" s="299"/>
      <c r="D14" s="299"/>
      <c r="E14" s="299"/>
    </row>
    <row r="15" spans="1:5" x14ac:dyDescent="0.2">
      <c r="A15" s="429" t="s">
        <v>358</v>
      </c>
      <c r="B15" s="299"/>
      <c r="C15" s="299"/>
      <c r="D15" s="299"/>
      <c r="E15" s="428"/>
    </row>
    <row r="16" spans="1:5" x14ac:dyDescent="0.2">
      <c r="A16" s="26"/>
      <c r="B16" s="26"/>
      <c r="C16" s="26"/>
      <c r="D16" s="32"/>
      <c r="E16" s="32"/>
    </row>
    <row r="17" spans="1:5" x14ac:dyDescent="0.2">
      <c r="A17" s="362" t="str">
        <f>CONCATENATE("From the County Treasurer's ",E1," Budget Information:")</f>
        <v>From the County Treasurer's 2025 Budget Information:</v>
      </c>
      <c r="B17" s="363"/>
      <c r="C17" s="364"/>
      <c r="D17" s="49"/>
      <c r="E17" s="49"/>
    </row>
    <row r="18" spans="1:5" x14ac:dyDescent="0.2">
      <c r="A18" s="43" t="s">
        <v>55</v>
      </c>
      <c r="B18" s="44"/>
      <c r="C18" s="44"/>
      <c r="D18" s="61"/>
      <c r="E18" s="381"/>
    </row>
    <row r="19" spans="1:5" x14ac:dyDescent="0.2">
      <c r="A19" s="58" t="s">
        <v>56</v>
      </c>
      <c r="B19" s="51"/>
      <c r="C19" s="51"/>
      <c r="D19" s="62"/>
      <c r="E19" s="381"/>
    </row>
    <row r="20" spans="1:5" x14ac:dyDescent="0.2">
      <c r="A20" s="58" t="s">
        <v>189</v>
      </c>
      <c r="B20" s="51"/>
      <c r="C20" s="51"/>
      <c r="D20" s="62"/>
      <c r="E20" s="381"/>
    </row>
    <row r="21" spans="1:5" x14ac:dyDescent="0.2">
      <c r="A21" s="382" t="s">
        <v>337</v>
      </c>
      <c r="B21" s="51"/>
      <c r="C21" s="51"/>
      <c r="D21" s="63"/>
      <c r="E21" s="381"/>
    </row>
    <row r="22" spans="1:5" x14ac:dyDescent="0.2">
      <c r="A22" s="382" t="s">
        <v>338</v>
      </c>
      <c r="B22" s="51"/>
      <c r="C22" s="51"/>
      <c r="D22" s="63"/>
      <c r="E22" s="381"/>
    </row>
    <row r="23" spans="1:5" x14ac:dyDescent="0.2">
      <c r="A23" s="26"/>
      <c r="B23" s="26"/>
      <c r="C23" s="26"/>
      <c r="D23" s="26"/>
      <c r="E23" s="26"/>
    </row>
    <row r="24" spans="1:5" x14ac:dyDescent="0.2">
      <c r="A24" s="64" t="s">
        <v>212</v>
      </c>
      <c r="B24" s="26"/>
      <c r="C24" s="26"/>
      <c r="D24" s="26"/>
      <c r="E24" s="26"/>
    </row>
    <row r="25" spans="1:5" x14ac:dyDescent="0.2">
      <c r="A25" s="371" t="str">
        <f>CONCATENATE("Actual Delinquency for ",E1-3," Tax - (e.g. rate .01213 = 1.213%;  key in 1.2)")</f>
        <v>Actual Delinquency for 2022 Tax - (e.g. rate .01213 = 1.213%;  key in 1.2)</v>
      </c>
      <c r="B25" s="26"/>
      <c r="C25" s="26"/>
      <c r="D25" s="26"/>
      <c r="E25" s="26"/>
    </row>
    <row r="26" spans="1:5" x14ac:dyDescent="0.2">
      <c r="A26" s="373" t="s">
        <v>317</v>
      </c>
      <c r="B26" s="44"/>
      <c r="C26" s="44"/>
      <c r="D26" s="44"/>
      <c r="E26" s="337">
        <v>0</v>
      </c>
    </row>
    <row r="27" spans="1:5" x14ac:dyDescent="0.2">
      <c r="A27" s="365" t="s">
        <v>213</v>
      </c>
      <c r="B27" s="366"/>
      <c r="C27" s="366"/>
      <c r="D27" s="366"/>
      <c r="E27" s="367"/>
    </row>
    <row r="28" spans="1:5" x14ac:dyDescent="0.2">
      <c r="A28" s="66"/>
      <c r="B28" s="66"/>
      <c r="C28" s="66"/>
      <c r="D28" s="66"/>
      <c r="E28" s="66"/>
    </row>
    <row r="29" spans="1:5" x14ac:dyDescent="0.2">
      <c r="A29" s="569" t="str">
        <f>CONCATENATE("From the ",E1-2," Budget Certificate Page")</f>
        <v>From the 2023 Budget Certificate Page</v>
      </c>
      <c r="B29" s="570"/>
      <c r="C29" s="66"/>
      <c r="D29" s="66"/>
      <c r="E29" s="66"/>
    </row>
    <row r="30" spans="1:5" x14ac:dyDescent="0.2">
      <c r="A30" s="67"/>
      <c r="B30" s="571" t="str">
        <f>CONCATENATE("",E1-2,"                         Expenditure Amt Budget Authority")</f>
        <v>2023                         Expenditure Amt Budget Authority</v>
      </c>
      <c r="C30" s="574" t="str">
        <f>CONCATENATE("Note: If the ",E1-2," budget was amended, then the")</f>
        <v>Note: If the 2023 budget was amended, then the</v>
      </c>
      <c r="D30" s="575"/>
      <c r="E30" s="575"/>
    </row>
    <row r="31" spans="1:5" x14ac:dyDescent="0.2">
      <c r="A31" s="68" t="s">
        <v>34</v>
      </c>
      <c r="B31" s="572"/>
      <c r="C31" s="69" t="s">
        <v>35</v>
      </c>
      <c r="D31" s="70"/>
      <c r="E31" s="70"/>
    </row>
    <row r="32" spans="1:5" x14ac:dyDescent="0.2">
      <c r="A32" s="71"/>
      <c r="B32" s="573"/>
      <c r="C32" s="69" t="s">
        <v>36</v>
      </c>
      <c r="D32" s="70"/>
      <c r="E32" s="70"/>
    </row>
    <row r="33" spans="1:5" x14ac:dyDescent="0.2">
      <c r="A33" s="72" t="str">
        <f>inputPrYr!B17</f>
        <v>General</v>
      </c>
      <c r="B33" s="73"/>
      <c r="C33" s="69"/>
      <c r="D33" s="70"/>
      <c r="E33" s="70"/>
    </row>
    <row r="34" spans="1:5" x14ac:dyDescent="0.2">
      <c r="A34" s="72" t="str">
        <f>inputPrYr!B18</f>
        <v>Debt Service</v>
      </c>
      <c r="B34" s="36"/>
      <c r="C34" s="69"/>
      <c r="D34" s="70"/>
      <c r="E34" s="70"/>
    </row>
    <row r="35" spans="1:5" x14ac:dyDescent="0.2">
      <c r="A35" s="72" t="str">
        <f>inputPrYr!B19</f>
        <v>Road &amp; Bridge</v>
      </c>
      <c r="B35" s="36"/>
      <c r="C35" s="66"/>
      <c r="D35" s="66"/>
      <c r="E35" s="66"/>
    </row>
    <row r="36" spans="1:5" x14ac:dyDescent="0.2">
      <c r="A36" s="72">
        <f>inputPrYr!B20</f>
        <v>0</v>
      </c>
      <c r="B36" s="36"/>
      <c r="C36" s="66"/>
      <c r="D36" s="66"/>
      <c r="E36" s="66"/>
    </row>
    <row r="37" spans="1:5" x14ac:dyDescent="0.2">
      <c r="A37" s="72">
        <f>inputPrYr!B21</f>
        <v>0</v>
      </c>
      <c r="B37" s="36"/>
      <c r="C37" s="66"/>
      <c r="D37" s="66"/>
      <c r="E37" s="66"/>
    </row>
    <row r="38" spans="1:5" x14ac:dyDescent="0.2">
      <c r="A38" s="72">
        <f>inputPrYr!B22</f>
        <v>0</v>
      </c>
      <c r="B38" s="36"/>
      <c r="C38" s="66"/>
      <c r="D38" s="66"/>
      <c r="E38" s="66"/>
    </row>
    <row r="39" spans="1:5" x14ac:dyDescent="0.2">
      <c r="A39" s="72">
        <f>inputPrYr!B23</f>
        <v>0</v>
      </c>
      <c r="B39" s="36"/>
      <c r="C39" s="66"/>
      <c r="D39" s="66"/>
      <c r="E39" s="66"/>
    </row>
    <row r="40" spans="1:5" x14ac:dyDescent="0.2">
      <c r="A40" s="72">
        <f>inputPrYr!B24</f>
        <v>0</v>
      </c>
      <c r="B40" s="36"/>
      <c r="C40" s="66"/>
      <c r="D40" s="66"/>
      <c r="E40" s="66"/>
    </row>
    <row r="41" spans="1:5" x14ac:dyDescent="0.2">
      <c r="A41" s="72">
        <f>inputPrYr!B25</f>
        <v>0</v>
      </c>
      <c r="B41" s="36"/>
      <c r="C41" s="66"/>
      <c r="D41" s="66"/>
      <c r="E41" s="66"/>
    </row>
    <row r="42" spans="1:5" x14ac:dyDescent="0.2">
      <c r="A42" s="72">
        <f>inputPrYr!B26</f>
        <v>0</v>
      </c>
      <c r="B42" s="36"/>
      <c r="C42" s="66"/>
      <c r="D42" s="66"/>
      <c r="E42" s="66"/>
    </row>
    <row r="43" spans="1:5" x14ac:dyDescent="0.2">
      <c r="A43" s="72">
        <f>inputPrYr!B27</f>
        <v>0</v>
      </c>
      <c r="B43" s="36"/>
      <c r="C43" s="66"/>
      <c r="D43" s="66"/>
      <c r="E43" s="66"/>
    </row>
    <row r="44" spans="1:5" x14ac:dyDescent="0.2">
      <c r="A44" s="72">
        <f>inputPrYr!B28</f>
        <v>0</v>
      </c>
      <c r="B44" s="36"/>
      <c r="C44" s="66"/>
      <c r="D44" s="66"/>
      <c r="E44" s="66"/>
    </row>
    <row r="45" spans="1:5" x14ac:dyDescent="0.2">
      <c r="A45" s="72">
        <f>inputPrYr!B29</f>
        <v>0</v>
      </c>
      <c r="B45" s="36"/>
      <c r="C45" s="66"/>
      <c r="D45" s="66"/>
      <c r="E45" s="66"/>
    </row>
    <row r="46" spans="1:5" x14ac:dyDescent="0.2">
      <c r="A46" s="72">
        <f>inputPrYr!B30</f>
        <v>0</v>
      </c>
      <c r="B46" s="36"/>
      <c r="C46" s="66"/>
      <c r="D46" s="66"/>
      <c r="E46" s="66"/>
    </row>
    <row r="47" spans="1:5" x14ac:dyDescent="0.2">
      <c r="A47" s="72">
        <f>inputPrYr!B31</f>
        <v>0</v>
      </c>
      <c r="B47" s="36"/>
      <c r="C47" s="66"/>
      <c r="D47" s="66"/>
      <c r="E47" s="66"/>
    </row>
    <row r="48" spans="1:5" x14ac:dyDescent="0.2">
      <c r="A48" s="72">
        <f>inputPrYr!B32</f>
        <v>0</v>
      </c>
      <c r="B48" s="36"/>
      <c r="C48" s="66"/>
      <c r="D48" s="66"/>
      <c r="E48" s="66"/>
    </row>
    <row r="49" spans="1:5" x14ac:dyDescent="0.2">
      <c r="A49" s="72">
        <f>inputPrYr!B33</f>
        <v>0</v>
      </c>
      <c r="B49" s="36"/>
      <c r="C49" s="66"/>
      <c r="D49" s="66"/>
      <c r="E49" s="66"/>
    </row>
    <row r="50" spans="1:5" x14ac:dyDescent="0.2">
      <c r="A50" s="72">
        <f>inputPrYr!B34</f>
        <v>0</v>
      </c>
      <c r="B50" s="36"/>
      <c r="C50" s="66"/>
      <c r="D50" s="66"/>
      <c r="E50" s="66"/>
    </row>
    <row r="51" spans="1:5" x14ac:dyDescent="0.2">
      <c r="A51" s="72">
        <f>inputPrYr!B35</f>
        <v>0</v>
      </c>
      <c r="B51" s="36"/>
      <c r="C51" s="66"/>
      <c r="D51" s="66"/>
      <c r="E51" s="66"/>
    </row>
    <row r="52" spans="1:5" x14ac:dyDescent="0.2">
      <c r="A52" s="72">
        <f>inputPrYr!B36</f>
        <v>0</v>
      </c>
      <c r="B52" s="36"/>
      <c r="C52" s="66"/>
      <c r="D52" s="66"/>
      <c r="E52" s="66"/>
    </row>
    <row r="53" spans="1:5" x14ac:dyDescent="0.2">
      <c r="A53" s="72">
        <f>inputPrYr!B37</f>
        <v>0</v>
      </c>
      <c r="B53" s="36"/>
      <c r="C53" s="66"/>
      <c r="D53" s="66"/>
      <c r="E53" s="66"/>
    </row>
    <row r="54" spans="1:5" x14ac:dyDescent="0.2">
      <c r="A54" s="72">
        <f>inputPrYr!B38</f>
        <v>0</v>
      </c>
      <c r="B54" s="36"/>
      <c r="C54" s="66"/>
      <c r="D54" s="66"/>
      <c r="E54" s="66"/>
    </row>
    <row r="55" spans="1:5" x14ac:dyDescent="0.2">
      <c r="A55" s="72">
        <f>inputPrYr!B39</f>
        <v>0</v>
      </c>
      <c r="B55" s="36"/>
      <c r="C55" s="66"/>
      <c r="D55" s="66"/>
      <c r="E55" s="66"/>
    </row>
    <row r="56" spans="1:5" x14ac:dyDescent="0.2">
      <c r="A56" s="72">
        <f>inputPrYr!B40</f>
        <v>0</v>
      </c>
      <c r="B56" s="36"/>
      <c r="C56" s="66"/>
      <c r="D56" s="66"/>
      <c r="E56" s="66"/>
    </row>
    <row r="57" spans="1:5" x14ac:dyDescent="0.2">
      <c r="A57" s="72">
        <f>inputPrYr!B41</f>
        <v>0</v>
      </c>
      <c r="B57" s="36"/>
      <c r="C57" s="66"/>
      <c r="D57" s="66"/>
      <c r="E57" s="66"/>
    </row>
    <row r="58" spans="1:5" x14ac:dyDescent="0.2">
      <c r="A58" s="72">
        <f>inputPrYr!B44</f>
        <v>0</v>
      </c>
      <c r="B58" s="36"/>
      <c r="C58" s="66"/>
      <c r="D58" s="66"/>
      <c r="E58" s="66"/>
    </row>
    <row r="59" spans="1:5" x14ac:dyDescent="0.2">
      <c r="A59" s="72">
        <f>inputPrYr!B45</f>
        <v>0</v>
      </c>
      <c r="B59" s="36"/>
      <c r="C59" s="66"/>
      <c r="D59" s="66"/>
      <c r="E59" s="66"/>
    </row>
    <row r="60" spans="1:5" x14ac:dyDescent="0.2">
      <c r="A60" s="72">
        <f>inputPrYr!B46</f>
        <v>0</v>
      </c>
      <c r="B60" s="36"/>
      <c r="C60" s="66"/>
      <c r="D60" s="66"/>
      <c r="E60" s="66"/>
    </row>
    <row r="61" spans="1:5" x14ac:dyDescent="0.2">
      <c r="A61" s="72">
        <f>inputPrYr!B47</f>
        <v>0</v>
      </c>
      <c r="B61" s="36"/>
      <c r="C61" s="66"/>
      <c r="D61" s="66"/>
      <c r="E61" s="66"/>
    </row>
    <row r="62" spans="1:5" x14ac:dyDescent="0.2">
      <c r="A62" s="72">
        <f>inputPrYr!B48</f>
        <v>0</v>
      </c>
      <c r="B62" s="36"/>
      <c r="C62" s="66"/>
      <c r="D62" s="66"/>
      <c r="E62" s="66"/>
    </row>
    <row r="63" spans="1:5" x14ac:dyDescent="0.2">
      <c r="A63" s="72">
        <f>inputPrYr!B49</f>
        <v>0</v>
      </c>
      <c r="B63" s="36"/>
      <c r="C63" s="66"/>
      <c r="D63" s="66"/>
      <c r="E63" s="66"/>
    </row>
    <row r="64" spans="1:5" x14ac:dyDescent="0.2">
      <c r="A64" s="72">
        <f>inputPrYr!B50</f>
        <v>0</v>
      </c>
      <c r="B64" s="36"/>
      <c r="C64" s="66"/>
      <c r="D64" s="66"/>
      <c r="E64" s="66"/>
    </row>
    <row r="65" spans="1:5" x14ac:dyDescent="0.2">
      <c r="A65" s="72">
        <f>inputPrYr!B51</f>
        <v>0</v>
      </c>
      <c r="B65" s="36"/>
      <c r="C65" s="66"/>
      <c r="D65" s="66"/>
      <c r="E65" s="66"/>
    </row>
    <row r="66" spans="1:5" x14ac:dyDescent="0.2">
      <c r="A66" s="72">
        <f>inputPrYr!B52</f>
        <v>0</v>
      </c>
      <c r="B66" s="36"/>
      <c r="C66" s="66"/>
      <c r="D66" s="66"/>
      <c r="E66" s="66"/>
    </row>
    <row r="67" spans="1:5" x14ac:dyDescent="0.2">
      <c r="A67" s="72">
        <f>inputPrYr!B53</f>
        <v>0</v>
      </c>
      <c r="B67" s="36"/>
      <c r="C67" s="66"/>
      <c r="D67" s="66"/>
      <c r="E67" s="66"/>
    </row>
    <row r="68" spans="1:5" x14ac:dyDescent="0.2">
      <c r="A68" s="72">
        <f>inputPrYr!B54</f>
        <v>0</v>
      </c>
      <c r="B68" s="36"/>
      <c r="C68" s="66"/>
      <c r="D68" s="66"/>
      <c r="E68" s="66"/>
    </row>
    <row r="69" spans="1:5" x14ac:dyDescent="0.2">
      <c r="A69" s="72">
        <f>inputPrYr!B55</f>
        <v>0</v>
      </c>
      <c r="B69" s="36"/>
      <c r="C69" s="66"/>
      <c r="D69" s="66"/>
      <c r="E69" s="66"/>
    </row>
    <row r="70" spans="1:5" x14ac:dyDescent="0.2">
      <c r="A70" s="72">
        <f>inputPrYr!B56</f>
        <v>0</v>
      </c>
      <c r="B70" s="36"/>
      <c r="C70" s="66"/>
      <c r="D70" s="66"/>
      <c r="E70" s="66"/>
    </row>
    <row r="71" spans="1:5" x14ac:dyDescent="0.2">
      <c r="A71" s="72">
        <f>inputPrYr!B57</f>
        <v>0</v>
      </c>
      <c r="B71" s="36"/>
      <c r="C71" s="66"/>
      <c r="D71" s="66"/>
      <c r="E71" s="66"/>
    </row>
    <row r="72" spans="1:5" x14ac:dyDescent="0.2">
      <c r="A72" s="72">
        <f>inputPrYr!B58</f>
        <v>0</v>
      </c>
      <c r="B72" s="36"/>
      <c r="C72" s="66"/>
      <c r="D72" s="66"/>
      <c r="E72" s="66"/>
    </row>
    <row r="73" spans="1:5" x14ac:dyDescent="0.2">
      <c r="A73" s="72">
        <f>inputPrYr!B59</f>
        <v>0</v>
      </c>
      <c r="B73" s="36"/>
      <c r="C73" s="66"/>
      <c r="D73" s="66"/>
      <c r="E73" s="66"/>
    </row>
  </sheetData>
  <sheetProtection sheet="1" objects="1" scenarios="1"/>
  <mergeCells count="4">
    <mergeCell ref="A3:E3"/>
    <mergeCell ref="A29:B29"/>
    <mergeCell ref="B30:B32"/>
    <mergeCell ref="C30:E30"/>
  </mergeCells>
  <phoneticPr fontId="7" type="noConversion"/>
  <pageMargins left="0.75" right="0.75" top="1" bottom="1" header="0.5" footer="0.5"/>
  <pageSetup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5">
    <tabColor rgb="FF00B0F0"/>
    <pageSetUpPr fitToPage="1"/>
  </sheetPr>
  <dimension ref="B1:E65"/>
  <sheetViews>
    <sheetView workbookViewId="0">
      <selection activeCell="B15" sqref="B15"/>
    </sheetView>
  </sheetViews>
  <sheetFormatPr defaultRowHeight="15.75" x14ac:dyDescent="0.2"/>
  <cols>
    <col min="1" max="1" width="2.44140625" style="23" customWidth="1"/>
    <col min="2" max="2" width="31.109375" style="23" customWidth="1"/>
    <col min="3" max="4" width="15.77734375" style="23" customWidth="1"/>
    <col min="5" max="5" width="16.109375" style="23" customWidth="1"/>
    <col min="6" max="16384" width="8.88671875" style="23"/>
  </cols>
  <sheetData>
    <row r="1" spans="2:5" x14ac:dyDescent="0.2">
      <c r="B1" s="57">
        <f>(inputPrYr!C3)</f>
        <v>0</v>
      </c>
      <c r="C1" s="26"/>
      <c r="D1" s="26"/>
      <c r="E1" s="125">
        <f>inputPrYr!C5</f>
        <v>2025</v>
      </c>
    </row>
    <row r="2" spans="2:5" x14ac:dyDescent="0.2">
      <c r="B2" s="26"/>
      <c r="C2" s="26"/>
      <c r="D2" s="26"/>
      <c r="E2" s="90"/>
    </row>
    <row r="3" spans="2:5" x14ac:dyDescent="0.2">
      <c r="B3" s="64" t="s">
        <v>186</v>
      </c>
      <c r="C3" s="161"/>
      <c r="D3" s="161"/>
      <c r="E3" s="162"/>
    </row>
    <row r="4" spans="2:5" x14ac:dyDescent="0.2">
      <c r="B4" s="26"/>
      <c r="C4" s="155"/>
      <c r="D4" s="155"/>
      <c r="E4" s="155"/>
    </row>
    <row r="5" spans="2:5" x14ac:dyDescent="0.2">
      <c r="B5" s="25" t="s">
        <v>80</v>
      </c>
      <c r="C5" s="153" t="str">
        <f>General!C4</f>
        <v xml:space="preserve">Prior Year </v>
      </c>
      <c r="D5" s="80" t="str">
        <f>General!D4</f>
        <v xml:space="preserve">Current Year </v>
      </c>
      <c r="E5" s="80" t="str">
        <f>General!E4</f>
        <v xml:space="preserve">Proposed Budget </v>
      </c>
    </row>
    <row r="6" spans="2:5" x14ac:dyDescent="0.2">
      <c r="B6" s="248">
        <f>inputPrYr!B46</f>
        <v>0</v>
      </c>
      <c r="C6" s="104" t="str">
        <f>General!C5</f>
        <v>Actual for 2023</v>
      </c>
      <c r="D6" s="104" t="str">
        <f>General!D5</f>
        <v>Estimate for 2024</v>
      </c>
      <c r="E6" s="136" t="str">
        <f>General!E5</f>
        <v>Year for 2025</v>
      </c>
    </row>
    <row r="7" spans="2:5" x14ac:dyDescent="0.2">
      <c r="B7" s="60" t="s">
        <v>195</v>
      </c>
      <c r="C7" s="42"/>
      <c r="D7" s="106">
        <f>C28</f>
        <v>0</v>
      </c>
      <c r="E7" s="106">
        <f>D28</f>
        <v>0</v>
      </c>
    </row>
    <row r="8" spans="2:5" x14ac:dyDescent="0.2">
      <c r="B8" s="164" t="s">
        <v>197</v>
      </c>
      <c r="C8" s="38"/>
      <c r="D8" s="38"/>
      <c r="E8" s="38"/>
    </row>
    <row r="9" spans="2:5" x14ac:dyDescent="0.2">
      <c r="B9" s="150"/>
      <c r="C9" s="42"/>
      <c r="D9" s="42"/>
      <c r="E9" s="42"/>
    </row>
    <row r="10" spans="2:5" x14ac:dyDescent="0.2">
      <c r="B10" s="150"/>
      <c r="C10" s="42"/>
      <c r="D10" s="42"/>
      <c r="E10" s="42"/>
    </row>
    <row r="11" spans="2:5" x14ac:dyDescent="0.2">
      <c r="B11" s="150"/>
      <c r="C11" s="42"/>
      <c r="D11" s="42"/>
      <c r="E11" s="42"/>
    </row>
    <row r="12" spans="2:5" x14ac:dyDescent="0.2">
      <c r="B12" s="142" t="s">
        <v>88</v>
      </c>
      <c r="C12" s="42"/>
      <c r="D12" s="42"/>
      <c r="E12" s="42"/>
    </row>
    <row r="13" spans="2:5" x14ac:dyDescent="0.2">
      <c r="B13" s="143" t="s">
        <v>38</v>
      </c>
      <c r="C13" s="42"/>
      <c r="D13" s="138"/>
      <c r="E13" s="138"/>
    </row>
    <row r="14" spans="2:5" x14ac:dyDescent="0.2">
      <c r="B14" s="143" t="s">
        <v>291</v>
      </c>
      <c r="C14" s="244" t="str">
        <f>IF(C15*0.1&lt;C13,"Exceed 10% Rule","")</f>
        <v/>
      </c>
      <c r="D14" s="144" t="str">
        <f>IF(D15*0.1&lt;D13,"Exceed 10% Rule","")</f>
        <v/>
      </c>
      <c r="E14" s="144" t="str">
        <f>IF(E15*0.1&lt;E13,"Exceed 10% Rule","")</f>
        <v/>
      </c>
    </row>
    <row r="15" spans="2:5" x14ac:dyDescent="0.2">
      <c r="B15" s="145" t="s">
        <v>89</v>
      </c>
      <c r="C15" s="463">
        <f>SUM(C9:C13)</f>
        <v>0</v>
      </c>
      <c r="D15" s="463">
        <f>SUM(D9:D13)</f>
        <v>0</v>
      </c>
      <c r="E15" s="463">
        <f>SUM(E9:E13)</f>
        <v>0</v>
      </c>
    </row>
    <row r="16" spans="2:5" x14ac:dyDescent="0.2">
      <c r="B16" s="145" t="s">
        <v>90</v>
      </c>
      <c r="C16" s="463">
        <f>C15+C7</f>
        <v>0</v>
      </c>
      <c r="D16" s="463">
        <f>D15+D7</f>
        <v>0</v>
      </c>
      <c r="E16" s="463">
        <f>E15+E7</f>
        <v>0</v>
      </c>
    </row>
    <row r="17" spans="2:5" x14ac:dyDescent="0.2">
      <c r="B17" s="60" t="s">
        <v>93</v>
      </c>
      <c r="C17" s="106"/>
      <c r="D17" s="106"/>
      <c r="E17" s="106"/>
    </row>
    <row r="18" spans="2:5" x14ac:dyDescent="0.2">
      <c r="B18" s="150"/>
      <c r="C18" s="42"/>
      <c r="D18" s="42"/>
      <c r="E18" s="42"/>
    </row>
    <row r="19" spans="2:5" x14ac:dyDescent="0.2">
      <c r="B19" s="150"/>
      <c r="C19" s="42"/>
      <c r="D19" s="42"/>
      <c r="E19" s="42"/>
    </row>
    <row r="20" spans="2:5" x14ac:dyDescent="0.2">
      <c r="B20" s="150"/>
      <c r="C20" s="42"/>
      <c r="D20" s="42"/>
      <c r="E20" s="42"/>
    </row>
    <row r="21" spans="2:5" x14ac:dyDescent="0.2">
      <c r="B21" s="150"/>
      <c r="C21" s="42"/>
      <c r="D21" s="42"/>
      <c r="E21" s="42"/>
    </row>
    <row r="22" spans="2:5" x14ac:dyDescent="0.2">
      <c r="B22" s="150"/>
      <c r="C22" s="42"/>
      <c r="D22" s="42"/>
      <c r="E22" s="42"/>
    </row>
    <row r="23" spans="2:5" x14ac:dyDescent="0.2">
      <c r="B23" s="150"/>
      <c r="C23" s="42"/>
      <c r="D23" s="42"/>
      <c r="E23" s="42"/>
    </row>
    <row r="24" spans="2:5" x14ac:dyDescent="0.2">
      <c r="B24" s="143" t="str">
        <f>CONCATENATE("Cash Reserve (",E1," column)")</f>
        <v>Cash Reserve (2025 column)</v>
      </c>
      <c r="C24" s="42"/>
      <c r="D24" s="42"/>
      <c r="E24" s="42"/>
    </row>
    <row r="25" spans="2:5" x14ac:dyDescent="0.2">
      <c r="B25" s="143" t="s">
        <v>38</v>
      </c>
      <c r="C25" s="42"/>
      <c r="D25" s="138"/>
      <c r="E25" s="138"/>
    </row>
    <row r="26" spans="2:5" x14ac:dyDescent="0.2">
      <c r="B26" s="143" t="s">
        <v>290</v>
      </c>
      <c r="C26" s="244" t="str">
        <f>IF(C27*0.1&lt;C25,"Exceed 10% Rule","")</f>
        <v/>
      </c>
      <c r="D26" s="144" t="str">
        <f>IF(D27*0.1&lt;D25,"Exceed 10% Rule","")</f>
        <v/>
      </c>
      <c r="E26" s="144" t="str">
        <f>IF(E27*0.1&lt;E25,"Exceed 10% Rule","")</f>
        <v/>
      </c>
    </row>
    <row r="27" spans="2:5" x14ac:dyDescent="0.2">
      <c r="B27" s="145" t="s">
        <v>94</v>
      </c>
      <c r="C27" s="463">
        <f>SUM(C18:C25)</f>
        <v>0</v>
      </c>
      <c r="D27" s="463">
        <f>SUM(D18:D25)</f>
        <v>0</v>
      </c>
      <c r="E27" s="463">
        <f>SUM(E18:E25)</f>
        <v>0</v>
      </c>
    </row>
    <row r="28" spans="2:5" x14ac:dyDescent="0.2">
      <c r="B28" s="60" t="s">
        <v>196</v>
      </c>
      <c r="C28" s="106">
        <f>C16-C27</f>
        <v>0</v>
      </c>
      <c r="D28" s="106">
        <f>D16-D27</f>
        <v>0</v>
      </c>
      <c r="E28" s="106">
        <f>E16-E27</f>
        <v>0</v>
      </c>
    </row>
    <row r="29" spans="2:5" x14ac:dyDescent="0.2">
      <c r="B29" s="135" t="str">
        <f>CONCATENATE("",E1-2,"/",E1-1,"/",E1," Budget Authority Amount:")</f>
        <v>2023/2024/2025 Budget Authority Amount:</v>
      </c>
      <c r="C29" s="167">
        <f>inputOth!B60</f>
        <v>0</v>
      </c>
      <c r="D29" s="167">
        <f>inputPrYr!D46</f>
        <v>0</v>
      </c>
      <c r="E29" s="344">
        <f>E27</f>
        <v>0</v>
      </c>
    </row>
    <row r="30" spans="2:5" x14ac:dyDescent="0.2">
      <c r="B30" s="125"/>
      <c r="C30" s="152" t="str">
        <f>IF(C27&gt;C29,"See Tab A","")</f>
        <v/>
      </c>
      <c r="D30" s="152" t="str">
        <f>IF(D27&gt;D29,"See Tab C","")</f>
        <v/>
      </c>
      <c r="E30" s="345" t="str">
        <f>IF(E28&lt;0,"See Tab E","")</f>
        <v/>
      </c>
    </row>
    <row r="31" spans="2:5" x14ac:dyDescent="0.2">
      <c r="B31" s="125"/>
      <c r="C31" s="152" t="str">
        <f>IF(C28&lt;0,"See Tab B","")</f>
        <v/>
      </c>
      <c r="D31" s="152" t="str">
        <f>IF(D28&lt;0,"See Tab D","")</f>
        <v/>
      </c>
      <c r="E31" s="49"/>
    </row>
    <row r="32" spans="2:5" x14ac:dyDescent="0.2">
      <c r="B32" s="26"/>
      <c r="C32" s="49"/>
      <c r="D32" s="49"/>
      <c r="E32" s="49"/>
    </row>
    <row r="33" spans="2:5" x14ac:dyDescent="0.2">
      <c r="B33" s="25" t="s">
        <v>80</v>
      </c>
      <c r="C33" s="155"/>
      <c r="D33" s="155"/>
      <c r="E33" s="155"/>
    </row>
    <row r="34" spans="2:5" x14ac:dyDescent="0.2">
      <c r="B34" s="26"/>
      <c r="C34" s="153" t="str">
        <f t="shared" ref="C34:E35" si="0">C5</f>
        <v xml:space="preserve">Prior Year </v>
      </c>
      <c r="D34" s="80" t="str">
        <f t="shared" si="0"/>
        <v xml:space="preserve">Current Year </v>
      </c>
      <c r="E34" s="80" t="str">
        <f t="shared" si="0"/>
        <v xml:space="preserve">Proposed Budget </v>
      </c>
    </row>
    <row r="35" spans="2:5" x14ac:dyDescent="0.2">
      <c r="B35" s="247">
        <f>inputPrYr!B47</f>
        <v>0</v>
      </c>
      <c r="C35" s="104" t="str">
        <f t="shared" si="0"/>
        <v>Actual for 2023</v>
      </c>
      <c r="D35" s="104" t="str">
        <f t="shared" si="0"/>
        <v>Estimate for 2024</v>
      </c>
      <c r="E35" s="104" t="str">
        <f t="shared" si="0"/>
        <v>Year for 2025</v>
      </c>
    </row>
    <row r="36" spans="2:5" x14ac:dyDescent="0.2">
      <c r="B36" s="60" t="s">
        <v>195</v>
      </c>
      <c r="C36" s="42"/>
      <c r="D36" s="106">
        <f>C58</f>
        <v>0</v>
      </c>
      <c r="E36" s="106">
        <f>D58</f>
        <v>0</v>
      </c>
    </row>
    <row r="37" spans="2:5" x14ac:dyDescent="0.2">
      <c r="B37" s="60" t="s">
        <v>197</v>
      </c>
      <c r="C37" s="38"/>
      <c r="D37" s="38"/>
      <c r="E37" s="38"/>
    </row>
    <row r="38" spans="2:5" x14ac:dyDescent="0.2">
      <c r="B38" s="150"/>
      <c r="C38" s="42"/>
      <c r="D38" s="42"/>
      <c r="E38" s="42"/>
    </row>
    <row r="39" spans="2:5" x14ac:dyDescent="0.2">
      <c r="B39" s="150"/>
      <c r="C39" s="42"/>
      <c r="D39" s="42"/>
      <c r="E39" s="42"/>
    </row>
    <row r="40" spans="2:5" x14ac:dyDescent="0.2">
      <c r="B40" s="150"/>
      <c r="C40" s="42"/>
      <c r="D40" s="42"/>
      <c r="E40" s="42"/>
    </row>
    <row r="41" spans="2:5" x14ac:dyDescent="0.2">
      <c r="B41" s="142" t="s">
        <v>88</v>
      </c>
      <c r="C41" s="42"/>
      <c r="D41" s="42"/>
      <c r="E41" s="42"/>
    </row>
    <row r="42" spans="2:5" x14ac:dyDescent="0.2">
      <c r="B42" s="143" t="s">
        <v>38</v>
      </c>
      <c r="C42" s="42"/>
      <c r="D42" s="138"/>
      <c r="E42" s="138"/>
    </row>
    <row r="43" spans="2:5" x14ac:dyDescent="0.2">
      <c r="B43" s="143" t="s">
        <v>291</v>
      </c>
      <c r="C43" s="244" t="str">
        <f>IF(C44*0.1&lt;C42,"Exceed 10% Rule","")</f>
        <v/>
      </c>
      <c r="D43" s="144" t="str">
        <f>IF(D44*0.1&lt;D42,"Exceed 10% Rule","")</f>
        <v/>
      </c>
      <c r="E43" s="144" t="str">
        <f>IF(E44*0.1&lt;E42,"Exceed 10% Rule","")</f>
        <v/>
      </c>
    </row>
    <row r="44" spans="2:5" x14ac:dyDescent="0.2">
      <c r="B44" s="145" t="s">
        <v>89</v>
      </c>
      <c r="C44" s="463">
        <f>SUM(C38:C42)</f>
        <v>0</v>
      </c>
      <c r="D44" s="463">
        <f>SUM(D38:D42)</f>
        <v>0</v>
      </c>
      <c r="E44" s="463">
        <f>SUM(E38:E42)</f>
        <v>0</v>
      </c>
    </row>
    <row r="45" spans="2:5" x14ac:dyDescent="0.2">
      <c r="B45" s="145" t="s">
        <v>90</v>
      </c>
      <c r="C45" s="463">
        <f>C36+C44</f>
        <v>0</v>
      </c>
      <c r="D45" s="463">
        <f>D36+D44</f>
        <v>0</v>
      </c>
      <c r="E45" s="463">
        <f>E36+E44</f>
        <v>0</v>
      </c>
    </row>
    <row r="46" spans="2:5" x14ac:dyDescent="0.2">
      <c r="B46" s="60" t="s">
        <v>93</v>
      </c>
      <c r="C46" s="106"/>
      <c r="D46" s="106"/>
      <c r="E46" s="106"/>
    </row>
    <row r="47" spans="2:5" x14ac:dyDescent="0.2">
      <c r="B47" s="150"/>
      <c r="C47" s="42"/>
      <c r="D47" s="42"/>
      <c r="E47" s="42"/>
    </row>
    <row r="48" spans="2:5" x14ac:dyDescent="0.2">
      <c r="B48" s="150"/>
      <c r="C48" s="42"/>
      <c r="D48" s="42"/>
      <c r="E48" s="42"/>
    </row>
    <row r="49" spans="2:5" x14ac:dyDescent="0.2">
      <c r="B49" s="150"/>
      <c r="C49" s="42"/>
      <c r="D49" s="42"/>
      <c r="E49" s="42"/>
    </row>
    <row r="50" spans="2:5" x14ac:dyDescent="0.2">
      <c r="B50" s="150"/>
      <c r="C50" s="42"/>
      <c r="D50" s="42"/>
      <c r="E50" s="42"/>
    </row>
    <row r="51" spans="2:5" x14ac:dyDescent="0.2">
      <c r="B51" s="150"/>
      <c r="C51" s="42"/>
      <c r="D51" s="42"/>
      <c r="E51" s="42"/>
    </row>
    <row r="52" spans="2:5" x14ac:dyDescent="0.2">
      <c r="B52" s="150"/>
      <c r="C52" s="42"/>
      <c r="D52" s="42"/>
      <c r="E52" s="42"/>
    </row>
    <row r="53" spans="2:5" x14ac:dyDescent="0.2">
      <c r="B53" s="150"/>
      <c r="C53" s="42"/>
      <c r="D53" s="42"/>
      <c r="E53" s="42"/>
    </row>
    <row r="54" spans="2:5" x14ac:dyDescent="0.2">
      <c r="B54" s="143" t="str">
        <f>CONCATENATE("Cash Reserve (",E1," column)")</f>
        <v>Cash Reserve (2025 column)</v>
      </c>
      <c r="C54" s="42"/>
      <c r="D54" s="42"/>
      <c r="E54" s="42"/>
    </row>
    <row r="55" spans="2:5" x14ac:dyDescent="0.2">
      <c r="B55" s="143" t="s">
        <v>38</v>
      </c>
      <c r="C55" s="42"/>
      <c r="D55" s="138"/>
      <c r="E55" s="138"/>
    </row>
    <row r="56" spans="2:5" x14ac:dyDescent="0.2">
      <c r="B56" s="143" t="s">
        <v>290</v>
      </c>
      <c r="C56" s="244" t="str">
        <f>IF(C57*0.1&lt;C55,"Exceed 10% Rule","")</f>
        <v/>
      </c>
      <c r="D56" s="144" t="str">
        <f>IF(D57*0.1&lt;D55,"Exceed 10% Rule","")</f>
        <v/>
      </c>
      <c r="E56" s="144" t="str">
        <f>IF(E57*0.1&lt;E55,"Exceed 10% Rule","")</f>
        <v/>
      </c>
    </row>
    <row r="57" spans="2:5" x14ac:dyDescent="0.2">
      <c r="B57" s="145" t="s">
        <v>94</v>
      </c>
      <c r="C57" s="463">
        <f>SUM(C47:C55)</f>
        <v>0</v>
      </c>
      <c r="D57" s="463">
        <f>SUM(D47:D55)</f>
        <v>0</v>
      </c>
      <c r="E57" s="463">
        <f>SUM(E47:E55)</f>
        <v>0</v>
      </c>
    </row>
    <row r="58" spans="2:5" x14ac:dyDescent="0.2">
      <c r="B58" s="60" t="s">
        <v>196</v>
      </c>
      <c r="C58" s="106">
        <f>C45-C57</f>
        <v>0</v>
      </c>
      <c r="D58" s="106">
        <f>D45-D57</f>
        <v>0</v>
      </c>
      <c r="E58" s="106">
        <f>E45-E57</f>
        <v>0</v>
      </c>
    </row>
    <row r="59" spans="2:5" x14ac:dyDescent="0.2">
      <c r="B59" s="135" t="str">
        <f>CONCATENATE("",E1-2,"/",E1-1,"/",E1," Budget Authority Amount:")</f>
        <v>2023/2024/2025 Budget Authority Amount:</v>
      </c>
      <c r="C59" s="167">
        <f>inputOth!B61</f>
        <v>0</v>
      </c>
      <c r="D59" s="167">
        <f>inputPrYr!D47</f>
        <v>0</v>
      </c>
      <c r="E59" s="344">
        <f>E57</f>
        <v>0</v>
      </c>
    </row>
    <row r="60" spans="2:5" x14ac:dyDescent="0.2">
      <c r="B60" s="125"/>
      <c r="C60" s="152" t="str">
        <f>IF(C57&gt;C59,"See Tab A","")</f>
        <v/>
      </c>
      <c r="D60" s="152" t="str">
        <f>IF(D57&gt;D59,"See Tab C","")</f>
        <v/>
      </c>
      <c r="E60" s="346" t="str">
        <f>IF(E58&lt;0,"See Tab E","")</f>
        <v/>
      </c>
    </row>
    <row r="61" spans="2:5" x14ac:dyDescent="0.2">
      <c r="B61" s="425" t="s">
        <v>354</v>
      </c>
      <c r="C61" s="346"/>
      <c r="D61" s="346"/>
      <c r="E61" s="415"/>
    </row>
    <row r="62" spans="2:5" x14ac:dyDescent="0.2">
      <c r="B62" s="416"/>
      <c r="C62" s="152"/>
      <c r="D62" s="152"/>
      <c r="E62" s="417"/>
    </row>
    <row r="63" spans="2:5" x14ac:dyDescent="0.2">
      <c r="B63" s="418"/>
      <c r="C63" s="419" t="str">
        <f>IF(C58&lt;0,"See Tab B","")</f>
        <v/>
      </c>
      <c r="D63" s="419" t="str">
        <f>IF(D58&lt;0,"See Tab D","")</f>
        <v/>
      </c>
      <c r="E63" s="47"/>
    </row>
    <row r="64" spans="2:5" x14ac:dyDescent="0.2">
      <c r="B64" s="26"/>
      <c r="C64" s="26"/>
      <c r="D64" s="26"/>
      <c r="E64" s="26"/>
    </row>
    <row r="65" spans="2:5" x14ac:dyDescent="0.2">
      <c r="B65" s="125" t="s">
        <v>146</v>
      </c>
      <c r="C65" s="368"/>
      <c r="D65" s="26"/>
      <c r="E65" s="26"/>
    </row>
  </sheetData>
  <sheetProtection sheet="1" objects="1" scenarios="1"/>
  <phoneticPr fontId="0" type="noConversion"/>
  <conditionalFormatting sqref="C13">
    <cfRule type="cellIs" dxfId="87" priority="6" stopIfTrue="1" operator="greaterThan">
      <formula>$C$15*0.1</formula>
    </cfRule>
  </conditionalFormatting>
  <conditionalFormatting sqref="C25">
    <cfRule type="cellIs" dxfId="86" priority="3" stopIfTrue="1" operator="greaterThan">
      <formula>$C$27*0.1</formula>
    </cfRule>
  </conditionalFormatting>
  <conditionalFormatting sqref="C42">
    <cfRule type="cellIs" dxfId="85" priority="9" stopIfTrue="1" operator="greaterThan">
      <formula>$C$44*0.1</formula>
    </cfRule>
  </conditionalFormatting>
  <conditionalFormatting sqref="C55">
    <cfRule type="cellIs" dxfId="84" priority="12" stopIfTrue="1" operator="greaterThan">
      <formula>$C$57*0.1</formula>
    </cfRule>
  </conditionalFormatting>
  <conditionalFormatting sqref="D13">
    <cfRule type="cellIs" dxfId="83" priority="7" stopIfTrue="1" operator="greaterThan">
      <formula>$D$15*0.1</formula>
    </cfRule>
  </conditionalFormatting>
  <conditionalFormatting sqref="D25">
    <cfRule type="cellIs" dxfId="82" priority="4" stopIfTrue="1" operator="greaterThan">
      <formula>$D$27*0.1</formula>
    </cfRule>
  </conditionalFormatting>
  <conditionalFormatting sqref="D42">
    <cfRule type="cellIs" dxfId="81" priority="10" stopIfTrue="1" operator="greaterThan">
      <formula>$D$44*0.1</formula>
    </cfRule>
  </conditionalFormatting>
  <conditionalFormatting sqref="D55">
    <cfRule type="cellIs" dxfId="80" priority="13" stopIfTrue="1" operator="greaterThan">
      <formula>$D$57*0.1</formula>
    </cfRule>
  </conditionalFormatting>
  <conditionalFormatting sqref="E13">
    <cfRule type="cellIs" dxfId="79" priority="8" stopIfTrue="1" operator="greaterThan">
      <formula>$E$15*0.1</formula>
    </cfRule>
  </conditionalFormatting>
  <conditionalFormatting sqref="E25">
    <cfRule type="cellIs" dxfId="78" priority="5" stopIfTrue="1" operator="greaterThan">
      <formula>$E$27*0.1</formula>
    </cfRule>
  </conditionalFormatting>
  <conditionalFormatting sqref="E42">
    <cfRule type="cellIs" dxfId="77" priority="11" stopIfTrue="1" operator="greaterThan">
      <formula>$E$44*0.1</formula>
    </cfRule>
  </conditionalFormatting>
  <conditionalFormatting sqref="E55">
    <cfRule type="cellIs" dxfId="76" priority="14" stopIfTrue="1" operator="greaterThan">
      <formula>$E$57*0.1</formula>
    </cfRule>
  </conditionalFormatting>
  <pageMargins left="1.1200000000000001" right="0.5" top="0.74" bottom="0.34" header="0.5" footer="0"/>
  <pageSetup scale="70" orientation="portrait" blackAndWhite="1" horizontalDpi="120" verticalDpi="144" r:id="rId1"/>
  <headerFooter alignWithMargins="0">
    <oddHeader xml:space="preserve">&amp;RState of Kansas
County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6">
    <tabColor rgb="FF00B0F0"/>
    <pageSetUpPr fitToPage="1"/>
  </sheetPr>
  <dimension ref="B1:E64"/>
  <sheetViews>
    <sheetView workbookViewId="0">
      <selection activeCell="B15" sqref="B15"/>
    </sheetView>
  </sheetViews>
  <sheetFormatPr defaultRowHeight="15.75" x14ac:dyDescent="0.2"/>
  <cols>
    <col min="1" max="1" width="2.44140625" style="23" customWidth="1"/>
    <col min="2" max="2" width="31.109375" style="23" customWidth="1"/>
    <col min="3" max="4" width="15.77734375" style="23" customWidth="1"/>
    <col min="5" max="5" width="16.21875" style="23" customWidth="1"/>
    <col min="6" max="16384" width="8.88671875" style="23"/>
  </cols>
  <sheetData>
    <row r="1" spans="2:5" x14ac:dyDescent="0.2">
      <c r="B1" s="57">
        <f>(inputPrYr!C3)</f>
        <v>0</v>
      </c>
      <c r="C1" s="26"/>
      <c r="D1" s="26"/>
      <c r="E1" s="125">
        <f>inputPrYr!C5</f>
        <v>2025</v>
      </c>
    </row>
    <row r="2" spans="2:5" x14ac:dyDescent="0.2">
      <c r="B2" s="26"/>
      <c r="C2" s="26"/>
      <c r="D2" s="26"/>
      <c r="E2" s="90"/>
    </row>
    <row r="3" spans="2:5" x14ac:dyDescent="0.2">
      <c r="B3" s="64" t="s">
        <v>186</v>
      </c>
      <c r="C3" s="161"/>
      <c r="D3" s="161"/>
      <c r="E3" s="162"/>
    </row>
    <row r="4" spans="2:5" x14ac:dyDescent="0.2">
      <c r="B4" s="26"/>
      <c r="C4" s="155"/>
      <c r="D4" s="155"/>
      <c r="E4" s="155"/>
    </row>
    <row r="5" spans="2:5" x14ac:dyDescent="0.2">
      <c r="B5" s="25" t="s">
        <v>80</v>
      </c>
      <c r="C5" s="153" t="str">
        <f>General!C4</f>
        <v xml:space="preserve">Prior Year </v>
      </c>
      <c r="D5" s="80" t="str">
        <f>General!D4</f>
        <v xml:space="preserve">Current Year </v>
      </c>
      <c r="E5" s="80" t="str">
        <f>General!E4</f>
        <v xml:space="preserve">Proposed Budget </v>
      </c>
    </row>
    <row r="6" spans="2:5" x14ac:dyDescent="0.2">
      <c r="B6" s="248">
        <f>inputPrYr!B48</f>
        <v>0</v>
      </c>
      <c r="C6" s="104" t="str">
        <f>General!C5</f>
        <v>Actual for 2023</v>
      </c>
      <c r="D6" s="104" t="str">
        <f>General!D5</f>
        <v>Estimate for 2024</v>
      </c>
      <c r="E6" s="136" t="str">
        <f>General!E5</f>
        <v>Year for 2025</v>
      </c>
    </row>
    <row r="7" spans="2:5" x14ac:dyDescent="0.2">
      <c r="B7" s="60" t="s">
        <v>195</v>
      </c>
      <c r="C7" s="42"/>
      <c r="D7" s="106">
        <f>C28</f>
        <v>0</v>
      </c>
      <c r="E7" s="106">
        <f>D28</f>
        <v>0</v>
      </c>
    </row>
    <row r="8" spans="2:5" x14ac:dyDescent="0.2">
      <c r="B8" s="164" t="s">
        <v>197</v>
      </c>
      <c r="C8" s="38"/>
      <c r="D8" s="38"/>
      <c r="E8" s="38"/>
    </row>
    <row r="9" spans="2:5" x14ac:dyDescent="0.2">
      <c r="B9" s="150"/>
      <c r="C9" s="42"/>
      <c r="D9" s="42"/>
      <c r="E9" s="42"/>
    </row>
    <row r="10" spans="2:5" x14ac:dyDescent="0.2">
      <c r="B10" s="150"/>
      <c r="C10" s="42"/>
      <c r="D10" s="42"/>
      <c r="E10" s="42"/>
    </row>
    <row r="11" spans="2:5" x14ac:dyDescent="0.2">
      <c r="B11" s="150"/>
      <c r="C11" s="42"/>
      <c r="D11" s="42"/>
      <c r="E11" s="42"/>
    </row>
    <row r="12" spans="2:5" x14ac:dyDescent="0.2">
      <c r="B12" s="142" t="s">
        <v>88</v>
      </c>
      <c r="C12" s="42"/>
      <c r="D12" s="42"/>
      <c r="E12" s="42"/>
    </row>
    <row r="13" spans="2:5" x14ac:dyDescent="0.2">
      <c r="B13" s="143" t="s">
        <v>38</v>
      </c>
      <c r="C13" s="42"/>
      <c r="D13" s="138"/>
      <c r="E13" s="138"/>
    </row>
    <row r="14" spans="2:5" x14ac:dyDescent="0.2">
      <c r="B14" s="143" t="s">
        <v>291</v>
      </c>
      <c r="C14" s="244" t="str">
        <f>IF(C15*0.1&lt;C13,"Exceed 10% Rule","")</f>
        <v/>
      </c>
      <c r="D14" s="144" t="str">
        <f>IF(D15*0.1&lt;D13,"Exceed 10% Rule","")</f>
        <v/>
      </c>
      <c r="E14" s="144" t="str">
        <f>IF(E15*0.1&lt;E13,"Exceed 10% Rule","")</f>
        <v/>
      </c>
    </row>
    <row r="15" spans="2:5" x14ac:dyDescent="0.2">
      <c r="B15" s="145" t="s">
        <v>89</v>
      </c>
      <c r="C15" s="463">
        <f>SUM(C9:C13)</f>
        <v>0</v>
      </c>
      <c r="D15" s="463">
        <f>SUM(D9:D13)</f>
        <v>0</v>
      </c>
      <c r="E15" s="463">
        <f>SUM(E9:E13)</f>
        <v>0</v>
      </c>
    </row>
    <row r="16" spans="2:5" x14ac:dyDescent="0.2">
      <c r="B16" s="145" t="s">
        <v>90</v>
      </c>
      <c r="C16" s="463">
        <f>C15+C7</f>
        <v>0</v>
      </c>
      <c r="D16" s="463">
        <f>D15+D7</f>
        <v>0</v>
      </c>
      <c r="E16" s="463">
        <f>E15+E7</f>
        <v>0</v>
      </c>
    </row>
    <row r="17" spans="2:5" x14ac:dyDescent="0.2">
      <c r="B17" s="60" t="s">
        <v>93</v>
      </c>
      <c r="C17" s="106"/>
      <c r="D17" s="106"/>
      <c r="E17" s="106"/>
    </row>
    <row r="18" spans="2:5" x14ac:dyDescent="0.2">
      <c r="B18" s="150"/>
      <c r="C18" s="42"/>
      <c r="D18" s="42"/>
      <c r="E18" s="42"/>
    </row>
    <row r="19" spans="2:5" x14ac:dyDescent="0.2">
      <c r="B19" s="150"/>
      <c r="C19" s="42"/>
      <c r="D19" s="42"/>
      <c r="E19" s="42"/>
    </row>
    <row r="20" spans="2:5" x14ac:dyDescent="0.2">
      <c r="B20" s="150"/>
      <c r="C20" s="42"/>
      <c r="D20" s="42"/>
      <c r="E20" s="42"/>
    </row>
    <row r="21" spans="2:5" x14ac:dyDescent="0.2">
      <c r="B21" s="150"/>
      <c r="C21" s="42"/>
      <c r="D21" s="42"/>
      <c r="E21" s="42"/>
    </row>
    <row r="22" spans="2:5" x14ac:dyDescent="0.2">
      <c r="B22" s="150"/>
      <c r="C22" s="42"/>
      <c r="D22" s="42"/>
      <c r="E22" s="42"/>
    </row>
    <row r="23" spans="2:5" x14ac:dyDescent="0.2">
      <c r="B23" s="150"/>
      <c r="C23" s="42"/>
      <c r="D23" s="42"/>
      <c r="E23" s="42"/>
    </row>
    <row r="24" spans="2:5" x14ac:dyDescent="0.2">
      <c r="B24" s="143" t="str">
        <f>CONCATENATE("Cash Reserve (",E1," column)")</f>
        <v>Cash Reserve (2025 column)</v>
      </c>
      <c r="C24" s="42"/>
      <c r="D24" s="42"/>
      <c r="E24" s="42"/>
    </row>
    <row r="25" spans="2:5" x14ac:dyDescent="0.2">
      <c r="B25" s="143" t="s">
        <v>38</v>
      </c>
      <c r="C25" s="42"/>
      <c r="D25" s="138"/>
      <c r="E25" s="138"/>
    </row>
    <row r="26" spans="2:5" x14ac:dyDescent="0.2">
      <c r="B26" s="143" t="s">
        <v>290</v>
      </c>
      <c r="C26" s="244" t="str">
        <f>IF(C27*0.1&lt;C25,"Exceed 10% Rule","")</f>
        <v/>
      </c>
      <c r="D26" s="144" t="str">
        <f>IF(D27*0.1&lt;D25,"Exceed 10% Rule","")</f>
        <v/>
      </c>
      <c r="E26" s="144" t="str">
        <f>IF(E27*0.1&lt;E25,"Exceed 10% Rule","")</f>
        <v/>
      </c>
    </row>
    <row r="27" spans="2:5" x14ac:dyDescent="0.2">
      <c r="B27" s="145" t="s">
        <v>94</v>
      </c>
      <c r="C27" s="463">
        <f>SUM(C18:C25)</f>
        <v>0</v>
      </c>
      <c r="D27" s="463">
        <f>SUM(D18:D25)</f>
        <v>0</v>
      </c>
      <c r="E27" s="463">
        <f>SUM(E18:E25)</f>
        <v>0</v>
      </c>
    </row>
    <row r="28" spans="2:5" x14ac:dyDescent="0.2">
      <c r="B28" s="60" t="s">
        <v>196</v>
      </c>
      <c r="C28" s="106">
        <f>C16-C27</f>
        <v>0</v>
      </c>
      <c r="D28" s="106">
        <f>D16-D27</f>
        <v>0</v>
      </c>
      <c r="E28" s="106">
        <f>E16-E27</f>
        <v>0</v>
      </c>
    </row>
    <row r="29" spans="2:5" x14ac:dyDescent="0.2">
      <c r="B29" s="135" t="str">
        <f>CONCATENATE("",E1-2,"/",E1-1,"/",E1," Budget Authority Amount:")</f>
        <v>2023/2024/2025 Budget Authority Amount:</v>
      </c>
      <c r="C29" s="167">
        <f>inputOth!B62</f>
        <v>0</v>
      </c>
      <c r="D29" s="167">
        <f>inputPrYr!D48</f>
        <v>0</v>
      </c>
      <c r="E29" s="344">
        <f>E27</f>
        <v>0</v>
      </c>
    </row>
    <row r="30" spans="2:5" x14ac:dyDescent="0.2">
      <c r="B30" s="125"/>
      <c r="C30" s="152" t="str">
        <f>IF(C27&gt;C29,"See Tab A","")</f>
        <v/>
      </c>
      <c r="D30" s="152" t="str">
        <f>IF(D27&gt;D29,"See Tab C","")</f>
        <v/>
      </c>
      <c r="E30" s="345" t="str">
        <f>IF(E28&lt;0,"See Tab E","")</f>
        <v/>
      </c>
    </row>
    <row r="31" spans="2:5" x14ac:dyDescent="0.2">
      <c r="B31" s="125"/>
      <c r="C31" s="152" t="str">
        <f>IF(C28&lt;0,"See Tab B","")</f>
        <v/>
      </c>
      <c r="D31" s="152" t="str">
        <f>IF(D28&lt;0,"See Tab D","")</f>
        <v/>
      </c>
      <c r="E31" s="49"/>
    </row>
    <row r="32" spans="2:5" x14ac:dyDescent="0.2">
      <c r="B32" s="26"/>
      <c r="C32" s="49"/>
      <c r="D32" s="49"/>
      <c r="E32" s="49"/>
    </row>
    <row r="33" spans="2:5" x14ac:dyDescent="0.2">
      <c r="B33" s="25" t="s">
        <v>80</v>
      </c>
      <c r="C33" s="155"/>
      <c r="D33" s="155"/>
      <c r="E33" s="155"/>
    </row>
    <row r="34" spans="2:5" x14ac:dyDescent="0.2">
      <c r="B34" s="26"/>
      <c r="C34" s="153" t="str">
        <f t="shared" ref="C34:E35" si="0">C5</f>
        <v xml:space="preserve">Prior Year </v>
      </c>
      <c r="D34" s="80" t="str">
        <f t="shared" si="0"/>
        <v xml:space="preserve">Current Year </v>
      </c>
      <c r="E34" s="80" t="str">
        <f t="shared" si="0"/>
        <v xml:space="preserve">Proposed Budget </v>
      </c>
    </row>
    <row r="35" spans="2:5" x14ac:dyDescent="0.2">
      <c r="B35" s="247">
        <f>inputPrYr!B49</f>
        <v>0</v>
      </c>
      <c r="C35" s="104" t="str">
        <f t="shared" si="0"/>
        <v>Actual for 2023</v>
      </c>
      <c r="D35" s="104" t="str">
        <f t="shared" si="0"/>
        <v>Estimate for 2024</v>
      </c>
      <c r="E35" s="104" t="str">
        <f t="shared" si="0"/>
        <v>Year for 2025</v>
      </c>
    </row>
    <row r="36" spans="2:5" x14ac:dyDescent="0.2">
      <c r="B36" s="60" t="s">
        <v>195</v>
      </c>
      <c r="C36" s="42"/>
      <c r="D36" s="106">
        <f>C57</f>
        <v>0</v>
      </c>
      <c r="E36" s="106">
        <f>D57</f>
        <v>0</v>
      </c>
    </row>
    <row r="37" spans="2:5" x14ac:dyDescent="0.2">
      <c r="B37" s="60" t="s">
        <v>197</v>
      </c>
      <c r="C37" s="38"/>
      <c r="D37" s="38"/>
      <c r="E37" s="38"/>
    </row>
    <row r="38" spans="2:5" x14ac:dyDescent="0.2">
      <c r="B38" s="150"/>
      <c r="C38" s="42"/>
      <c r="D38" s="42"/>
      <c r="E38" s="42"/>
    </row>
    <row r="39" spans="2:5" x14ac:dyDescent="0.2">
      <c r="B39" s="150"/>
      <c r="C39" s="42"/>
      <c r="D39" s="42"/>
      <c r="E39" s="42"/>
    </row>
    <row r="40" spans="2:5" x14ac:dyDescent="0.2">
      <c r="B40" s="150"/>
      <c r="C40" s="42"/>
      <c r="D40" s="42"/>
      <c r="E40" s="42"/>
    </row>
    <row r="41" spans="2:5" x14ac:dyDescent="0.2">
      <c r="B41" s="142" t="s">
        <v>88</v>
      </c>
      <c r="C41" s="42"/>
      <c r="D41" s="42"/>
      <c r="E41" s="42"/>
    </row>
    <row r="42" spans="2:5" x14ac:dyDescent="0.2">
      <c r="B42" s="143" t="s">
        <v>38</v>
      </c>
      <c r="C42" s="42"/>
      <c r="D42" s="138"/>
      <c r="E42" s="138"/>
    </row>
    <row r="43" spans="2:5" x14ac:dyDescent="0.2">
      <c r="B43" s="143" t="s">
        <v>291</v>
      </c>
      <c r="C43" s="244" t="str">
        <f>IF(C44*0.1&lt;C42,"Exceed 10% Rule","")</f>
        <v/>
      </c>
      <c r="D43" s="144" t="str">
        <f>IF(D44*0.1&lt;D42,"Exceed 10% Rule","")</f>
        <v/>
      </c>
      <c r="E43" s="144" t="str">
        <f>IF(E44*0.1&lt;E42,"Exceed 10% Rule","")</f>
        <v/>
      </c>
    </row>
    <row r="44" spans="2:5" x14ac:dyDescent="0.2">
      <c r="B44" s="145" t="s">
        <v>89</v>
      </c>
      <c r="C44" s="463">
        <f>SUM(C38:C42)</f>
        <v>0</v>
      </c>
      <c r="D44" s="463">
        <f>SUM(D38:D42)</f>
        <v>0</v>
      </c>
      <c r="E44" s="463">
        <f>SUM(E38:E42)</f>
        <v>0</v>
      </c>
    </row>
    <row r="45" spans="2:5" x14ac:dyDescent="0.2">
      <c r="B45" s="145" t="s">
        <v>90</v>
      </c>
      <c r="C45" s="463">
        <f>C36+C44</f>
        <v>0</v>
      </c>
      <c r="D45" s="463">
        <f>D36+D44</f>
        <v>0</v>
      </c>
      <c r="E45" s="463">
        <f>E36+E44</f>
        <v>0</v>
      </c>
    </row>
    <row r="46" spans="2:5" x14ac:dyDescent="0.2">
      <c r="B46" s="60" t="s">
        <v>93</v>
      </c>
      <c r="C46" s="106"/>
      <c r="D46" s="106"/>
      <c r="E46" s="106"/>
    </row>
    <row r="47" spans="2:5" x14ac:dyDescent="0.2">
      <c r="B47" s="150"/>
      <c r="C47" s="42"/>
      <c r="D47" s="42"/>
      <c r="E47" s="42"/>
    </row>
    <row r="48" spans="2:5" x14ac:dyDescent="0.2">
      <c r="B48" s="150"/>
      <c r="C48" s="42"/>
      <c r="D48" s="42"/>
      <c r="E48" s="42"/>
    </row>
    <row r="49" spans="2:5" x14ac:dyDescent="0.2">
      <c r="B49" s="150"/>
      <c r="C49" s="42"/>
      <c r="D49" s="42"/>
      <c r="E49" s="42"/>
    </row>
    <row r="50" spans="2:5" x14ac:dyDescent="0.2">
      <c r="B50" s="150"/>
      <c r="C50" s="42"/>
      <c r="D50" s="42"/>
      <c r="E50" s="42"/>
    </row>
    <row r="51" spans="2:5" x14ac:dyDescent="0.2">
      <c r="B51" s="150"/>
      <c r="C51" s="42"/>
      <c r="D51" s="42"/>
      <c r="E51" s="42"/>
    </row>
    <row r="52" spans="2:5" x14ac:dyDescent="0.2">
      <c r="B52" s="150"/>
      <c r="C52" s="42"/>
      <c r="D52" s="42"/>
      <c r="E52" s="42"/>
    </row>
    <row r="53" spans="2:5" x14ac:dyDescent="0.2">
      <c r="B53" s="143" t="str">
        <f>CONCATENATE("Cash Reserve (",E1," column)")</f>
        <v>Cash Reserve (2025 column)</v>
      </c>
      <c r="C53" s="42"/>
      <c r="D53" s="42"/>
      <c r="E53" s="42"/>
    </row>
    <row r="54" spans="2:5" x14ac:dyDescent="0.2">
      <c r="B54" s="143" t="s">
        <v>38</v>
      </c>
      <c r="C54" s="42"/>
      <c r="D54" s="138"/>
      <c r="E54" s="138"/>
    </row>
    <row r="55" spans="2:5" x14ac:dyDescent="0.2">
      <c r="B55" s="143" t="s">
        <v>290</v>
      </c>
      <c r="C55" s="244" t="str">
        <f>IF(C56*0.1&lt;C54,"Exceed 10% Rule","")</f>
        <v/>
      </c>
      <c r="D55" s="144" t="str">
        <f>IF(D56*0.1&lt;D54,"Exceed 10% Rule","")</f>
        <v/>
      </c>
      <c r="E55" s="144" t="str">
        <f>IF(E56*0.1&lt;E54,"Exceed 10% Rule","")</f>
        <v/>
      </c>
    </row>
    <row r="56" spans="2:5" x14ac:dyDescent="0.2">
      <c r="B56" s="145" t="s">
        <v>94</v>
      </c>
      <c r="C56" s="463">
        <f>SUM(C47:C54)</f>
        <v>0</v>
      </c>
      <c r="D56" s="463">
        <f>SUM(D47:D54)</f>
        <v>0</v>
      </c>
      <c r="E56" s="463">
        <f>SUM(E47:E54)</f>
        <v>0</v>
      </c>
    </row>
    <row r="57" spans="2:5" x14ac:dyDescent="0.2">
      <c r="B57" s="60" t="s">
        <v>196</v>
      </c>
      <c r="C57" s="106">
        <f>C45-C56</f>
        <v>0</v>
      </c>
      <c r="D57" s="106">
        <f>D45-D56</f>
        <v>0</v>
      </c>
      <c r="E57" s="106">
        <f>E45-E56</f>
        <v>0</v>
      </c>
    </row>
    <row r="58" spans="2:5" x14ac:dyDescent="0.2">
      <c r="B58" s="135" t="str">
        <f>CONCATENATE("",E1-2,"/",E1-1,"/",E1," Budget Authority Amount:")</f>
        <v>2023/2024/2025 Budget Authority Amount:</v>
      </c>
      <c r="C58" s="167">
        <f>inputOth!B63</f>
        <v>0</v>
      </c>
      <c r="D58" s="167">
        <f>inputPrYr!D49</f>
        <v>0</v>
      </c>
      <c r="E58" s="344">
        <f>E56</f>
        <v>0</v>
      </c>
    </row>
    <row r="59" spans="2:5" x14ac:dyDescent="0.2">
      <c r="B59" s="125"/>
      <c r="C59" s="152" t="str">
        <f>IF(C56&gt;C58,"See Tab A","")</f>
        <v/>
      </c>
      <c r="D59" s="152" t="str">
        <f>IF(D56&gt;D58,"See Tab C","")</f>
        <v/>
      </c>
      <c r="E59" s="346" t="str">
        <f>IF(E57&lt;0,"See Tab E","")</f>
        <v/>
      </c>
    </row>
    <row r="60" spans="2:5" x14ac:dyDescent="0.2">
      <c r="B60" s="425" t="s">
        <v>354</v>
      </c>
      <c r="C60" s="346"/>
      <c r="D60" s="346"/>
      <c r="E60" s="415"/>
    </row>
    <row r="61" spans="2:5" x14ac:dyDescent="0.2">
      <c r="B61" s="416"/>
      <c r="C61" s="152"/>
      <c r="D61" s="152"/>
      <c r="E61" s="417"/>
    </row>
    <row r="62" spans="2:5" x14ac:dyDescent="0.2">
      <c r="B62" s="418"/>
      <c r="C62" s="419" t="str">
        <f>IF(C57&lt;0,"See Tab B","")</f>
        <v/>
      </c>
      <c r="D62" s="419" t="str">
        <f>IF(D57&lt;0,"See Tab D","")</f>
        <v/>
      </c>
      <c r="E62" s="47"/>
    </row>
    <row r="63" spans="2:5" x14ac:dyDescent="0.2">
      <c r="B63" s="26"/>
      <c r="C63" s="26"/>
      <c r="D63" s="26"/>
      <c r="E63" s="26"/>
    </row>
    <row r="64" spans="2:5" x14ac:dyDescent="0.2">
      <c r="B64" s="125" t="s">
        <v>146</v>
      </c>
      <c r="C64" s="368"/>
      <c r="D64" s="26"/>
      <c r="E64" s="26"/>
    </row>
  </sheetData>
  <sheetProtection sheet="1" objects="1" scenarios="1"/>
  <phoneticPr fontId="0" type="noConversion"/>
  <conditionalFormatting sqref="C13">
    <cfRule type="cellIs" dxfId="75" priority="6" stopIfTrue="1" operator="greaterThan">
      <formula>$C$15*0.1</formula>
    </cfRule>
  </conditionalFormatting>
  <conditionalFormatting sqref="C25">
    <cfRule type="cellIs" dxfId="74" priority="3" stopIfTrue="1" operator="greaterThan">
      <formula>$C$27*0.1</formula>
    </cfRule>
  </conditionalFormatting>
  <conditionalFormatting sqref="C42">
    <cfRule type="cellIs" dxfId="73" priority="9" stopIfTrue="1" operator="greaterThan">
      <formula>$C$44*0.1</formula>
    </cfRule>
  </conditionalFormatting>
  <conditionalFormatting sqref="C54">
    <cfRule type="cellIs" dxfId="72" priority="12" stopIfTrue="1" operator="greaterThan">
      <formula>$C$56*0.1</formula>
    </cfRule>
  </conditionalFormatting>
  <conditionalFormatting sqref="D13">
    <cfRule type="cellIs" dxfId="71" priority="7" stopIfTrue="1" operator="greaterThan">
      <formula>$D$15*0.1</formula>
    </cfRule>
  </conditionalFormatting>
  <conditionalFormatting sqref="D25">
    <cfRule type="cellIs" dxfId="70" priority="4" stopIfTrue="1" operator="greaterThan">
      <formula>$D$27*0.1</formula>
    </cfRule>
  </conditionalFormatting>
  <conditionalFormatting sqref="D42">
    <cfRule type="cellIs" dxfId="69" priority="10" stopIfTrue="1" operator="greaterThan">
      <formula>$D$44*0.1</formula>
    </cfRule>
  </conditionalFormatting>
  <conditionalFormatting sqref="D54">
    <cfRule type="cellIs" dxfId="68" priority="13" stopIfTrue="1" operator="greaterThan">
      <formula>$D$56*0.1</formula>
    </cfRule>
  </conditionalFormatting>
  <conditionalFormatting sqref="E13">
    <cfRule type="cellIs" dxfId="67" priority="8" stopIfTrue="1" operator="greaterThan">
      <formula>$E$15*0.1</formula>
    </cfRule>
  </conditionalFormatting>
  <conditionalFormatting sqref="E25">
    <cfRule type="cellIs" dxfId="66" priority="5" stopIfTrue="1" operator="greaterThan">
      <formula>$E$27*0.1</formula>
    </cfRule>
  </conditionalFormatting>
  <conditionalFormatting sqref="E42">
    <cfRule type="cellIs" dxfId="65" priority="11" stopIfTrue="1" operator="greaterThan">
      <formula>$E$44*0.1</formula>
    </cfRule>
  </conditionalFormatting>
  <conditionalFormatting sqref="E54">
    <cfRule type="cellIs" dxfId="64" priority="14" stopIfTrue="1" operator="greaterThan">
      <formula>$E$56*0.1</formula>
    </cfRule>
  </conditionalFormatting>
  <pageMargins left="1.1200000000000001" right="0.5" top="0.74" bottom="0.34" header="0.5" footer="0"/>
  <pageSetup scale="71" orientation="portrait" blackAndWhite="1" horizontalDpi="120" verticalDpi="144" r:id="rId1"/>
  <headerFooter alignWithMargins="0">
    <oddHeader xml:space="preserve">&amp;RState of Kansas
County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7">
    <tabColor rgb="FF00B0F0"/>
    <pageSetUpPr fitToPage="1"/>
  </sheetPr>
  <dimension ref="B1:E64"/>
  <sheetViews>
    <sheetView workbookViewId="0">
      <selection activeCell="B15" sqref="B15"/>
    </sheetView>
  </sheetViews>
  <sheetFormatPr defaultRowHeight="15.75" x14ac:dyDescent="0.2"/>
  <cols>
    <col min="1" max="1" width="2.44140625" style="23" customWidth="1"/>
    <col min="2" max="2" width="31.109375" style="23" customWidth="1"/>
    <col min="3" max="4" width="15.77734375" style="23" customWidth="1"/>
    <col min="5" max="5" width="16.109375" style="23" customWidth="1"/>
    <col min="6" max="16384" width="8.88671875" style="23"/>
  </cols>
  <sheetData>
    <row r="1" spans="2:5" x14ac:dyDescent="0.2">
      <c r="B1" s="57">
        <f>(inputPrYr!C3)</f>
        <v>0</v>
      </c>
      <c r="C1" s="26"/>
      <c r="D1" s="26"/>
      <c r="E1" s="125">
        <f>inputPrYr!C5</f>
        <v>2025</v>
      </c>
    </row>
    <row r="2" spans="2:5" x14ac:dyDescent="0.2">
      <c r="B2" s="26"/>
      <c r="C2" s="26"/>
      <c r="D2" s="26"/>
      <c r="E2" s="90"/>
    </row>
    <row r="3" spans="2:5" x14ac:dyDescent="0.2">
      <c r="B3" s="64" t="s">
        <v>186</v>
      </c>
      <c r="C3" s="161"/>
      <c r="D3" s="161"/>
      <c r="E3" s="162"/>
    </row>
    <row r="4" spans="2:5" x14ac:dyDescent="0.2">
      <c r="B4" s="26"/>
      <c r="C4" s="155"/>
      <c r="D4" s="155"/>
      <c r="E4" s="155"/>
    </row>
    <row r="5" spans="2:5" x14ac:dyDescent="0.2">
      <c r="B5" s="25" t="s">
        <v>80</v>
      </c>
      <c r="C5" s="153" t="str">
        <f>General!C4</f>
        <v xml:space="preserve">Prior Year </v>
      </c>
      <c r="D5" s="80" t="str">
        <f>General!D4</f>
        <v xml:space="preserve">Current Year </v>
      </c>
      <c r="E5" s="80" t="str">
        <f>General!E4</f>
        <v xml:space="preserve">Proposed Budget </v>
      </c>
    </row>
    <row r="6" spans="2:5" x14ac:dyDescent="0.2">
      <c r="B6" s="248">
        <f>inputPrYr!B50</f>
        <v>0</v>
      </c>
      <c r="C6" s="104" t="str">
        <f>General!C5</f>
        <v>Actual for 2023</v>
      </c>
      <c r="D6" s="104" t="str">
        <f>General!D5</f>
        <v>Estimate for 2024</v>
      </c>
      <c r="E6" s="136" t="str">
        <f>General!E5</f>
        <v>Year for 2025</v>
      </c>
    </row>
    <row r="7" spans="2:5" x14ac:dyDescent="0.2">
      <c r="B7" s="60" t="s">
        <v>195</v>
      </c>
      <c r="C7" s="42"/>
      <c r="D7" s="106">
        <f>C28</f>
        <v>0</v>
      </c>
      <c r="E7" s="106">
        <f>D28</f>
        <v>0</v>
      </c>
    </row>
    <row r="8" spans="2:5" x14ac:dyDescent="0.2">
      <c r="B8" s="164" t="s">
        <v>197</v>
      </c>
      <c r="C8" s="38"/>
      <c r="D8" s="38"/>
      <c r="E8" s="38"/>
    </row>
    <row r="9" spans="2:5" x14ac:dyDescent="0.2">
      <c r="B9" s="150"/>
      <c r="C9" s="42"/>
      <c r="D9" s="42"/>
      <c r="E9" s="42"/>
    </row>
    <row r="10" spans="2:5" x14ac:dyDescent="0.2">
      <c r="B10" s="150"/>
      <c r="C10" s="42"/>
      <c r="D10" s="42"/>
      <c r="E10" s="42"/>
    </row>
    <row r="11" spans="2:5" x14ac:dyDescent="0.2">
      <c r="B11" s="150"/>
      <c r="C11" s="42"/>
      <c r="D11" s="42"/>
      <c r="E11" s="42"/>
    </row>
    <row r="12" spans="2:5" x14ac:dyDescent="0.2">
      <c r="B12" s="142" t="s">
        <v>88</v>
      </c>
      <c r="C12" s="42"/>
      <c r="D12" s="42"/>
      <c r="E12" s="42"/>
    </row>
    <row r="13" spans="2:5" x14ac:dyDescent="0.2">
      <c r="B13" s="143" t="s">
        <v>38</v>
      </c>
      <c r="C13" s="42"/>
      <c r="D13" s="138"/>
      <c r="E13" s="138"/>
    </row>
    <row r="14" spans="2:5" x14ac:dyDescent="0.2">
      <c r="B14" s="143" t="s">
        <v>291</v>
      </c>
      <c r="C14" s="244" t="str">
        <f>IF(C15*0.1&lt;C13,"Exceed 10% Rule","")</f>
        <v/>
      </c>
      <c r="D14" s="144" t="str">
        <f>IF(D15*0.1&lt;D13,"Exceed 10% Rule","")</f>
        <v/>
      </c>
      <c r="E14" s="144" t="str">
        <f>IF(E15*0.1&lt;E13,"Exceed 10% Rule","")</f>
        <v/>
      </c>
    </row>
    <row r="15" spans="2:5" x14ac:dyDescent="0.2">
      <c r="B15" s="145" t="s">
        <v>89</v>
      </c>
      <c r="C15" s="463">
        <f>SUM(C9:C13)</f>
        <v>0</v>
      </c>
      <c r="D15" s="463">
        <f>SUM(D9:D13)</f>
        <v>0</v>
      </c>
      <c r="E15" s="463">
        <f>SUM(E9:E13)</f>
        <v>0</v>
      </c>
    </row>
    <row r="16" spans="2:5" x14ac:dyDescent="0.2">
      <c r="B16" s="145" t="s">
        <v>90</v>
      </c>
      <c r="C16" s="463">
        <f>C15+C7</f>
        <v>0</v>
      </c>
      <c r="D16" s="463">
        <f>D15+D7</f>
        <v>0</v>
      </c>
      <c r="E16" s="463">
        <f>E15+E7</f>
        <v>0</v>
      </c>
    </row>
    <row r="17" spans="2:5" x14ac:dyDescent="0.2">
      <c r="B17" s="60" t="s">
        <v>93</v>
      </c>
      <c r="C17" s="106"/>
      <c r="D17" s="106"/>
      <c r="E17" s="106"/>
    </row>
    <row r="18" spans="2:5" x14ac:dyDescent="0.2">
      <c r="B18" s="150"/>
      <c r="C18" s="42"/>
      <c r="D18" s="42"/>
      <c r="E18" s="42"/>
    </row>
    <row r="19" spans="2:5" x14ac:dyDescent="0.2">
      <c r="B19" s="150"/>
      <c r="C19" s="42"/>
      <c r="D19" s="42"/>
      <c r="E19" s="42"/>
    </row>
    <row r="20" spans="2:5" x14ac:dyDescent="0.2">
      <c r="B20" s="150"/>
      <c r="C20" s="42"/>
      <c r="D20" s="42"/>
      <c r="E20" s="42"/>
    </row>
    <row r="21" spans="2:5" x14ac:dyDescent="0.2">
      <c r="B21" s="150"/>
      <c r="C21" s="42"/>
      <c r="D21" s="42"/>
      <c r="E21" s="42"/>
    </row>
    <row r="22" spans="2:5" x14ac:dyDescent="0.2">
      <c r="B22" s="150"/>
      <c r="C22" s="42"/>
      <c r="D22" s="42"/>
      <c r="E22" s="42"/>
    </row>
    <row r="23" spans="2:5" x14ac:dyDescent="0.2">
      <c r="B23" s="150"/>
      <c r="C23" s="42"/>
      <c r="D23" s="42"/>
      <c r="E23" s="42"/>
    </row>
    <row r="24" spans="2:5" x14ac:dyDescent="0.2">
      <c r="B24" s="143" t="str">
        <f>CONCATENATE("Cash Reserve (",E1," column)")</f>
        <v>Cash Reserve (2025 column)</v>
      </c>
      <c r="C24" s="42"/>
      <c r="D24" s="42"/>
      <c r="E24" s="42"/>
    </row>
    <row r="25" spans="2:5" x14ac:dyDescent="0.2">
      <c r="B25" s="143" t="s">
        <v>38</v>
      </c>
      <c r="C25" s="42"/>
      <c r="D25" s="138"/>
      <c r="E25" s="138"/>
    </row>
    <row r="26" spans="2:5" x14ac:dyDescent="0.2">
      <c r="B26" s="143" t="s">
        <v>290</v>
      </c>
      <c r="C26" s="244" t="str">
        <f>IF(C27*0.1&lt;C25,"Exceed 10% Rule","")</f>
        <v/>
      </c>
      <c r="D26" s="144" t="str">
        <f>IF(D27*0.1&lt;D25,"Exceed 10% Rule","")</f>
        <v/>
      </c>
      <c r="E26" s="144" t="str">
        <f>IF(E27*0.1&lt;E25,"Exceed 10% Rule","")</f>
        <v/>
      </c>
    </row>
    <row r="27" spans="2:5" x14ac:dyDescent="0.2">
      <c r="B27" s="145" t="s">
        <v>94</v>
      </c>
      <c r="C27" s="463">
        <f>SUM(C18:C25)</f>
        <v>0</v>
      </c>
      <c r="D27" s="463">
        <f>SUM(D18:D25)</f>
        <v>0</v>
      </c>
      <c r="E27" s="463">
        <f>SUM(E18:E25)</f>
        <v>0</v>
      </c>
    </row>
    <row r="28" spans="2:5" x14ac:dyDescent="0.2">
      <c r="B28" s="60" t="s">
        <v>196</v>
      </c>
      <c r="C28" s="106">
        <f>C16-C27</f>
        <v>0</v>
      </c>
      <c r="D28" s="106">
        <f>D16-D27</f>
        <v>0</v>
      </c>
      <c r="E28" s="106">
        <f>E16-E27</f>
        <v>0</v>
      </c>
    </row>
    <row r="29" spans="2:5" x14ac:dyDescent="0.2">
      <c r="B29" s="135" t="str">
        <f>CONCATENATE("",E1-2,"/",E1-1,"/",E1," Budget Authority Amount:")</f>
        <v>2023/2024/2025 Budget Authority Amount:</v>
      </c>
      <c r="C29" s="167">
        <f>inputOth!B64</f>
        <v>0</v>
      </c>
      <c r="D29" s="167">
        <f>inputPrYr!D50</f>
        <v>0</v>
      </c>
      <c r="E29" s="344">
        <f>E27</f>
        <v>0</v>
      </c>
    </row>
    <row r="30" spans="2:5" x14ac:dyDescent="0.2">
      <c r="B30" s="125"/>
      <c r="C30" s="152" t="str">
        <f>IF(C27&gt;C29,"See Tab A","")</f>
        <v/>
      </c>
      <c r="D30" s="152" t="str">
        <f>IF(D27&gt;D29,"See Tab C","")</f>
        <v/>
      </c>
      <c r="E30" s="345" t="str">
        <f>IF(E28&lt;0,"See Tab E","")</f>
        <v/>
      </c>
    </row>
    <row r="31" spans="2:5" x14ac:dyDescent="0.2">
      <c r="B31" s="125"/>
      <c r="C31" s="152" t="str">
        <f>IF(C28&lt;0,"See Tab B","")</f>
        <v/>
      </c>
      <c r="D31" s="152" t="str">
        <f>IF(D28&lt;0,"See Tab D","")</f>
        <v/>
      </c>
      <c r="E31" s="49"/>
    </row>
    <row r="32" spans="2:5" x14ac:dyDescent="0.2">
      <c r="B32" s="26"/>
      <c r="C32" s="49"/>
      <c r="D32" s="49"/>
      <c r="E32" s="49"/>
    </row>
    <row r="33" spans="2:5" x14ac:dyDescent="0.2">
      <c r="B33" s="25" t="s">
        <v>80</v>
      </c>
      <c r="C33" s="155"/>
      <c r="D33" s="155"/>
      <c r="E33" s="155"/>
    </row>
    <row r="34" spans="2:5" x14ac:dyDescent="0.2">
      <c r="B34" s="26"/>
      <c r="C34" s="153" t="str">
        <f t="shared" ref="C34:E35" si="0">C5</f>
        <v xml:space="preserve">Prior Year </v>
      </c>
      <c r="D34" s="80" t="str">
        <f t="shared" si="0"/>
        <v xml:space="preserve">Current Year </v>
      </c>
      <c r="E34" s="80" t="str">
        <f t="shared" si="0"/>
        <v xml:space="preserve">Proposed Budget </v>
      </c>
    </row>
    <row r="35" spans="2:5" x14ac:dyDescent="0.2">
      <c r="B35" s="247">
        <f>inputPrYr!B51</f>
        <v>0</v>
      </c>
      <c r="C35" s="104" t="str">
        <f t="shared" si="0"/>
        <v>Actual for 2023</v>
      </c>
      <c r="D35" s="104" t="str">
        <f t="shared" si="0"/>
        <v>Estimate for 2024</v>
      </c>
      <c r="E35" s="104" t="str">
        <f t="shared" si="0"/>
        <v>Year for 2025</v>
      </c>
    </row>
    <row r="36" spans="2:5" x14ac:dyDescent="0.2">
      <c r="B36" s="60" t="s">
        <v>195</v>
      </c>
      <c r="C36" s="42"/>
      <c r="D36" s="106">
        <f>C57</f>
        <v>0</v>
      </c>
      <c r="E36" s="106">
        <f>D57</f>
        <v>0</v>
      </c>
    </row>
    <row r="37" spans="2:5" x14ac:dyDescent="0.2">
      <c r="B37" s="60" t="s">
        <v>197</v>
      </c>
      <c r="C37" s="38"/>
      <c r="D37" s="38"/>
      <c r="E37" s="38"/>
    </row>
    <row r="38" spans="2:5" x14ac:dyDescent="0.2">
      <c r="B38" s="150"/>
      <c r="C38" s="42"/>
      <c r="D38" s="42"/>
      <c r="E38" s="42"/>
    </row>
    <row r="39" spans="2:5" x14ac:dyDescent="0.2">
      <c r="B39" s="150"/>
      <c r="C39" s="42"/>
      <c r="D39" s="42"/>
      <c r="E39" s="42"/>
    </row>
    <row r="40" spans="2:5" x14ac:dyDescent="0.2">
      <c r="B40" s="150"/>
      <c r="C40" s="42"/>
      <c r="D40" s="42"/>
      <c r="E40" s="42"/>
    </row>
    <row r="41" spans="2:5" x14ac:dyDescent="0.2">
      <c r="B41" s="142" t="s">
        <v>88</v>
      </c>
      <c r="C41" s="42"/>
      <c r="D41" s="42"/>
      <c r="E41" s="42"/>
    </row>
    <row r="42" spans="2:5" x14ac:dyDescent="0.2">
      <c r="B42" s="143" t="s">
        <v>38</v>
      </c>
      <c r="C42" s="42"/>
      <c r="D42" s="138"/>
      <c r="E42" s="138"/>
    </row>
    <row r="43" spans="2:5" x14ac:dyDescent="0.2">
      <c r="B43" s="143" t="s">
        <v>291</v>
      </c>
      <c r="C43" s="244" t="str">
        <f>IF(C44*0.1&lt;C42,"Exceed 10% Rule","")</f>
        <v/>
      </c>
      <c r="D43" s="144" t="str">
        <f>IF(D44*0.1&lt;D42,"Exceed 10% Rule","")</f>
        <v/>
      </c>
      <c r="E43" s="144" t="str">
        <f>IF(E44*0.1&lt;E42,"Exceed 10% Rule","")</f>
        <v/>
      </c>
    </row>
    <row r="44" spans="2:5" x14ac:dyDescent="0.2">
      <c r="B44" s="145" t="s">
        <v>89</v>
      </c>
      <c r="C44" s="463">
        <f>SUM(C38:C42)</f>
        <v>0</v>
      </c>
      <c r="D44" s="463">
        <f>SUM(D38:D42)</f>
        <v>0</v>
      </c>
      <c r="E44" s="463">
        <f>SUM(E38:E42)</f>
        <v>0</v>
      </c>
    </row>
    <row r="45" spans="2:5" x14ac:dyDescent="0.2">
      <c r="B45" s="145" t="s">
        <v>90</v>
      </c>
      <c r="C45" s="463">
        <f>C36+C44</f>
        <v>0</v>
      </c>
      <c r="D45" s="463">
        <f>D36+D44</f>
        <v>0</v>
      </c>
      <c r="E45" s="463">
        <f>E36+E44</f>
        <v>0</v>
      </c>
    </row>
    <row r="46" spans="2:5" x14ac:dyDescent="0.2">
      <c r="B46" s="60" t="s">
        <v>93</v>
      </c>
      <c r="C46" s="106"/>
      <c r="D46" s="106"/>
      <c r="E46" s="106"/>
    </row>
    <row r="47" spans="2:5" x14ac:dyDescent="0.2">
      <c r="B47" s="150"/>
      <c r="C47" s="42"/>
      <c r="D47" s="42"/>
      <c r="E47" s="42"/>
    </row>
    <row r="48" spans="2:5" x14ac:dyDescent="0.2">
      <c r="B48" s="150"/>
      <c r="C48" s="42"/>
      <c r="D48" s="42"/>
      <c r="E48" s="42"/>
    </row>
    <row r="49" spans="2:5" x14ac:dyDescent="0.2">
      <c r="B49" s="150"/>
      <c r="C49" s="42"/>
      <c r="D49" s="42"/>
      <c r="E49" s="42"/>
    </row>
    <row r="50" spans="2:5" x14ac:dyDescent="0.2">
      <c r="B50" s="150"/>
      <c r="C50" s="42"/>
      <c r="D50" s="42"/>
      <c r="E50" s="42"/>
    </row>
    <row r="51" spans="2:5" x14ac:dyDescent="0.2">
      <c r="B51" s="150"/>
      <c r="C51" s="42"/>
      <c r="D51" s="42"/>
      <c r="E51" s="42"/>
    </row>
    <row r="52" spans="2:5" x14ac:dyDescent="0.2">
      <c r="B52" s="150"/>
      <c r="C52" s="42"/>
      <c r="D52" s="42"/>
      <c r="E52" s="42"/>
    </row>
    <row r="53" spans="2:5" x14ac:dyDescent="0.2">
      <c r="B53" s="143" t="str">
        <f>CONCATENATE("Cash Reserve (",E1," column)")</f>
        <v>Cash Reserve (2025 column)</v>
      </c>
      <c r="C53" s="42"/>
      <c r="D53" s="42"/>
      <c r="E53" s="42"/>
    </row>
    <row r="54" spans="2:5" x14ac:dyDescent="0.2">
      <c r="B54" s="143" t="s">
        <v>38</v>
      </c>
      <c r="C54" s="42"/>
      <c r="D54" s="138"/>
      <c r="E54" s="138"/>
    </row>
    <row r="55" spans="2:5" x14ac:dyDescent="0.2">
      <c r="B55" s="143" t="s">
        <v>290</v>
      </c>
      <c r="C55" s="244" t="str">
        <f>IF(C56*0.1&lt;C54,"Exceed 10% Rule","")</f>
        <v/>
      </c>
      <c r="D55" s="144" t="str">
        <f>IF(D56*0.1&lt;D54,"Exceed 10% Rule","")</f>
        <v/>
      </c>
      <c r="E55" s="144" t="str">
        <f>IF(E56*0.1&lt;E54,"Exceed 10% Rule","")</f>
        <v/>
      </c>
    </row>
    <row r="56" spans="2:5" x14ac:dyDescent="0.2">
      <c r="B56" s="145" t="s">
        <v>94</v>
      </c>
      <c r="C56" s="463">
        <f>SUM(C47:C54)</f>
        <v>0</v>
      </c>
      <c r="D56" s="463">
        <f>SUM(D47:D54)</f>
        <v>0</v>
      </c>
      <c r="E56" s="463">
        <f>SUM(E47:E54)</f>
        <v>0</v>
      </c>
    </row>
    <row r="57" spans="2:5" x14ac:dyDescent="0.2">
      <c r="B57" s="60" t="s">
        <v>196</v>
      </c>
      <c r="C57" s="106">
        <f>C45-C56</f>
        <v>0</v>
      </c>
      <c r="D57" s="106">
        <f>D45-D56</f>
        <v>0</v>
      </c>
      <c r="E57" s="106">
        <f>E45-E56</f>
        <v>0</v>
      </c>
    </row>
    <row r="58" spans="2:5" x14ac:dyDescent="0.2">
      <c r="B58" s="135" t="str">
        <f>CONCATENATE("",E1-2,"/",E1-1,"/",E1," Budget Authority Amount:")</f>
        <v>2023/2024/2025 Budget Authority Amount:</v>
      </c>
      <c r="C58" s="167">
        <f>inputOth!B65</f>
        <v>0</v>
      </c>
      <c r="D58" s="167">
        <f>inputPrYr!D51</f>
        <v>0</v>
      </c>
      <c r="E58" s="344">
        <f>E56</f>
        <v>0</v>
      </c>
    </row>
    <row r="59" spans="2:5" x14ac:dyDescent="0.2">
      <c r="B59" s="125"/>
      <c r="C59" s="152" t="str">
        <f>IF(C56&gt;C58,"See Tab A","")</f>
        <v/>
      </c>
      <c r="D59" s="152" t="str">
        <f>IF(D56&gt;D58,"See Tab C","")</f>
        <v/>
      </c>
      <c r="E59" s="346" t="str">
        <f>IF(E57&lt;0,"See Tab E","")</f>
        <v/>
      </c>
    </row>
    <row r="60" spans="2:5" x14ac:dyDescent="0.2">
      <c r="B60" s="425" t="s">
        <v>354</v>
      </c>
      <c r="C60" s="346"/>
      <c r="D60" s="346"/>
      <c r="E60" s="415"/>
    </row>
    <row r="61" spans="2:5" x14ac:dyDescent="0.2">
      <c r="B61" s="416"/>
      <c r="C61" s="152"/>
      <c r="D61" s="152"/>
      <c r="E61" s="417"/>
    </row>
    <row r="62" spans="2:5" x14ac:dyDescent="0.2">
      <c r="B62" s="418"/>
      <c r="C62" s="419" t="str">
        <f>IF(C57&lt;0,"See Tab B","")</f>
        <v/>
      </c>
      <c r="D62" s="419" t="str">
        <f>IF(D57&lt;0,"See Tab D","")</f>
        <v/>
      </c>
      <c r="E62" s="47"/>
    </row>
    <row r="63" spans="2:5" x14ac:dyDescent="0.2">
      <c r="B63" s="26"/>
      <c r="C63" s="26"/>
      <c r="D63" s="26"/>
      <c r="E63" s="26"/>
    </row>
    <row r="64" spans="2:5" x14ac:dyDescent="0.2">
      <c r="B64" s="125" t="s">
        <v>146</v>
      </c>
      <c r="C64" s="368"/>
      <c r="D64" s="26"/>
      <c r="E64" s="26"/>
    </row>
  </sheetData>
  <sheetProtection sheet="1" objects="1" scenarios="1"/>
  <phoneticPr fontId="0" type="noConversion"/>
  <conditionalFormatting sqref="C13">
    <cfRule type="cellIs" dxfId="63" priority="6" stopIfTrue="1" operator="greaterThan">
      <formula>$C$15*0.1</formula>
    </cfRule>
  </conditionalFormatting>
  <conditionalFormatting sqref="C25">
    <cfRule type="cellIs" dxfId="62" priority="3" stopIfTrue="1" operator="greaterThan">
      <formula>$C$27*0.1</formula>
    </cfRule>
  </conditionalFormatting>
  <conditionalFormatting sqref="C42">
    <cfRule type="cellIs" dxfId="61" priority="9" stopIfTrue="1" operator="greaterThan">
      <formula>$C$44*0.1</formula>
    </cfRule>
  </conditionalFormatting>
  <conditionalFormatting sqref="C54">
    <cfRule type="cellIs" dxfId="60" priority="12" stopIfTrue="1" operator="greaterThan">
      <formula>$C$56*0.1</formula>
    </cfRule>
  </conditionalFormatting>
  <conditionalFormatting sqref="D13">
    <cfRule type="cellIs" dxfId="59" priority="7" stopIfTrue="1" operator="greaterThan">
      <formula>$D$15*0.1</formula>
    </cfRule>
  </conditionalFormatting>
  <conditionalFormatting sqref="D25">
    <cfRule type="cellIs" dxfId="58" priority="4" stopIfTrue="1" operator="greaterThan">
      <formula>$D$27*0.1</formula>
    </cfRule>
  </conditionalFormatting>
  <conditionalFormatting sqref="D42">
    <cfRule type="cellIs" dxfId="57" priority="10" stopIfTrue="1" operator="greaterThan">
      <formula>$D$44*0.1</formula>
    </cfRule>
  </conditionalFormatting>
  <conditionalFormatting sqref="D54">
    <cfRule type="cellIs" dxfId="56" priority="13" stopIfTrue="1" operator="greaterThan">
      <formula>$D$56*0.1</formula>
    </cfRule>
  </conditionalFormatting>
  <conditionalFormatting sqref="E13">
    <cfRule type="cellIs" dxfId="55" priority="8" stopIfTrue="1" operator="greaterThan">
      <formula>$E$15*0.1</formula>
    </cfRule>
  </conditionalFormatting>
  <conditionalFormatting sqref="E25">
    <cfRule type="cellIs" dxfId="54" priority="5" stopIfTrue="1" operator="greaterThan">
      <formula>$E$27*0.1</formula>
    </cfRule>
  </conditionalFormatting>
  <conditionalFormatting sqref="E42">
    <cfRule type="cellIs" dxfId="53" priority="11" stopIfTrue="1" operator="greaterThan">
      <formula>$E$44*0.1</formula>
    </cfRule>
  </conditionalFormatting>
  <conditionalFormatting sqref="E54">
    <cfRule type="cellIs" dxfId="52" priority="14" stopIfTrue="1" operator="greaterThan">
      <formula>$E$56*0.1</formula>
    </cfRule>
  </conditionalFormatting>
  <pageMargins left="1.1200000000000001" right="0.5" top="0.74" bottom="0.34" header="0.5" footer="0"/>
  <pageSetup scale="71" orientation="portrait" blackAndWhite="1" horizontalDpi="120" verticalDpi="144" r:id="rId1"/>
  <headerFooter alignWithMargins="0">
    <oddHeader xml:space="preserve">&amp;RState of Kansas
County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rgb="FF00B0F0"/>
    <pageSetUpPr fitToPage="1"/>
  </sheetPr>
  <dimension ref="B1:E65"/>
  <sheetViews>
    <sheetView workbookViewId="0">
      <selection activeCell="B15" sqref="B15"/>
    </sheetView>
  </sheetViews>
  <sheetFormatPr defaultRowHeight="15.75" x14ac:dyDescent="0.2"/>
  <cols>
    <col min="1" max="1" width="2.44140625" style="23" customWidth="1"/>
    <col min="2" max="2" width="31.109375" style="23" customWidth="1"/>
    <col min="3" max="4" width="15.77734375" style="23" customWidth="1"/>
    <col min="5" max="5" width="16.109375" style="23" customWidth="1"/>
    <col min="6" max="16384" width="8.88671875" style="23"/>
  </cols>
  <sheetData>
    <row r="1" spans="2:5" x14ac:dyDescent="0.2">
      <c r="B1" s="57">
        <f>(inputPrYr!C3)</f>
        <v>0</v>
      </c>
      <c r="C1" s="26"/>
      <c r="D1" s="26"/>
      <c r="E1" s="125">
        <f>inputPrYr!C5</f>
        <v>2025</v>
      </c>
    </row>
    <row r="2" spans="2:5" x14ac:dyDescent="0.2">
      <c r="B2" s="26"/>
      <c r="C2" s="26"/>
      <c r="D2" s="26"/>
      <c r="E2" s="90"/>
    </row>
    <row r="3" spans="2:5" x14ac:dyDescent="0.2">
      <c r="B3" s="64" t="s">
        <v>186</v>
      </c>
      <c r="C3" s="161"/>
      <c r="D3" s="161"/>
      <c r="E3" s="162"/>
    </row>
    <row r="4" spans="2:5" x14ac:dyDescent="0.2">
      <c r="B4" s="26"/>
      <c r="C4" s="155"/>
      <c r="D4" s="155"/>
      <c r="E4" s="155"/>
    </row>
    <row r="5" spans="2:5" x14ac:dyDescent="0.2">
      <c r="B5" s="25" t="s">
        <v>80</v>
      </c>
      <c r="C5" s="153" t="str">
        <f>General!C4</f>
        <v xml:space="preserve">Prior Year </v>
      </c>
      <c r="D5" s="80" t="str">
        <f>General!D4</f>
        <v xml:space="preserve">Current Year </v>
      </c>
      <c r="E5" s="80" t="str">
        <f>General!E4</f>
        <v xml:space="preserve">Proposed Budget </v>
      </c>
    </row>
    <row r="6" spans="2:5" x14ac:dyDescent="0.2">
      <c r="B6" s="248">
        <f>inputPrYr!B52</f>
        <v>0</v>
      </c>
      <c r="C6" s="104" t="str">
        <f>General!C5</f>
        <v>Actual for 2023</v>
      </c>
      <c r="D6" s="104" t="str">
        <f>General!D5</f>
        <v>Estimate for 2024</v>
      </c>
      <c r="E6" s="104" t="str">
        <f>General!E5</f>
        <v>Year for 2025</v>
      </c>
    </row>
    <row r="7" spans="2:5" x14ac:dyDescent="0.2">
      <c r="B7" s="60" t="s">
        <v>195</v>
      </c>
      <c r="C7" s="42"/>
      <c r="D7" s="106">
        <f>C28</f>
        <v>0</v>
      </c>
      <c r="E7" s="106">
        <f>D28</f>
        <v>0</v>
      </c>
    </row>
    <row r="8" spans="2:5" x14ac:dyDescent="0.2">
      <c r="B8" s="164" t="s">
        <v>197</v>
      </c>
      <c r="C8" s="38"/>
      <c r="D8" s="38"/>
      <c r="E8" s="38"/>
    </row>
    <row r="9" spans="2:5" x14ac:dyDescent="0.2">
      <c r="B9" s="150"/>
      <c r="C9" s="42"/>
      <c r="D9" s="42"/>
      <c r="E9" s="42"/>
    </row>
    <row r="10" spans="2:5" x14ac:dyDescent="0.2">
      <c r="B10" s="150"/>
      <c r="C10" s="42"/>
      <c r="D10" s="42"/>
      <c r="E10" s="42"/>
    </row>
    <row r="11" spans="2:5" x14ac:dyDescent="0.2">
      <c r="B11" s="150"/>
      <c r="C11" s="42"/>
      <c r="D11" s="42"/>
      <c r="E11" s="42"/>
    </row>
    <row r="12" spans="2:5" x14ac:dyDescent="0.2">
      <c r="B12" s="142" t="s">
        <v>88</v>
      </c>
      <c r="C12" s="42"/>
      <c r="D12" s="42"/>
      <c r="E12" s="42"/>
    </row>
    <row r="13" spans="2:5" x14ac:dyDescent="0.2">
      <c r="B13" s="143" t="s">
        <v>38</v>
      </c>
      <c r="C13" s="42"/>
      <c r="D13" s="138"/>
      <c r="E13" s="138"/>
    </row>
    <row r="14" spans="2:5" x14ac:dyDescent="0.2">
      <c r="B14" s="143" t="s">
        <v>291</v>
      </c>
      <c r="C14" s="244" t="str">
        <f>IF(C15*0.1&lt;C13,"Exceed 10% Rule","")</f>
        <v/>
      </c>
      <c r="D14" s="144" t="str">
        <f>IF(D15*0.1&lt;D13,"Exceed 10% Rule","")</f>
        <v/>
      </c>
      <c r="E14" s="144" t="str">
        <f>IF(E15*0.1&lt;E13,"Exceed 10% Rule","")</f>
        <v/>
      </c>
    </row>
    <row r="15" spans="2:5" x14ac:dyDescent="0.2">
      <c r="B15" s="145" t="s">
        <v>89</v>
      </c>
      <c r="C15" s="463">
        <f>SUM(C9:C13)</f>
        <v>0</v>
      </c>
      <c r="D15" s="463">
        <f>SUM(D9:D13)</f>
        <v>0</v>
      </c>
      <c r="E15" s="463">
        <f>SUM(E9:E13)</f>
        <v>0</v>
      </c>
    </row>
    <row r="16" spans="2:5" x14ac:dyDescent="0.2">
      <c r="B16" s="145" t="s">
        <v>90</v>
      </c>
      <c r="C16" s="463">
        <f>C15+C7</f>
        <v>0</v>
      </c>
      <c r="D16" s="463">
        <f>D15+D7</f>
        <v>0</v>
      </c>
      <c r="E16" s="463">
        <f>E15+E7</f>
        <v>0</v>
      </c>
    </row>
    <row r="17" spans="2:5" x14ac:dyDescent="0.2">
      <c r="B17" s="60" t="s">
        <v>93</v>
      </c>
      <c r="C17" s="106"/>
      <c r="D17" s="106"/>
      <c r="E17" s="106"/>
    </row>
    <row r="18" spans="2:5" x14ac:dyDescent="0.2">
      <c r="B18" s="150"/>
      <c r="C18" s="42"/>
      <c r="D18" s="42"/>
      <c r="E18" s="42"/>
    </row>
    <row r="19" spans="2:5" x14ac:dyDescent="0.2">
      <c r="B19" s="150"/>
      <c r="C19" s="42"/>
      <c r="D19" s="42"/>
      <c r="E19" s="42"/>
    </row>
    <row r="20" spans="2:5" x14ac:dyDescent="0.2">
      <c r="B20" s="150"/>
      <c r="C20" s="42"/>
      <c r="D20" s="42"/>
      <c r="E20" s="42"/>
    </row>
    <row r="21" spans="2:5" x14ac:dyDescent="0.2">
      <c r="B21" s="150"/>
      <c r="C21" s="42"/>
      <c r="D21" s="42"/>
      <c r="E21" s="42"/>
    </row>
    <row r="22" spans="2:5" x14ac:dyDescent="0.2">
      <c r="B22" s="150"/>
      <c r="C22" s="42"/>
      <c r="D22" s="42"/>
      <c r="E22" s="42"/>
    </row>
    <row r="23" spans="2:5" x14ac:dyDescent="0.2">
      <c r="B23" s="150"/>
      <c r="C23" s="42"/>
      <c r="D23" s="42"/>
      <c r="E23" s="42"/>
    </row>
    <row r="24" spans="2:5" x14ac:dyDescent="0.2">
      <c r="B24" s="143" t="str">
        <f>CONCATENATE("Cash Reserve (",E1," column)")</f>
        <v>Cash Reserve (2025 column)</v>
      </c>
      <c r="C24" s="42"/>
      <c r="D24" s="42"/>
      <c r="E24" s="42"/>
    </row>
    <row r="25" spans="2:5" x14ac:dyDescent="0.2">
      <c r="B25" s="143" t="s">
        <v>38</v>
      </c>
      <c r="C25" s="42"/>
      <c r="D25" s="138"/>
      <c r="E25" s="138"/>
    </row>
    <row r="26" spans="2:5" x14ac:dyDescent="0.2">
      <c r="B26" s="143" t="s">
        <v>290</v>
      </c>
      <c r="C26" s="244" t="str">
        <f>IF(C27*0.1&lt;C25,"Exceed 10% Rule","")</f>
        <v/>
      </c>
      <c r="D26" s="144" t="str">
        <f>IF(D27*0.1&lt;D25,"Exceed 10% Rule","")</f>
        <v/>
      </c>
      <c r="E26" s="144" t="str">
        <f>IF(E27*0.1&lt;E25,"Exceed 10% Rule","")</f>
        <v/>
      </c>
    </row>
    <row r="27" spans="2:5" x14ac:dyDescent="0.2">
      <c r="B27" s="145" t="s">
        <v>94</v>
      </c>
      <c r="C27" s="463">
        <f>SUM(C18:C25)</f>
        <v>0</v>
      </c>
      <c r="D27" s="463">
        <f>SUM(D18:D25)</f>
        <v>0</v>
      </c>
      <c r="E27" s="463">
        <f>SUM(E18:E25)</f>
        <v>0</v>
      </c>
    </row>
    <row r="28" spans="2:5" x14ac:dyDescent="0.2">
      <c r="B28" s="60" t="s">
        <v>196</v>
      </c>
      <c r="C28" s="106">
        <f>C16-C27</f>
        <v>0</v>
      </c>
      <c r="D28" s="106">
        <f>D16-D27</f>
        <v>0</v>
      </c>
      <c r="E28" s="106">
        <f>E16-E27</f>
        <v>0</v>
      </c>
    </row>
    <row r="29" spans="2:5" x14ac:dyDescent="0.2">
      <c r="B29" s="135" t="str">
        <f>CONCATENATE("",E1-2,"/",E1-1,"/",E1," Budget Authority Amount:")</f>
        <v>2023/2024/2025 Budget Authority Amount:</v>
      </c>
      <c r="C29" s="167">
        <f>inputOth!B66</f>
        <v>0</v>
      </c>
      <c r="D29" s="167">
        <f>inputPrYr!D52</f>
        <v>0</v>
      </c>
      <c r="E29" s="344">
        <f>E27</f>
        <v>0</v>
      </c>
    </row>
    <row r="30" spans="2:5" x14ac:dyDescent="0.2">
      <c r="B30" s="125"/>
      <c r="C30" s="152" t="str">
        <f>IF(C27&gt;C29,"See Tab A","")</f>
        <v/>
      </c>
      <c r="D30" s="152" t="str">
        <f>IF(D27&gt;D29,"See Tab C","")</f>
        <v/>
      </c>
      <c r="E30" s="345" t="str">
        <f>IF(E28&lt;0,"See Tab E","")</f>
        <v/>
      </c>
    </row>
    <row r="31" spans="2:5" x14ac:dyDescent="0.2">
      <c r="B31" s="125"/>
      <c r="C31" s="152" t="str">
        <f>IF(C28&lt;0,"See Tab B","")</f>
        <v/>
      </c>
      <c r="D31" s="152" t="str">
        <f>IF(D28&lt;0,"See Tab D","")</f>
        <v/>
      </c>
      <c r="E31" s="49"/>
    </row>
    <row r="32" spans="2:5" x14ac:dyDescent="0.2">
      <c r="B32" s="26"/>
      <c r="C32" s="49"/>
      <c r="D32" s="49"/>
      <c r="E32" s="49"/>
    </row>
    <row r="33" spans="2:5" x14ac:dyDescent="0.2">
      <c r="B33" s="25" t="s">
        <v>80</v>
      </c>
      <c r="C33" s="155"/>
      <c r="D33" s="155"/>
      <c r="E33" s="155"/>
    </row>
    <row r="34" spans="2:5" x14ac:dyDescent="0.2">
      <c r="B34" s="26"/>
      <c r="C34" s="153" t="str">
        <f t="shared" ref="C34:E35" si="0">C5</f>
        <v xml:space="preserve">Prior Year </v>
      </c>
      <c r="D34" s="80" t="str">
        <f t="shared" si="0"/>
        <v xml:space="preserve">Current Year </v>
      </c>
      <c r="E34" s="80" t="str">
        <f t="shared" si="0"/>
        <v xml:space="preserve">Proposed Budget </v>
      </c>
    </row>
    <row r="35" spans="2:5" x14ac:dyDescent="0.2">
      <c r="B35" s="247">
        <f>inputPrYr!B53</f>
        <v>0</v>
      </c>
      <c r="C35" s="129" t="str">
        <f t="shared" si="0"/>
        <v>Actual for 2023</v>
      </c>
      <c r="D35" s="129" t="str">
        <f t="shared" si="0"/>
        <v>Estimate for 2024</v>
      </c>
      <c r="E35" s="129" t="str">
        <f t="shared" si="0"/>
        <v>Year for 2025</v>
      </c>
    </row>
    <row r="36" spans="2:5" x14ac:dyDescent="0.2">
      <c r="B36" s="60" t="s">
        <v>195</v>
      </c>
      <c r="C36" s="42"/>
      <c r="D36" s="106">
        <f>C58</f>
        <v>0</v>
      </c>
      <c r="E36" s="106">
        <f>D58</f>
        <v>0</v>
      </c>
    </row>
    <row r="37" spans="2:5" x14ac:dyDescent="0.2">
      <c r="B37" s="60" t="s">
        <v>197</v>
      </c>
      <c r="C37" s="38"/>
      <c r="D37" s="38"/>
      <c r="E37" s="38"/>
    </row>
    <row r="38" spans="2:5" x14ac:dyDescent="0.2">
      <c r="B38" s="150"/>
      <c r="C38" s="42"/>
      <c r="D38" s="42"/>
      <c r="E38" s="42"/>
    </row>
    <row r="39" spans="2:5" x14ac:dyDescent="0.2">
      <c r="B39" s="150"/>
      <c r="C39" s="42"/>
      <c r="D39" s="42"/>
      <c r="E39" s="42"/>
    </row>
    <row r="40" spans="2:5" x14ac:dyDescent="0.2">
      <c r="B40" s="150"/>
      <c r="C40" s="42"/>
      <c r="D40" s="42"/>
      <c r="E40" s="42"/>
    </row>
    <row r="41" spans="2:5" x14ac:dyDescent="0.2">
      <c r="B41" s="142" t="s">
        <v>88</v>
      </c>
      <c r="C41" s="42"/>
      <c r="D41" s="42"/>
      <c r="E41" s="42"/>
    </row>
    <row r="42" spans="2:5" x14ac:dyDescent="0.2">
      <c r="B42" s="143" t="s">
        <v>38</v>
      </c>
      <c r="C42" s="42"/>
      <c r="D42" s="138"/>
      <c r="E42" s="138"/>
    </row>
    <row r="43" spans="2:5" x14ac:dyDescent="0.2">
      <c r="B43" s="143" t="s">
        <v>291</v>
      </c>
      <c r="C43" s="244" t="str">
        <f>IF(C44*0.1&lt;C42,"Exceed 10% Rule","")</f>
        <v/>
      </c>
      <c r="D43" s="144" t="str">
        <f>IF(D44*0.1&lt;D42,"Exceed 10% Rule","")</f>
        <v/>
      </c>
      <c r="E43" s="144" t="str">
        <f>IF(E44*0.1&lt;E42,"Exceed 10% Rule","")</f>
        <v/>
      </c>
    </row>
    <row r="44" spans="2:5" x14ac:dyDescent="0.2">
      <c r="B44" s="145" t="s">
        <v>89</v>
      </c>
      <c r="C44" s="463">
        <f>SUM(C38:C42)</f>
        <v>0</v>
      </c>
      <c r="D44" s="463">
        <f>SUM(D38:D42)</f>
        <v>0</v>
      </c>
      <c r="E44" s="463">
        <f>SUM(E38:E42)</f>
        <v>0</v>
      </c>
    </row>
    <row r="45" spans="2:5" x14ac:dyDescent="0.2">
      <c r="B45" s="145" t="s">
        <v>90</v>
      </c>
      <c r="C45" s="463">
        <f>C36+C44</f>
        <v>0</v>
      </c>
      <c r="D45" s="463">
        <f>D36+D44</f>
        <v>0</v>
      </c>
      <c r="E45" s="463">
        <f>E36+E44</f>
        <v>0</v>
      </c>
    </row>
    <row r="46" spans="2:5" x14ac:dyDescent="0.2">
      <c r="B46" s="60" t="s">
        <v>93</v>
      </c>
      <c r="C46" s="106"/>
      <c r="D46" s="106"/>
      <c r="E46" s="106"/>
    </row>
    <row r="47" spans="2:5" x14ac:dyDescent="0.2">
      <c r="B47" s="150"/>
      <c r="C47" s="42"/>
      <c r="D47" s="42"/>
      <c r="E47" s="42"/>
    </row>
    <row r="48" spans="2:5" x14ac:dyDescent="0.2">
      <c r="B48" s="150"/>
      <c r="C48" s="42"/>
      <c r="D48" s="42"/>
      <c r="E48" s="42"/>
    </row>
    <row r="49" spans="2:5" x14ac:dyDescent="0.2">
      <c r="B49" s="150"/>
      <c r="C49" s="42"/>
      <c r="D49" s="42"/>
      <c r="E49" s="42"/>
    </row>
    <row r="50" spans="2:5" x14ac:dyDescent="0.2">
      <c r="B50" s="150"/>
      <c r="C50" s="42"/>
      <c r="D50" s="42"/>
      <c r="E50" s="42"/>
    </row>
    <row r="51" spans="2:5" x14ac:dyDescent="0.2">
      <c r="B51" s="150"/>
      <c r="C51" s="42"/>
      <c r="D51" s="42"/>
      <c r="E51" s="42"/>
    </row>
    <row r="52" spans="2:5" x14ac:dyDescent="0.2">
      <c r="B52" s="150"/>
      <c r="C52" s="42"/>
      <c r="D52" s="42"/>
      <c r="E52" s="42"/>
    </row>
    <row r="53" spans="2:5" x14ac:dyDescent="0.2">
      <c r="B53" s="150"/>
      <c r="C53" s="42"/>
      <c r="D53" s="42"/>
      <c r="E53" s="42"/>
    </row>
    <row r="54" spans="2:5" x14ac:dyDescent="0.2">
      <c r="B54" s="143" t="str">
        <f>CONCATENATE("Cash Reserve (",E1," column)")</f>
        <v>Cash Reserve (2025 column)</v>
      </c>
      <c r="C54" s="42"/>
      <c r="D54" s="42"/>
      <c r="E54" s="42"/>
    </row>
    <row r="55" spans="2:5" x14ac:dyDescent="0.2">
      <c r="B55" s="143" t="s">
        <v>38</v>
      </c>
      <c r="C55" s="42"/>
      <c r="D55" s="138"/>
      <c r="E55" s="138"/>
    </row>
    <row r="56" spans="2:5" x14ac:dyDescent="0.2">
      <c r="B56" s="143" t="s">
        <v>290</v>
      </c>
      <c r="C56" s="244" t="str">
        <f>IF(C57*0.1&lt;C55,"Exceed 10% Rule","")</f>
        <v/>
      </c>
      <c r="D56" s="144" t="str">
        <f>IF(D57*0.1&lt;D55,"Exceed 10% Rule","")</f>
        <v/>
      </c>
      <c r="E56" s="144" t="str">
        <f>IF(E57*0.1&lt;E55,"Exceed 10% Rule","")</f>
        <v/>
      </c>
    </row>
    <row r="57" spans="2:5" x14ac:dyDescent="0.2">
      <c r="B57" s="145" t="s">
        <v>94</v>
      </c>
      <c r="C57" s="463">
        <f>SUM(C47:C55)</f>
        <v>0</v>
      </c>
      <c r="D57" s="463">
        <f>SUM(D47:D55)</f>
        <v>0</v>
      </c>
      <c r="E57" s="463">
        <f>SUM(E47:E55)</f>
        <v>0</v>
      </c>
    </row>
    <row r="58" spans="2:5" x14ac:dyDescent="0.2">
      <c r="B58" s="60" t="s">
        <v>196</v>
      </c>
      <c r="C58" s="106">
        <f>C45-C57</f>
        <v>0</v>
      </c>
      <c r="D58" s="106">
        <f>D45-D57</f>
        <v>0</v>
      </c>
      <c r="E58" s="106">
        <f>E45-E57</f>
        <v>0</v>
      </c>
    </row>
    <row r="59" spans="2:5" x14ac:dyDescent="0.2">
      <c r="B59" s="135" t="str">
        <f>CONCATENATE("",E1-2,"/",E1-1,"/",E1," Budget Authority Amount:")</f>
        <v>2023/2024/2025 Budget Authority Amount:</v>
      </c>
      <c r="C59" s="167">
        <f>inputOth!B67</f>
        <v>0</v>
      </c>
      <c r="D59" s="167">
        <f>inputPrYr!D53</f>
        <v>0</v>
      </c>
      <c r="E59" s="344">
        <f>E57</f>
        <v>0</v>
      </c>
    </row>
    <row r="60" spans="2:5" x14ac:dyDescent="0.2">
      <c r="B60" s="125"/>
      <c r="C60" s="152" t="str">
        <f>IF(C57&gt;C59,"See Tab A","")</f>
        <v/>
      </c>
      <c r="D60" s="152" t="str">
        <f>IF(D57&gt;D59,"See Tab C","")</f>
        <v/>
      </c>
      <c r="E60" s="346" t="str">
        <f>IF(E58&lt;0,"See Tab E","")</f>
        <v/>
      </c>
    </row>
    <row r="61" spans="2:5" x14ac:dyDescent="0.2">
      <c r="B61" s="425" t="s">
        <v>354</v>
      </c>
      <c r="C61" s="346"/>
      <c r="D61" s="346"/>
      <c r="E61" s="415"/>
    </row>
    <row r="62" spans="2:5" x14ac:dyDescent="0.2">
      <c r="B62" s="416"/>
      <c r="C62" s="152"/>
      <c r="D62" s="152"/>
      <c r="E62" s="417"/>
    </row>
    <row r="63" spans="2:5" x14ac:dyDescent="0.2">
      <c r="B63" s="418"/>
      <c r="C63" s="419" t="str">
        <f>IF(C58&lt;0,"See Tab B","")</f>
        <v/>
      </c>
      <c r="D63" s="419" t="str">
        <f>IF(D58&lt;0,"See Tab D","")</f>
        <v/>
      </c>
      <c r="E63" s="47"/>
    </row>
    <row r="64" spans="2:5" x14ac:dyDescent="0.2">
      <c r="B64" s="26"/>
      <c r="C64" s="26"/>
      <c r="D64" s="26"/>
      <c r="E64" s="26"/>
    </row>
    <row r="65" spans="2:5" x14ac:dyDescent="0.2">
      <c r="B65" s="125" t="s">
        <v>146</v>
      </c>
      <c r="C65" s="368"/>
      <c r="D65" s="26"/>
      <c r="E65" s="26"/>
    </row>
  </sheetData>
  <sheetProtection sheet="1" objects="1" scenarios="1"/>
  <phoneticPr fontId="0" type="noConversion"/>
  <conditionalFormatting sqref="C13">
    <cfRule type="cellIs" dxfId="51" priority="5" stopIfTrue="1" operator="greaterThan">
      <formula>$C$15*0.1</formula>
    </cfRule>
  </conditionalFormatting>
  <conditionalFormatting sqref="C25">
    <cfRule type="cellIs" dxfId="50" priority="2" stopIfTrue="1" operator="greaterThan">
      <formula>$C$27*0.1</formula>
    </cfRule>
  </conditionalFormatting>
  <conditionalFormatting sqref="C42">
    <cfRule type="cellIs" dxfId="49" priority="8" stopIfTrue="1" operator="greaterThan">
      <formula>$C$44*0.1</formula>
    </cfRule>
  </conditionalFormatting>
  <conditionalFormatting sqref="C55">
    <cfRule type="cellIs" dxfId="48" priority="11" stopIfTrue="1" operator="greaterThan">
      <formula>$C$57*0.1</formula>
    </cfRule>
  </conditionalFormatting>
  <conditionalFormatting sqref="D13">
    <cfRule type="cellIs" dxfId="47" priority="6" stopIfTrue="1" operator="greaterThan">
      <formula>$D$15*0.1</formula>
    </cfRule>
  </conditionalFormatting>
  <conditionalFormatting sqref="D25">
    <cfRule type="cellIs" dxfId="46" priority="3" stopIfTrue="1" operator="greaterThan">
      <formula>$D$27*0.1</formula>
    </cfRule>
  </conditionalFormatting>
  <conditionalFormatting sqref="D42">
    <cfRule type="cellIs" dxfId="45" priority="9" stopIfTrue="1" operator="greaterThan">
      <formula>$D$44*0.1</formula>
    </cfRule>
  </conditionalFormatting>
  <conditionalFormatting sqref="D55">
    <cfRule type="cellIs" dxfId="44" priority="12" stopIfTrue="1" operator="greaterThan">
      <formula>$D$57*0.1</formula>
    </cfRule>
  </conditionalFormatting>
  <conditionalFormatting sqref="E13">
    <cfRule type="cellIs" dxfId="43" priority="7" stopIfTrue="1" operator="greaterThan">
      <formula>$E$15*0.1</formula>
    </cfRule>
  </conditionalFormatting>
  <conditionalFormatting sqref="E25">
    <cfRule type="cellIs" dxfId="42" priority="4" stopIfTrue="1" operator="greaterThan">
      <formula>$E$27*0.1</formula>
    </cfRule>
  </conditionalFormatting>
  <conditionalFormatting sqref="E42">
    <cfRule type="cellIs" dxfId="41" priority="10" stopIfTrue="1" operator="greaterThan">
      <formula>$E$44*0.1</formula>
    </cfRule>
  </conditionalFormatting>
  <conditionalFormatting sqref="E55">
    <cfRule type="cellIs" dxfId="40" priority="13" stopIfTrue="1" operator="greaterThan">
      <formula>$E$57*0.1</formula>
    </cfRule>
  </conditionalFormatting>
  <pageMargins left="1.1200000000000001" right="0.5" top="0.74" bottom="0.34" header="0.5" footer="0"/>
  <pageSetup scale="70" orientation="portrait" blackAndWhite="1" horizontalDpi="120" verticalDpi="144" r:id="rId1"/>
  <headerFooter alignWithMargins="0">
    <oddHeader xml:space="preserve">&amp;RState of Kansas
County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tabColor rgb="FF00B0F0"/>
    <pageSetUpPr fitToPage="1"/>
  </sheetPr>
  <dimension ref="B1:E78"/>
  <sheetViews>
    <sheetView workbookViewId="0">
      <selection activeCell="B15" sqref="B15"/>
    </sheetView>
  </sheetViews>
  <sheetFormatPr defaultRowHeight="15.75" x14ac:dyDescent="0.2"/>
  <cols>
    <col min="1" max="1" width="2.44140625" style="23" customWidth="1"/>
    <col min="2" max="2" width="31.109375" style="23" customWidth="1"/>
    <col min="3" max="4" width="15.77734375" style="23" customWidth="1"/>
    <col min="5" max="5" width="16.109375" style="23" customWidth="1"/>
    <col min="6" max="16384" width="8.88671875" style="23"/>
  </cols>
  <sheetData>
    <row r="1" spans="2:5" x14ac:dyDescent="0.2">
      <c r="B1" s="57">
        <f>(inputPrYr!C3)</f>
        <v>0</v>
      </c>
      <c r="C1" s="26"/>
      <c r="D1" s="26"/>
      <c r="E1" s="125">
        <f>inputPrYr!C5</f>
        <v>2025</v>
      </c>
    </row>
    <row r="2" spans="2:5" x14ac:dyDescent="0.2">
      <c r="B2" s="26"/>
      <c r="C2" s="26"/>
      <c r="D2" s="26"/>
      <c r="E2" s="90"/>
    </row>
    <row r="3" spans="2:5" x14ac:dyDescent="0.2">
      <c r="B3" s="64" t="s">
        <v>186</v>
      </c>
      <c r="C3" s="161"/>
      <c r="D3" s="161"/>
      <c r="E3" s="162"/>
    </row>
    <row r="4" spans="2:5" x14ac:dyDescent="0.2">
      <c r="B4" s="26"/>
      <c r="C4" s="155"/>
      <c r="D4" s="155"/>
      <c r="E4" s="155"/>
    </row>
    <row r="5" spans="2:5" x14ac:dyDescent="0.2">
      <c r="B5" s="25" t="s">
        <v>80</v>
      </c>
      <c r="C5" s="153" t="str">
        <f>General!C4</f>
        <v xml:space="preserve">Prior Year </v>
      </c>
      <c r="D5" s="80" t="str">
        <f>General!D4</f>
        <v xml:space="preserve">Current Year </v>
      </c>
      <c r="E5" s="80" t="str">
        <f>General!E4</f>
        <v xml:space="preserve">Proposed Budget </v>
      </c>
    </row>
    <row r="6" spans="2:5" x14ac:dyDescent="0.2">
      <c r="B6" s="248">
        <f>inputPrYr!B54</f>
        <v>0</v>
      </c>
      <c r="C6" s="104" t="str">
        <f>General!C5</f>
        <v>Actual for 2023</v>
      </c>
      <c r="D6" s="104" t="str">
        <f>General!D5</f>
        <v>Estimate for 2024</v>
      </c>
      <c r="E6" s="136" t="str">
        <f>General!E5</f>
        <v>Year for 2025</v>
      </c>
    </row>
    <row r="7" spans="2:5" x14ac:dyDescent="0.2">
      <c r="B7" s="60" t="s">
        <v>195</v>
      </c>
      <c r="C7" s="42"/>
      <c r="D7" s="106">
        <f>C28</f>
        <v>0</v>
      </c>
      <c r="E7" s="106">
        <f>D28</f>
        <v>0</v>
      </c>
    </row>
    <row r="8" spans="2:5" x14ac:dyDescent="0.2">
      <c r="B8" s="164" t="s">
        <v>197</v>
      </c>
      <c r="C8" s="38"/>
      <c r="D8" s="38"/>
      <c r="E8" s="38"/>
    </row>
    <row r="9" spans="2:5" x14ac:dyDescent="0.2">
      <c r="B9" s="150"/>
      <c r="C9" s="42"/>
      <c r="D9" s="42"/>
      <c r="E9" s="42"/>
    </row>
    <row r="10" spans="2:5" x14ac:dyDescent="0.2">
      <c r="B10" s="150"/>
      <c r="C10" s="42"/>
      <c r="D10" s="42"/>
      <c r="E10" s="42"/>
    </row>
    <row r="11" spans="2:5" x14ac:dyDescent="0.2">
      <c r="B11" s="150"/>
      <c r="C11" s="42"/>
      <c r="D11" s="42"/>
      <c r="E11" s="42"/>
    </row>
    <row r="12" spans="2:5" x14ac:dyDescent="0.2">
      <c r="B12" s="142" t="s">
        <v>88</v>
      </c>
      <c r="C12" s="42"/>
      <c r="D12" s="42"/>
      <c r="E12" s="42"/>
    </row>
    <row r="13" spans="2:5" x14ac:dyDescent="0.2">
      <c r="B13" s="143" t="s">
        <v>38</v>
      </c>
      <c r="C13" s="42"/>
      <c r="D13" s="138"/>
      <c r="E13" s="138"/>
    </row>
    <row r="14" spans="2:5" x14ac:dyDescent="0.2">
      <c r="B14" s="143" t="s">
        <v>291</v>
      </c>
      <c r="C14" s="244" t="str">
        <f>IF(C15*0.1&lt;C13,"Exceed 10% Rule","")</f>
        <v/>
      </c>
      <c r="D14" s="144" t="str">
        <f>IF(D15*0.1&lt;D13,"Exceed 10% Rule","")</f>
        <v/>
      </c>
      <c r="E14" s="144" t="str">
        <f>IF(E15*0.1&lt;E13,"Exceed 10% Rule","")</f>
        <v/>
      </c>
    </row>
    <row r="15" spans="2:5" x14ac:dyDescent="0.2">
      <c r="B15" s="145" t="s">
        <v>89</v>
      </c>
      <c r="C15" s="463">
        <f>SUM(C9:C13)</f>
        <v>0</v>
      </c>
      <c r="D15" s="463">
        <f>SUM(D9:D13)</f>
        <v>0</v>
      </c>
      <c r="E15" s="463">
        <f>SUM(E9:E13)</f>
        <v>0</v>
      </c>
    </row>
    <row r="16" spans="2:5" x14ac:dyDescent="0.2">
      <c r="B16" s="145" t="s">
        <v>90</v>
      </c>
      <c r="C16" s="463">
        <f>C15+C7</f>
        <v>0</v>
      </c>
      <c r="D16" s="463">
        <f>D15+D7</f>
        <v>0</v>
      </c>
      <c r="E16" s="463">
        <f>E15+E7</f>
        <v>0</v>
      </c>
    </row>
    <row r="17" spans="2:5" x14ac:dyDescent="0.2">
      <c r="B17" s="60" t="s">
        <v>93</v>
      </c>
      <c r="C17" s="106"/>
      <c r="D17" s="106"/>
      <c r="E17" s="106"/>
    </row>
    <row r="18" spans="2:5" x14ac:dyDescent="0.2">
      <c r="B18" s="150"/>
      <c r="C18" s="42"/>
      <c r="D18" s="42"/>
      <c r="E18" s="42"/>
    </row>
    <row r="19" spans="2:5" x14ac:dyDescent="0.2">
      <c r="B19" s="150"/>
      <c r="C19" s="42"/>
      <c r="D19" s="42"/>
      <c r="E19" s="42"/>
    </row>
    <row r="20" spans="2:5" x14ac:dyDescent="0.2">
      <c r="B20" s="150"/>
      <c r="C20" s="42"/>
      <c r="D20" s="42"/>
      <c r="E20" s="42"/>
    </row>
    <row r="21" spans="2:5" x14ac:dyDescent="0.2">
      <c r="B21" s="150"/>
      <c r="C21" s="42"/>
      <c r="D21" s="42"/>
      <c r="E21" s="42"/>
    </row>
    <row r="22" spans="2:5" x14ac:dyDescent="0.2">
      <c r="B22" s="150"/>
      <c r="C22" s="42"/>
      <c r="D22" s="42"/>
      <c r="E22" s="42"/>
    </row>
    <row r="23" spans="2:5" x14ac:dyDescent="0.2">
      <c r="B23" s="150"/>
      <c r="C23" s="42"/>
      <c r="D23" s="42"/>
      <c r="E23" s="42"/>
    </row>
    <row r="24" spans="2:5" x14ac:dyDescent="0.2">
      <c r="B24" s="143" t="str">
        <f>CONCATENATE("Cash Reserve (",E1," column)")</f>
        <v>Cash Reserve (2025 column)</v>
      </c>
      <c r="C24" s="42"/>
      <c r="D24" s="42"/>
      <c r="E24" s="42"/>
    </row>
    <row r="25" spans="2:5" x14ac:dyDescent="0.2">
      <c r="B25" s="143" t="s">
        <v>38</v>
      </c>
      <c r="C25" s="42"/>
      <c r="D25" s="138"/>
      <c r="E25" s="138"/>
    </row>
    <row r="26" spans="2:5" x14ac:dyDescent="0.2">
      <c r="B26" s="143" t="s">
        <v>290</v>
      </c>
      <c r="C26" s="244" t="str">
        <f>IF(C27*0.1&lt;C25,"Exceed 10% Rule","")</f>
        <v/>
      </c>
      <c r="D26" s="144" t="str">
        <f>IF(D27*0.1&lt;D25,"Exceed 10% Rule","")</f>
        <v/>
      </c>
      <c r="E26" s="144" t="str">
        <f>IF(E27*0.1&lt;E25,"Exceed 10% Rule","")</f>
        <v/>
      </c>
    </row>
    <row r="27" spans="2:5" x14ac:dyDescent="0.2">
      <c r="B27" s="145" t="s">
        <v>94</v>
      </c>
      <c r="C27" s="463">
        <f>SUM(C18:C25)</f>
        <v>0</v>
      </c>
      <c r="D27" s="463">
        <f>SUM(D18:D25)</f>
        <v>0</v>
      </c>
      <c r="E27" s="463">
        <f>SUM(E18:E25)</f>
        <v>0</v>
      </c>
    </row>
    <row r="28" spans="2:5" x14ac:dyDescent="0.2">
      <c r="B28" s="60" t="s">
        <v>196</v>
      </c>
      <c r="C28" s="106">
        <f>C16-C27</f>
        <v>0</v>
      </c>
      <c r="D28" s="106">
        <f>D16-D27</f>
        <v>0</v>
      </c>
      <c r="E28" s="106">
        <f>E16-E27</f>
        <v>0</v>
      </c>
    </row>
    <row r="29" spans="2:5" x14ac:dyDescent="0.2">
      <c r="B29" s="135" t="str">
        <f>CONCATENATE("",E1-2,"/",E1-1,"/",E1," Budget Authority Amount:")</f>
        <v>2023/2024/2025 Budget Authority Amount:</v>
      </c>
      <c r="C29" s="167">
        <f>inputOth!B68</f>
        <v>0</v>
      </c>
      <c r="D29" s="167">
        <f>inputPrYr!D54</f>
        <v>0</v>
      </c>
      <c r="E29" s="344">
        <f>E27</f>
        <v>0</v>
      </c>
    </row>
    <row r="30" spans="2:5" x14ac:dyDescent="0.2">
      <c r="B30" s="125"/>
      <c r="C30" s="152" t="str">
        <f>IF(C27&gt;C29,"See Tab A","")</f>
        <v/>
      </c>
      <c r="D30" s="152" t="str">
        <f>IF(D27&gt;D29,"See Tab C","")</f>
        <v/>
      </c>
      <c r="E30" s="345" t="str">
        <f>IF(E28&lt;0,"See Tab E","")</f>
        <v/>
      </c>
    </row>
    <row r="31" spans="2:5" x14ac:dyDescent="0.2">
      <c r="B31" s="125"/>
      <c r="C31" s="152" t="str">
        <f>IF(C28&lt;0,"See Tab B","")</f>
        <v/>
      </c>
      <c r="D31" s="152" t="str">
        <f>IF(D28&lt;0,"See Tab D","")</f>
        <v/>
      </c>
      <c r="E31" s="49"/>
    </row>
    <row r="32" spans="2:5" x14ac:dyDescent="0.2">
      <c r="B32" s="26"/>
      <c r="C32" s="49"/>
      <c r="D32" s="49"/>
      <c r="E32" s="49"/>
    </row>
    <row r="33" spans="2:5" x14ac:dyDescent="0.2">
      <c r="B33" s="25" t="s">
        <v>80</v>
      </c>
      <c r="C33" s="155"/>
      <c r="D33" s="155"/>
      <c r="E33" s="155"/>
    </row>
    <row r="34" spans="2:5" x14ac:dyDescent="0.2">
      <c r="B34" s="26"/>
      <c r="C34" s="153" t="str">
        <f t="shared" ref="C34:E35" si="0">C5</f>
        <v xml:space="preserve">Prior Year </v>
      </c>
      <c r="D34" s="80" t="str">
        <f t="shared" si="0"/>
        <v xml:space="preserve">Current Year </v>
      </c>
      <c r="E34" s="80" t="str">
        <f t="shared" si="0"/>
        <v xml:space="preserve">Proposed Budget </v>
      </c>
    </row>
    <row r="35" spans="2:5" x14ac:dyDescent="0.2">
      <c r="B35" s="248">
        <f>inputPrYr!B55</f>
        <v>0</v>
      </c>
      <c r="C35" s="104" t="str">
        <f t="shared" si="0"/>
        <v>Actual for 2023</v>
      </c>
      <c r="D35" s="104" t="str">
        <f t="shared" si="0"/>
        <v>Estimate for 2024</v>
      </c>
      <c r="E35" s="136" t="str">
        <f t="shared" si="0"/>
        <v>Year for 2025</v>
      </c>
    </row>
    <row r="36" spans="2:5" x14ac:dyDescent="0.2">
      <c r="B36" s="60" t="s">
        <v>195</v>
      </c>
      <c r="C36" s="42"/>
      <c r="D36" s="106">
        <f>C58</f>
        <v>0</v>
      </c>
      <c r="E36" s="106">
        <f>D58</f>
        <v>0</v>
      </c>
    </row>
    <row r="37" spans="2:5" x14ac:dyDescent="0.2">
      <c r="B37" s="164" t="s">
        <v>197</v>
      </c>
      <c r="C37" s="38"/>
      <c r="D37" s="38"/>
      <c r="E37" s="38"/>
    </row>
    <row r="38" spans="2:5" x14ac:dyDescent="0.2">
      <c r="B38" s="150"/>
      <c r="C38" s="42"/>
      <c r="D38" s="42"/>
      <c r="E38" s="42"/>
    </row>
    <row r="39" spans="2:5" x14ac:dyDescent="0.2">
      <c r="B39" s="150"/>
      <c r="C39" s="42"/>
      <c r="D39" s="42"/>
      <c r="E39" s="42"/>
    </row>
    <row r="40" spans="2:5" x14ac:dyDescent="0.2">
      <c r="B40" s="150"/>
      <c r="C40" s="42"/>
      <c r="D40" s="42"/>
      <c r="E40" s="42"/>
    </row>
    <row r="41" spans="2:5" x14ac:dyDescent="0.2">
      <c r="B41" s="142" t="s">
        <v>88</v>
      </c>
      <c r="C41" s="42"/>
      <c r="D41" s="42"/>
      <c r="E41" s="42"/>
    </row>
    <row r="42" spans="2:5" x14ac:dyDescent="0.2">
      <c r="B42" s="143" t="s">
        <v>38</v>
      </c>
      <c r="C42" s="42"/>
      <c r="D42" s="138"/>
      <c r="E42" s="138"/>
    </row>
    <row r="43" spans="2:5" x14ac:dyDescent="0.2">
      <c r="B43" s="143" t="s">
        <v>291</v>
      </c>
      <c r="C43" s="244" t="str">
        <f>IF(C44*0.1&lt;C42,"Exceed 10% Rule","")</f>
        <v/>
      </c>
      <c r="D43" s="144" t="str">
        <f>IF(D44*0.1&lt;D42,"Exceed 10% Rule","")</f>
        <v/>
      </c>
      <c r="E43" s="144" t="str">
        <f>IF(E44*0.1&lt;E42,"Exceed 10% Rule","")</f>
        <v/>
      </c>
    </row>
    <row r="44" spans="2:5" x14ac:dyDescent="0.2">
      <c r="B44" s="145" t="s">
        <v>89</v>
      </c>
      <c r="C44" s="463">
        <f>SUM(C38:C42)</f>
        <v>0</v>
      </c>
      <c r="D44" s="463">
        <f>SUM(D38:D42)</f>
        <v>0</v>
      </c>
      <c r="E44" s="463">
        <f>SUM(E38:E42)</f>
        <v>0</v>
      </c>
    </row>
    <row r="45" spans="2:5" x14ac:dyDescent="0.2">
      <c r="B45" s="145" t="s">
        <v>90</v>
      </c>
      <c r="C45" s="463">
        <f>C36+C44</f>
        <v>0</v>
      </c>
      <c r="D45" s="463">
        <f>D36+D44</f>
        <v>0</v>
      </c>
      <c r="E45" s="463">
        <f>E36+E44</f>
        <v>0</v>
      </c>
    </row>
    <row r="46" spans="2:5" x14ac:dyDescent="0.2">
      <c r="B46" s="60" t="s">
        <v>93</v>
      </c>
      <c r="C46" s="106"/>
      <c r="D46" s="106"/>
      <c r="E46" s="106"/>
    </row>
    <row r="47" spans="2:5" x14ac:dyDescent="0.2">
      <c r="B47" s="150"/>
      <c r="C47" s="42"/>
      <c r="D47" s="42"/>
      <c r="E47" s="42"/>
    </row>
    <row r="48" spans="2:5" x14ac:dyDescent="0.2">
      <c r="B48" s="150"/>
      <c r="C48" s="42"/>
      <c r="D48" s="42"/>
      <c r="E48" s="42"/>
    </row>
    <row r="49" spans="2:5" x14ac:dyDescent="0.2">
      <c r="B49" s="150"/>
      <c r="C49" s="42"/>
      <c r="D49" s="42"/>
      <c r="E49" s="42"/>
    </row>
    <row r="50" spans="2:5" x14ac:dyDescent="0.2">
      <c r="B50" s="150"/>
      <c r="C50" s="42"/>
      <c r="D50" s="42"/>
      <c r="E50" s="42"/>
    </row>
    <row r="51" spans="2:5" x14ac:dyDescent="0.2">
      <c r="B51" s="150"/>
      <c r="C51" s="42"/>
      <c r="D51" s="42"/>
      <c r="E51" s="42"/>
    </row>
    <row r="52" spans="2:5" x14ac:dyDescent="0.2">
      <c r="B52" s="150"/>
      <c r="C52" s="42"/>
      <c r="D52" s="42"/>
      <c r="E52" s="42"/>
    </row>
    <row r="53" spans="2:5" x14ac:dyDescent="0.2">
      <c r="B53" s="150"/>
      <c r="C53" s="42"/>
      <c r="D53" s="42"/>
      <c r="E53" s="42"/>
    </row>
    <row r="54" spans="2:5" x14ac:dyDescent="0.2">
      <c r="B54" s="143" t="str">
        <f>CONCATENATE("Cash Reserve (",E1," column)")</f>
        <v>Cash Reserve (2025 column)</v>
      </c>
      <c r="C54" s="42"/>
      <c r="D54" s="42"/>
      <c r="E54" s="42"/>
    </row>
    <row r="55" spans="2:5" x14ac:dyDescent="0.2">
      <c r="B55" s="143" t="s">
        <v>38</v>
      </c>
      <c r="C55" s="42"/>
      <c r="D55" s="138"/>
      <c r="E55" s="138"/>
    </row>
    <row r="56" spans="2:5" x14ac:dyDescent="0.2">
      <c r="B56" s="143" t="s">
        <v>290</v>
      </c>
      <c r="C56" s="244" t="str">
        <f>IF(C57*0.1&lt;C55,"Exceed 10% Rule","")</f>
        <v/>
      </c>
      <c r="D56" s="144" t="str">
        <f>IF(D57*0.1&lt;D55,"Exceed 10% Rule","")</f>
        <v/>
      </c>
      <c r="E56" s="144" t="str">
        <f>IF(E57*0.1&lt;E55,"Exceed 10% Rule","")</f>
        <v/>
      </c>
    </row>
    <row r="57" spans="2:5" x14ac:dyDescent="0.2">
      <c r="B57" s="145" t="s">
        <v>94</v>
      </c>
      <c r="C57" s="463">
        <f>SUM(C47:C55)</f>
        <v>0</v>
      </c>
      <c r="D57" s="463">
        <f>SUM(D47:D55)</f>
        <v>0</v>
      </c>
      <c r="E57" s="463">
        <f>SUM(E47:E55)</f>
        <v>0</v>
      </c>
    </row>
    <row r="58" spans="2:5" x14ac:dyDescent="0.2">
      <c r="B58" s="60" t="s">
        <v>196</v>
      </c>
      <c r="C58" s="106">
        <f>C45-C57</f>
        <v>0</v>
      </c>
      <c r="D58" s="106">
        <f>D45-D57</f>
        <v>0</v>
      </c>
      <c r="E58" s="106">
        <f>E45-E57</f>
        <v>0</v>
      </c>
    </row>
    <row r="59" spans="2:5" x14ac:dyDescent="0.2">
      <c r="B59" s="135" t="str">
        <f>CONCATENATE("",E1-2,"/",E1-1,"/",E1," Budget Authority Amount:")</f>
        <v>2023/2024/2025 Budget Authority Amount:</v>
      </c>
      <c r="C59" s="167">
        <f>inputOth!B69</f>
        <v>0</v>
      </c>
      <c r="D59" s="167">
        <f>inputPrYr!D55</f>
        <v>0</v>
      </c>
      <c r="E59" s="344">
        <f>E57</f>
        <v>0</v>
      </c>
    </row>
    <row r="60" spans="2:5" x14ac:dyDescent="0.2">
      <c r="B60" s="125"/>
      <c r="C60" s="152" t="str">
        <f>IF(C57&gt;C59,"See Tab A","")</f>
        <v/>
      </c>
      <c r="D60" s="152" t="str">
        <f>IF(D57&gt;D59,"See Tab C","")</f>
        <v/>
      </c>
      <c r="E60" s="346" t="str">
        <f>IF(E58&lt;0,"See Tab E","")</f>
        <v/>
      </c>
    </row>
    <row r="61" spans="2:5" x14ac:dyDescent="0.2">
      <c r="B61" s="425" t="s">
        <v>354</v>
      </c>
      <c r="C61" s="346"/>
      <c r="D61" s="346"/>
      <c r="E61" s="415"/>
    </row>
    <row r="62" spans="2:5" x14ac:dyDescent="0.2">
      <c r="B62" s="416"/>
      <c r="C62" s="152"/>
      <c r="D62" s="152"/>
      <c r="E62" s="417"/>
    </row>
    <row r="63" spans="2:5" x14ac:dyDescent="0.2">
      <c r="B63" s="418"/>
      <c r="C63" s="419" t="str">
        <f>IF(C58&lt;0,"See Tab B","")</f>
        <v/>
      </c>
      <c r="D63" s="419" t="str">
        <f>IF(D58&lt;0,"See Tab D","")</f>
        <v/>
      </c>
      <c r="E63" s="47" t="s">
        <v>324</v>
      </c>
    </row>
    <row r="64" spans="2:5" x14ac:dyDescent="0.2">
      <c r="B64" s="26"/>
      <c r="C64" s="26"/>
      <c r="D64" s="26"/>
      <c r="E64" s="26"/>
    </row>
    <row r="65" spans="2:5" x14ac:dyDescent="0.2">
      <c r="B65" s="125" t="s">
        <v>146</v>
      </c>
      <c r="C65" s="368"/>
      <c r="D65" s="26"/>
      <c r="E65" s="26"/>
    </row>
    <row r="78" spans="2:5" x14ac:dyDescent="0.2">
      <c r="C78" s="424"/>
    </row>
  </sheetData>
  <sheetProtection sheet="1" objects="1" scenarios="1"/>
  <phoneticPr fontId="7" type="noConversion"/>
  <conditionalFormatting sqref="C13">
    <cfRule type="cellIs" dxfId="39" priority="6" stopIfTrue="1" operator="greaterThan">
      <formula>$C$15*0.1</formula>
    </cfRule>
  </conditionalFormatting>
  <conditionalFormatting sqref="C25">
    <cfRule type="cellIs" dxfId="38" priority="3" stopIfTrue="1" operator="greaterThan">
      <formula>$C$27*0.1</formula>
    </cfRule>
  </conditionalFormatting>
  <conditionalFormatting sqref="C42">
    <cfRule type="cellIs" dxfId="37" priority="9" stopIfTrue="1" operator="greaterThan">
      <formula>$C$44*0.1</formula>
    </cfRule>
  </conditionalFormatting>
  <conditionalFormatting sqref="C55">
    <cfRule type="cellIs" dxfId="36" priority="12" stopIfTrue="1" operator="greaterThan">
      <formula>$C$57*0.1</formula>
    </cfRule>
  </conditionalFormatting>
  <conditionalFormatting sqref="D13">
    <cfRule type="cellIs" dxfId="35" priority="7" stopIfTrue="1" operator="greaterThan">
      <formula>$D$15*0.1</formula>
    </cfRule>
  </conditionalFormatting>
  <conditionalFormatting sqref="D25">
    <cfRule type="cellIs" dxfId="34" priority="4" stopIfTrue="1" operator="greaterThan">
      <formula>$D$27*0.1</formula>
    </cfRule>
  </conditionalFormatting>
  <conditionalFormatting sqref="D42">
    <cfRule type="cellIs" dxfId="33" priority="10" stopIfTrue="1" operator="greaterThan">
      <formula>$D$44*0.1</formula>
    </cfRule>
  </conditionalFormatting>
  <conditionalFormatting sqref="D55">
    <cfRule type="cellIs" dxfId="32" priority="13" stopIfTrue="1" operator="greaterThan">
      <formula>$D$57*0.1</formula>
    </cfRule>
  </conditionalFormatting>
  <conditionalFormatting sqref="E13">
    <cfRule type="cellIs" dxfId="31" priority="8" stopIfTrue="1" operator="greaterThan">
      <formula>$E$15*0.1</formula>
    </cfRule>
  </conditionalFormatting>
  <conditionalFormatting sqref="E25">
    <cfRule type="cellIs" dxfId="30" priority="5" stopIfTrue="1" operator="greaterThan">
      <formula>$E$27*0.1</formula>
    </cfRule>
  </conditionalFormatting>
  <conditionalFormatting sqref="E42">
    <cfRule type="cellIs" dxfId="29" priority="11" stopIfTrue="1" operator="greaterThan">
      <formula>$E$44*0.1</formula>
    </cfRule>
  </conditionalFormatting>
  <conditionalFormatting sqref="E55">
    <cfRule type="cellIs" dxfId="28" priority="14" stopIfTrue="1" operator="greaterThan">
      <formula>$E$57*0.1</formula>
    </cfRule>
  </conditionalFormatting>
  <pageMargins left="0.75" right="0.75" top="1" bottom="1" header="0.5" footer="0.5"/>
  <pageSetup scale="63" orientation="portrait" blackAndWhite="1" r:id="rId1"/>
  <headerFooter alignWithMargins="0">
    <oddHeader>&amp;RState of Kansas
County</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0">
    <tabColor rgb="FF00B0F0"/>
    <pageSetUpPr fitToPage="1"/>
  </sheetPr>
  <dimension ref="B1:E65"/>
  <sheetViews>
    <sheetView workbookViewId="0">
      <selection activeCell="F7" sqref="F7"/>
    </sheetView>
  </sheetViews>
  <sheetFormatPr defaultRowHeight="15.75" x14ac:dyDescent="0.2"/>
  <cols>
    <col min="1" max="1" width="2.44140625" style="23" customWidth="1"/>
    <col min="2" max="2" width="31.109375" style="23" customWidth="1"/>
    <col min="3" max="4" width="15.77734375" style="23" customWidth="1"/>
    <col min="5" max="5" width="16.21875" style="23" customWidth="1"/>
    <col min="6" max="16384" width="8.88671875" style="23"/>
  </cols>
  <sheetData>
    <row r="1" spans="2:5" x14ac:dyDescent="0.2">
      <c r="B1" s="57">
        <f>(inputPrYr!C3)</f>
        <v>0</v>
      </c>
      <c r="C1" s="26"/>
      <c r="D1" s="26"/>
      <c r="E1" s="125">
        <f>inputPrYr!C5</f>
        <v>2025</v>
      </c>
    </row>
    <row r="2" spans="2:5" x14ac:dyDescent="0.2">
      <c r="B2" s="26"/>
      <c r="C2" s="26"/>
      <c r="D2" s="26"/>
      <c r="E2" s="90"/>
    </row>
    <row r="3" spans="2:5" x14ac:dyDescent="0.2">
      <c r="B3" s="64" t="s">
        <v>186</v>
      </c>
      <c r="C3" s="161"/>
      <c r="D3" s="161"/>
      <c r="E3" s="162"/>
    </row>
    <row r="4" spans="2:5" x14ac:dyDescent="0.2">
      <c r="B4" s="26"/>
      <c r="C4" s="155"/>
      <c r="D4" s="155"/>
      <c r="E4" s="155"/>
    </row>
    <row r="5" spans="2:5" x14ac:dyDescent="0.2">
      <c r="B5" s="25" t="s">
        <v>80</v>
      </c>
      <c r="C5" s="153" t="str">
        <f>General!C4</f>
        <v xml:space="preserve">Prior Year </v>
      </c>
      <c r="D5" s="80" t="str">
        <f>General!D4</f>
        <v xml:space="preserve">Current Year </v>
      </c>
      <c r="E5" s="80" t="str">
        <f>General!E4</f>
        <v xml:space="preserve">Proposed Budget </v>
      </c>
    </row>
    <row r="6" spans="2:5" x14ac:dyDescent="0.2">
      <c r="B6" s="248">
        <f>inputPrYr!B56</f>
        <v>0</v>
      </c>
      <c r="C6" s="104" t="str">
        <f>General!C5</f>
        <v>Actual for 2023</v>
      </c>
      <c r="D6" s="104" t="str">
        <f>General!D5</f>
        <v>Estimate for 2024</v>
      </c>
      <c r="E6" s="136" t="str">
        <f>General!E5</f>
        <v>Year for 2025</v>
      </c>
    </row>
    <row r="7" spans="2:5" x14ac:dyDescent="0.2">
      <c r="B7" s="60" t="s">
        <v>195</v>
      </c>
      <c r="C7" s="42"/>
      <c r="D7" s="106">
        <f>C28</f>
        <v>0</v>
      </c>
      <c r="E7" s="106">
        <f>D28</f>
        <v>0</v>
      </c>
    </row>
    <row r="8" spans="2:5" x14ac:dyDescent="0.2">
      <c r="B8" s="164" t="s">
        <v>197</v>
      </c>
      <c r="C8" s="38"/>
      <c r="D8" s="38"/>
      <c r="E8" s="38"/>
    </row>
    <row r="9" spans="2:5" x14ac:dyDescent="0.2">
      <c r="B9" s="150"/>
      <c r="C9" s="42"/>
      <c r="D9" s="42"/>
      <c r="E9" s="42"/>
    </row>
    <row r="10" spans="2:5" x14ac:dyDescent="0.2">
      <c r="B10" s="150"/>
      <c r="C10" s="42"/>
      <c r="D10" s="42"/>
      <c r="E10" s="42"/>
    </row>
    <row r="11" spans="2:5" x14ac:dyDescent="0.2">
      <c r="B11" s="150"/>
      <c r="C11" s="42"/>
      <c r="D11" s="42"/>
      <c r="E11" s="42"/>
    </row>
    <row r="12" spans="2:5" x14ac:dyDescent="0.2">
      <c r="B12" s="142" t="s">
        <v>88</v>
      </c>
      <c r="C12" s="42"/>
      <c r="D12" s="42"/>
      <c r="E12" s="42"/>
    </row>
    <row r="13" spans="2:5" x14ac:dyDescent="0.2">
      <c r="B13" s="143" t="s">
        <v>38</v>
      </c>
      <c r="C13" s="42"/>
      <c r="D13" s="138"/>
      <c r="E13" s="138"/>
    </row>
    <row r="14" spans="2:5" x14ac:dyDescent="0.2">
      <c r="B14" s="143" t="s">
        <v>291</v>
      </c>
      <c r="C14" s="244" t="str">
        <f>IF(C15*0.1&lt;C13,"Exceed 10% Rule","")</f>
        <v/>
      </c>
      <c r="D14" s="144" t="str">
        <f>IF(D15*0.1&lt;D13,"Exceed 10% Rule","")</f>
        <v/>
      </c>
      <c r="E14" s="144" t="str">
        <f>IF(E15*0.1&lt;E13,"Exceed 10% Rule","")</f>
        <v/>
      </c>
    </row>
    <row r="15" spans="2:5" x14ac:dyDescent="0.2">
      <c r="B15" s="145" t="s">
        <v>89</v>
      </c>
      <c r="C15" s="463">
        <f>SUM(C9:C13)</f>
        <v>0</v>
      </c>
      <c r="D15" s="463">
        <f>SUM(D9:D13)</f>
        <v>0</v>
      </c>
      <c r="E15" s="463">
        <f>SUM(E9:E13)</f>
        <v>0</v>
      </c>
    </row>
    <row r="16" spans="2:5" x14ac:dyDescent="0.2">
      <c r="B16" s="145" t="s">
        <v>90</v>
      </c>
      <c r="C16" s="463">
        <f>C15+C7</f>
        <v>0</v>
      </c>
      <c r="D16" s="463">
        <f>D15+D7</f>
        <v>0</v>
      </c>
      <c r="E16" s="463">
        <f>E15+E7</f>
        <v>0</v>
      </c>
    </row>
    <row r="17" spans="2:5" x14ac:dyDescent="0.2">
      <c r="B17" s="60" t="s">
        <v>93</v>
      </c>
      <c r="C17" s="106"/>
      <c r="D17" s="106"/>
      <c r="E17" s="106"/>
    </row>
    <row r="18" spans="2:5" x14ac:dyDescent="0.2">
      <c r="B18" s="150"/>
      <c r="C18" s="42"/>
      <c r="D18" s="42"/>
      <c r="E18" s="42"/>
    </row>
    <row r="19" spans="2:5" x14ac:dyDescent="0.2">
      <c r="B19" s="150"/>
      <c r="C19" s="42"/>
      <c r="D19" s="42"/>
      <c r="E19" s="42"/>
    </row>
    <row r="20" spans="2:5" x14ac:dyDescent="0.2">
      <c r="B20" s="150"/>
      <c r="C20" s="42"/>
      <c r="D20" s="42"/>
      <c r="E20" s="42"/>
    </row>
    <row r="21" spans="2:5" x14ac:dyDescent="0.2">
      <c r="B21" s="150"/>
      <c r="C21" s="42"/>
      <c r="D21" s="42"/>
      <c r="E21" s="42"/>
    </row>
    <row r="22" spans="2:5" x14ac:dyDescent="0.2">
      <c r="B22" s="150"/>
      <c r="C22" s="42"/>
      <c r="D22" s="42"/>
      <c r="E22" s="42"/>
    </row>
    <row r="23" spans="2:5" x14ac:dyDescent="0.2">
      <c r="B23" s="150"/>
      <c r="C23" s="42"/>
      <c r="D23" s="42"/>
      <c r="E23" s="42"/>
    </row>
    <row r="24" spans="2:5" x14ac:dyDescent="0.2">
      <c r="B24" s="143" t="str">
        <f>CONCATENATE("Cash Reserve (",E1," column)")</f>
        <v>Cash Reserve (2025 column)</v>
      </c>
      <c r="C24" s="42"/>
      <c r="D24" s="42"/>
      <c r="E24" s="42"/>
    </row>
    <row r="25" spans="2:5" x14ac:dyDescent="0.2">
      <c r="B25" s="143" t="s">
        <v>38</v>
      </c>
      <c r="C25" s="42"/>
      <c r="D25" s="138"/>
      <c r="E25" s="138"/>
    </row>
    <row r="26" spans="2:5" x14ac:dyDescent="0.2">
      <c r="B26" s="143" t="s">
        <v>290</v>
      </c>
      <c r="C26" s="244" t="str">
        <f>IF(C27*0.1&lt;C25,"Exceed 10% Rule","")</f>
        <v/>
      </c>
      <c r="D26" s="144" t="str">
        <f>IF(D27*0.1&lt;D25,"Exceed 10% Rule","")</f>
        <v/>
      </c>
      <c r="E26" s="144" t="str">
        <f>IF(E27*0.1&lt;E25,"Exceed 10% Rule","")</f>
        <v/>
      </c>
    </row>
    <row r="27" spans="2:5" x14ac:dyDescent="0.2">
      <c r="B27" s="145" t="s">
        <v>94</v>
      </c>
      <c r="C27" s="463">
        <f>SUM(C18:C25)</f>
        <v>0</v>
      </c>
      <c r="D27" s="463">
        <f>SUM(D18:D25)</f>
        <v>0</v>
      </c>
      <c r="E27" s="463">
        <f>SUM(E18:E25)</f>
        <v>0</v>
      </c>
    </row>
    <row r="28" spans="2:5" x14ac:dyDescent="0.2">
      <c r="B28" s="60" t="s">
        <v>196</v>
      </c>
      <c r="C28" s="106">
        <f>C16-C27</f>
        <v>0</v>
      </c>
      <c r="D28" s="106">
        <f>D16-D27</f>
        <v>0</v>
      </c>
      <c r="E28" s="106">
        <f>E16-E27</f>
        <v>0</v>
      </c>
    </row>
    <row r="29" spans="2:5" x14ac:dyDescent="0.2">
      <c r="B29" s="135" t="str">
        <f>CONCATENATE("",E1-2,"/",E1-1,"/",E1," Budget Authority Amount:")</f>
        <v>2023/2024/2025 Budget Authority Amount:</v>
      </c>
      <c r="C29" s="167">
        <f>inputOth!B70</f>
        <v>0</v>
      </c>
      <c r="D29" s="167">
        <f>inputPrYr!D56</f>
        <v>0</v>
      </c>
      <c r="E29" s="344">
        <f>E27</f>
        <v>0</v>
      </c>
    </row>
    <row r="30" spans="2:5" x14ac:dyDescent="0.2">
      <c r="B30" s="125"/>
      <c r="C30" s="152" t="str">
        <f>IF(C27&gt;C29,"See Tab A","")</f>
        <v/>
      </c>
      <c r="D30" s="152" t="str">
        <f>IF(D27&gt;D29,"See Tab C","")</f>
        <v/>
      </c>
      <c r="E30" s="345" t="str">
        <f>IF(E28&lt;0,"See Tab E","")</f>
        <v/>
      </c>
    </row>
    <row r="31" spans="2:5" x14ac:dyDescent="0.2">
      <c r="B31" s="125"/>
      <c r="C31" s="152" t="str">
        <f>IF(C28&lt;0,"See Tab B","")</f>
        <v/>
      </c>
      <c r="D31" s="152" t="str">
        <f>IF(D28&lt;0,"See Tab D","")</f>
        <v/>
      </c>
      <c r="E31" s="49"/>
    </row>
    <row r="32" spans="2:5" x14ac:dyDescent="0.2">
      <c r="B32" s="26"/>
      <c r="C32" s="49"/>
      <c r="D32" s="49"/>
      <c r="E32" s="49"/>
    </row>
    <row r="33" spans="2:5" x14ac:dyDescent="0.2">
      <c r="B33" s="25" t="s">
        <v>80</v>
      </c>
      <c r="C33" s="155"/>
      <c r="D33" s="155"/>
      <c r="E33" s="155"/>
    </row>
    <row r="34" spans="2:5" x14ac:dyDescent="0.2">
      <c r="B34" s="26"/>
      <c r="C34" s="153" t="str">
        <f t="shared" ref="C34:E35" si="0">C5</f>
        <v xml:space="preserve">Prior Year </v>
      </c>
      <c r="D34" s="80" t="str">
        <f t="shared" si="0"/>
        <v xml:space="preserve">Current Year </v>
      </c>
      <c r="E34" s="80" t="str">
        <f t="shared" si="0"/>
        <v xml:space="preserve">Proposed Budget </v>
      </c>
    </row>
    <row r="35" spans="2:5" x14ac:dyDescent="0.2">
      <c r="B35" s="247">
        <f>inputPrYr!B57</f>
        <v>0</v>
      </c>
      <c r="C35" s="104" t="str">
        <f t="shared" si="0"/>
        <v>Actual for 2023</v>
      </c>
      <c r="D35" s="104" t="str">
        <f t="shared" si="0"/>
        <v>Estimate for 2024</v>
      </c>
      <c r="E35" s="136" t="str">
        <f t="shared" si="0"/>
        <v>Year for 2025</v>
      </c>
    </row>
    <row r="36" spans="2:5" x14ac:dyDescent="0.2">
      <c r="B36" s="60" t="s">
        <v>195</v>
      </c>
      <c r="C36" s="42"/>
      <c r="D36" s="106">
        <f>C58</f>
        <v>0</v>
      </c>
      <c r="E36" s="106">
        <f>D58</f>
        <v>0</v>
      </c>
    </row>
    <row r="37" spans="2:5" x14ac:dyDescent="0.2">
      <c r="B37" s="60" t="s">
        <v>197</v>
      </c>
      <c r="C37" s="38"/>
      <c r="D37" s="38"/>
      <c r="E37" s="38"/>
    </row>
    <row r="38" spans="2:5" x14ac:dyDescent="0.2">
      <c r="B38" s="150"/>
      <c r="C38" s="42"/>
      <c r="D38" s="42"/>
      <c r="E38" s="42"/>
    </row>
    <row r="39" spans="2:5" x14ac:dyDescent="0.2">
      <c r="B39" s="150"/>
      <c r="C39" s="42"/>
      <c r="D39" s="42"/>
      <c r="E39" s="42"/>
    </row>
    <row r="40" spans="2:5" x14ac:dyDescent="0.2">
      <c r="B40" s="150"/>
      <c r="C40" s="42"/>
      <c r="D40" s="42"/>
      <c r="E40" s="42"/>
    </row>
    <row r="41" spans="2:5" x14ac:dyDescent="0.2">
      <c r="B41" s="142" t="s">
        <v>88</v>
      </c>
      <c r="C41" s="42"/>
      <c r="D41" s="42"/>
      <c r="E41" s="42"/>
    </row>
    <row r="42" spans="2:5" x14ac:dyDescent="0.2">
      <c r="B42" s="143" t="s">
        <v>38</v>
      </c>
      <c r="C42" s="42"/>
      <c r="D42" s="138"/>
      <c r="E42" s="138"/>
    </row>
    <row r="43" spans="2:5" x14ac:dyDescent="0.2">
      <c r="B43" s="143" t="s">
        <v>291</v>
      </c>
      <c r="C43" s="244" t="str">
        <f>IF(C44*0.1&lt;C42,"Exceed 10% Rule","")</f>
        <v/>
      </c>
      <c r="D43" s="144" t="str">
        <f>IF(D44*0.1&lt;D42,"Exceed 10% Rule","")</f>
        <v/>
      </c>
      <c r="E43" s="144" t="str">
        <f>IF(E44*0.1&lt;E42,"Exceed 10% Rule","")</f>
        <v/>
      </c>
    </row>
    <row r="44" spans="2:5" x14ac:dyDescent="0.2">
      <c r="B44" s="145" t="s">
        <v>89</v>
      </c>
      <c r="C44" s="463">
        <f>SUM(C38:C42)</f>
        <v>0</v>
      </c>
      <c r="D44" s="463">
        <f>SUM(D38:D42)</f>
        <v>0</v>
      </c>
      <c r="E44" s="463">
        <f>SUM(E38:E42)</f>
        <v>0</v>
      </c>
    </row>
    <row r="45" spans="2:5" x14ac:dyDescent="0.2">
      <c r="B45" s="145" t="s">
        <v>90</v>
      </c>
      <c r="C45" s="463">
        <f>C36+C44</f>
        <v>0</v>
      </c>
      <c r="D45" s="463">
        <f>D36+D44</f>
        <v>0</v>
      </c>
      <c r="E45" s="463">
        <f>E36+E44</f>
        <v>0</v>
      </c>
    </row>
    <row r="46" spans="2:5" x14ac:dyDescent="0.2">
      <c r="B46" s="60" t="s">
        <v>93</v>
      </c>
      <c r="C46" s="106"/>
      <c r="D46" s="106"/>
      <c r="E46" s="106"/>
    </row>
    <row r="47" spans="2:5" x14ac:dyDescent="0.2">
      <c r="B47" s="150"/>
      <c r="C47" s="42"/>
      <c r="D47" s="42"/>
      <c r="E47" s="42"/>
    </row>
    <row r="48" spans="2:5" x14ac:dyDescent="0.2">
      <c r="B48" s="150"/>
      <c r="C48" s="42"/>
      <c r="D48" s="42"/>
      <c r="E48" s="42"/>
    </row>
    <row r="49" spans="2:5" x14ac:dyDescent="0.2">
      <c r="B49" s="150"/>
      <c r="C49" s="42"/>
      <c r="D49" s="42"/>
      <c r="E49" s="42"/>
    </row>
    <row r="50" spans="2:5" x14ac:dyDescent="0.2">
      <c r="B50" s="150"/>
      <c r="C50" s="42"/>
      <c r="D50" s="42"/>
      <c r="E50" s="42"/>
    </row>
    <row r="51" spans="2:5" x14ac:dyDescent="0.2">
      <c r="B51" s="150"/>
      <c r="C51" s="42"/>
      <c r="D51" s="42"/>
      <c r="E51" s="42"/>
    </row>
    <row r="52" spans="2:5" x14ac:dyDescent="0.2">
      <c r="B52" s="150"/>
      <c r="C52" s="42"/>
      <c r="D52" s="42"/>
      <c r="E52" s="42"/>
    </row>
    <row r="53" spans="2:5" x14ac:dyDescent="0.2">
      <c r="B53" s="150"/>
      <c r="C53" s="42"/>
      <c r="D53" s="42"/>
      <c r="E53" s="42"/>
    </row>
    <row r="54" spans="2:5" x14ac:dyDescent="0.2">
      <c r="B54" s="143" t="str">
        <f>CONCATENATE("Cash Reserve (",E1," column)")</f>
        <v>Cash Reserve (2025 column)</v>
      </c>
      <c r="C54" s="42"/>
      <c r="D54" s="42"/>
      <c r="E54" s="42"/>
    </row>
    <row r="55" spans="2:5" x14ac:dyDescent="0.2">
      <c r="B55" s="143" t="s">
        <v>38</v>
      </c>
      <c r="C55" s="42"/>
      <c r="D55" s="138"/>
      <c r="E55" s="138"/>
    </row>
    <row r="56" spans="2:5" x14ac:dyDescent="0.2">
      <c r="B56" s="143" t="s">
        <v>290</v>
      </c>
      <c r="C56" s="244" t="str">
        <f>IF(C57*0.1&lt;C55,"Exceed 10% Rule","")</f>
        <v/>
      </c>
      <c r="D56" s="144" t="str">
        <f>IF(D57*0.1&lt;D55,"Exceed 10% Rule","")</f>
        <v/>
      </c>
      <c r="E56" s="144" t="str">
        <f>IF(E57*0.1&lt;E55,"Exceed 10% Rule","")</f>
        <v/>
      </c>
    </row>
    <row r="57" spans="2:5" x14ac:dyDescent="0.2">
      <c r="B57" s="145" t="s">
        <v>94</v>
      </c>
      <c r="C57" s="463">
        <f>SUM(C47:C55)</f>
        <v>0</v>
      </c>
      <c r="D57" s="463">
        <f>SUM(D47:D55)</f>
        <v>0</v>
      </c>
      <c r="E57" s="463">
        <f>SUM(E47:E55)</f>
        <v>0</v>
      </c>
    </row>
    <row r="58" spans="2:5" x14ac:dyDescent="0.2">
      <c r="B58" s="60" t="s">
        <v>196</v>
      </c>
      <c r="C58" s="106">
        <f>C45-C57</f>
        <v>0</v>
      </c>
      <c r="D58" s="106">
        <f>D45-D57</f>
        <v>0</v>
      </c>
      <c r="E58" s="106">
        <f>E45-E57</f>
        <v>0</v>
      </c>
    </row>
    <row r="59" spans="2:5" x14ac:dyDescent="0.2">
      <c r="B59" s="135" t="str">
        <f>CONCATENATE("",E1-2,"/",E1-1,"/",E1," Budget Authority Amount:")</f>
        <v>2023/2024/2025 Budget Authority Amount:</v>
      </c>
      <c r="C59" s="167">
        <f>inputOth!B71</f>
        <v>0</v>
      </c>
      <c r="D59" s="167">
        <f>inputPrYr!D57</f>
        <v>0</v>
      </c>
      <c r="E59" s="344">
        <f>E57</f>
        <v>0</v>
      </c>
    </row>
    <row r="60" spans="2:5" x14ac:dyDescent="0.2">
      <c r="B60" s="125"/>
      <c r="C60" s="152" t="str">
        <f>IF(C57&gt;C59,"See Tab A","")</f>
        <v/>
      </c>
      <c r="D60" s="152" t="str">
        <f>IF(D57&gt;D59,"See Tab C","")</f>
        <v/>
      </c>
      <c r="E60" s="346" t="str">
        <f>IF(E58&lt;0,"See Tab E","")</f>
        <v/>
      </c>
    </row>
    <row r="61" spans="2:5" x14ac:dyDescent="0.2">
      <c r="B61" s="425" t="s">
        <v>354</v>
      </c>
      <c r="C61" s="346"/>
      <c r="D61" s="346"/>
      <c r="E61" s="415"/>
    </row>
    <row r="62" spans="2:5" x14ac:dyDescent="0.2">
      <c r="B62" s="416"/>
      <c r="C62" s="152"/>
      <c r="D62" s="152"/>
      <c r="E62" s="417"/>
    </row>
    <row r="63" spans="2:5" x14ac:dyDescent="0.2">
      <c r="B63" s="418"/>
      <c r="C63" s="419" t="str">
        <f>IF(C58&lt;0,"See Tab B","")</f>
        <v/>
      </c>
      <c r="D63" s="419" t="str">
        <f>IF(D58&lt;0,"See Tab D","")</f>
        <v/>
      </c>
      <c r="E63" s="47"/>
    </row>
    <row r="64" spans="2:5" x14ac:dyDescent="0.2">
      <c r="B64" s="26"/>
      <c r="C64" s="26"/>
      <c r="D64" s="26"/>
      <c r="E64" s="26"/>
    </row>
    <row r="65" spans="2:5" x14ac:dyDescent="0.2">
      <c r="B65" s="125" t="s">
        <v>146</v>
      </c>
      <c r="C65" s="368"/>
      <c r="D65" s="26"/>
      <c r="E65" s="26"/>
    </row>
  </sheetData>
  <sheetProtection sheet="1" objects="1" scenarios="1"/>
  <phoneticPr fontId="7" type="noConversion"/>
  <conditionalFormatting sqref="C13">
    <cfRule type="cellIs" dxfId="27" priority="6" stopIfTrue="1" operator="greaterThan">
      <formula>$C$15*0.1</formula>
    </cfRule>
  </conditionalFormatting>
  <conditionalFormatting sqref="C25">
    <cfRule type="cellIs" dxfId="26" priority="3" stopIfTrue="1" operator="greaterThan">
      <formula>$C$27*0.1</formula>
    </cfRule>
  </conditionalFormatting>
  <conditionalFormatting sqref="C42">
    <cfRule type="cellIs" dxfId="25" priority="9" stopIfTrue="1" operator="greaterThan">
      <formula>$C$44*0.1</formula>
    </cfRule>
  </conditionalFormatting>
  <conditionalFormatting sqref="C55">
    <cfRule type="cellIs" dxfId="24" priority="12" stopIfTrue="1" operator="greaterThan">
      <formula>$C$57*0.1</formula>
    </cfRule>
  </conditionalFormatting>
  <conditionalFormatting sqref="D13">
    <cfRule type="cellIs" dxfId="23" priority="7" stopIfTrue="1" operator="greaterThan">
      <formula>$D$15*0.1</formula>
    </cfRule>
  </conditionalFormatting>
  <conditionalFormatting sqref="D25">
    <cfRule type="cellIs" dxfId="22" priority="4" stopIfTrue="1" operator="greaterThan">
      <formula>$D$27*0.1</formula>
    </cfRule>
  </conditionalFormatting>
  <conditionalFormatting sqref="D42">
    <cfRule type="cellIs" dxfId="21" priority="10" stopIfTrue="1" operator="greaterThan">
      <formula>$D$44*0.1</formula>
    </cfRule>
  </conditionalFormatting>
  <conditionalFormatting sqref="D55">
    <cfRule type="cellIs" dxfId="20" priority="13" stopIfTrue="1" operator="greaterThan">
      <formula>$D$57*0.1</formula>
    </cfRule>
  </conditionalFormatting>
  <conditionalFormatting sqref="E13">
    <cfRule type="cellIs" dxfId="19" priority="8" stopIfTrue="1" operator="greaterThan">
      <formula>$E$15*0.1</formula>
    </cfRule>
  </conditionalFormatting>
  <conditionalFormatting sqref="E25">
    <cfRule type="cellIs" dxfId="18" priority="5" stopIfTrue="1" operator="greaterThan">
      <formula>$E$27*0.1</formula>
    </cfRule>
  </conditionalFormatting>
  <conditionalFormatting sqref="E42">
    <cfRule type="cellIs" dxfId="17" priority="11" stopIfTrue="1" operator="greaterThan">
      <formula>$E$44*0.1</formula>
    </cfRule>
  </conditionalFormatting>
  <conditionalFormatting sqref="E55">
    <cfRule type="cellIs" dxfId="16" priority="14" stopIfTrue="1" operator="greaterThan">
      <formula>$E$57*0.1</formula>
    </cfRule>
  </conditionalFormatting>
  <pageMargins left="0.75" right="0.75" top="1" bottom="1" header="0.5" footer="0.5"/>
  <pageSetup scale="63" orientation="portrait" blackAndWhite="1" r:id="rId1"/>
  <headerFooter alignWithMargins="0">
    <oddHeader>&amp;RState of Kansas
County</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1">
    <tabColor rgb="FF00B0F0"/>
    <pageSetUpPr fitToPage="1"/>
  </sheetPr>
  <dimension ref="B1:E65"/>
  <sheetViews>
    <sheetView workbookViewId="0">
      <selection activeCell="B15" sqref="B15"/>
    </sheetView>
  </sheetViews>
  <sheetFormatPr defaultRowHeight="15.75" x14ac:dyDescent="0.2"/>
  <cols>
    <col min="1" max="1" width="2.44140625" style="23" customWidth="1"/>
    <col min="2" max="2" width="31.109375" style="23" customWidth="1"/>
    <col min="3" max="4" width="15.77734375" style="23" customWidth="1"/>
    <col min="5" max="5" width="16.109375" style="23" customWidth="1"/>
    <col min="6" max="16384" width="8.88671875" style="23"/>
  </cols>
  <sheetData>
    <row r="1" spans="2:5" x14ac:dyDescent="0.2">
      <c r="B1" s="57">
        <f>(inputPrYr!C3)</f>
        <v>0</v>
      </c>
      <c r="C1" s="26"/>
      <c r="D1" s="26"/>
      <c r="E1" s="125">
        <f>inputPrYr!C5</f>
        <v>2025</v>
      </c>
    </row>
    <row r="2" spans="2:5" x14ac:dyDescent="0.2">
      <c r="B2" s="26"/>
      <c r="C2" s="26"/>
      <c r="D2" s="26"/>
      <c r="E2" s="90"/>
    </row>
    <row r="3" spans="2:5" x14ac:dyDescent="0.2">
      <c r="B3" s="64" t="s">
        <v>186</v>
      </c>
      <c r="C3" s="161"/>
      <c r="D3" s="161"/>
      <c r="E3" s="162"/>
    </row>
    <row r="4" spans="2:5" x14ac:dyDescent="0.2">
      <c r="B4" s="26"/>
      <c r="C4" s="155"/>
      <c r="D4" s="155"/>
      <c r="E4" s="155"/>
    </row>
    <row r="5" spans="2:5" x14ac:dyDescent="0.2">
      <c r="B5" s="25" t="s">
        <v>80</v>
      </c>
      <c r="C5" s="153" t="str">
        <f>General!C4</f>
        <v xml:space="preserve">Prior Year </v>
      </c>
      <c r="D5" s="80" t="str">
        <f>General!D4</f>
        <v xml:space="preserve">Current Year </v>
      </c>
      <c r="E5" s="80" t="str">
        <f>General!E4</f>
        <v xml:space="preserve">Proposed Budget </v>
      </c>
    </row>
    <row r="6" spans="2:5" x14ac:dyDescent="0.2">
      <c r="B6" s="248">
        <f>inputPrYr!B58</f>
        <v>0</v>
      </c>
      <c r="C6" s="104" t="str">
        <f>General!C5</f>
        <v>Actual for 2023</v>
      </c>
      <c r="D6" s="104" t="str">
        <f>General!D5</f>
        <v>Estimate for 2024</v>
      </c>
      <c r="E6" s="136" t="str">
        <f>General!E5</f>
        <v>Year for 2025</v>
      </c>
    </row>
    <row r="7" spans="2:5" x14ac:dyDescent="0.2">
      <c r="B7" s="60" t="s">
        <v>195</v>
      </c>
      <c r="C7" s="42"/>
      <c r="D7" s="106">
        <f>C28</f>
        <v>0</v>
      </c>
      <c r="E7" s="106">
        <f>D28</f>
        <v>0</v>
      </c>
    </row>
    <row r="8" spans="2:5" x14ac:dyDescent="0.2">
      <c r="B8" s="164" t="s">
        <v>197</v>
      </c>
      <c r="C8" s="38"/>
      <c r="D8" s="38"/>
      <c r="E8" s="38"/>
    </row>
    <row r="9" spans="2:5" x14ac:dyDescent="0.2">
      <c r="B9" s="150"/>
      <c r="C9" s="42"/>
      <c r="D9" s="42"/>
      <c r="E9" s="42"/>
    </row>
    <row r="10" spans="2:5" x14ac:dyDescent="0.2">
      <c r="B10" s="150"/>
      <c r="C10" s="42"/>
      <c r="D10" s="42"/>
      <c r="E10" s="42"/>
    </row>
    <row r="11" spans="2:5" x14ac:dyDescent="0.2">
      <c r="B11" s="150"/>
      <c r="C11" s="42"/>
      <c r="D11" s="42"/>
      <c r="E11" s="42"/>
    </row>
    <row r="12" spans="2:5" x14ac:dyDescent="0.2">
      <c r="B12" s="142" t="s">
        <v>88</v>
      </c>
      <c r="C12" s="42"/>
      <c r="D12" s="42"/>
      <c r="E12" s="42"/>
    </row>
    <row r="13" spans="2:5" x14ac:dyDescent="0.2">
      <c r="B13" s="143" t="s">
        <v>38</v>
      </c>
      <c r="C13" s="42"/>
      <c r="D13" s="138"/>
      <c r="E13" s="138"/>
    </row>
    <row r="14" spans="2:5" x14ac:dyDescent="0.2">
      <c r="B14" s="143" t="s">
        <v>291</v>
      </c>
      <c r="C14" s="244" t="str">
        <f>IF(C15*0.1&lt;C13,"Exceed 10% Rule","")</f>
        <v/>
      </c>
      <c r="D14" s="144" t="str">
        <f>IF(D15*0.1&lt;D13,"Exceed 10% Rule","")</f>
        <v/>
      </c>
      <c r="E14" s="144" t="str">
        <f>IF(E15*0.1&lt;E13,"Exceed 10% Rule","")</f>
        <v/>
      </c>
    </row>
    <row r="15" spans="2:5" x14ac:dyDescent="0.2">
      <c r="B15" s="145" t="s">
        <v>89</v>
      </c>
      <c r="C15" s="463">
        <f>SUM(C9:C13)</f>
        <v>0</v>
      </c>
      <c r="D15" s="463">
        <f>SUM(D9:D13)</f>
        <v>0</v>
      </c>
      <c r="E15" s="463">
        <f>SUM(E9:E13)</f>
        <v>0</v>
      </c>
    </row>
    <row r="16" spans="2:5" x14ac:dyDescent="0.2">
      <c r="B16" s="145" t="s">
        <v>90</v>
      </c>
      <c r="C16" s="463">
        <f>C15+C7</f>
        <v>0</v>
      </c>
      <c r="D16" s="463">
        <f>D15+D7</f>
        <v>0</v>
      </c>
      <c r="E16" s="463">
        <f>E15+E7</f>
        <v>0</v>
      </c>
    </row>
    <row r="17" spans="2:5" x14ac:dyDescent="0.2">
      <c r="B17" s="60" t="s">
        <v>93</v>
      </c>
      <c r="C17" s="106"/>
      <c r="D17" s="106"/>
      <c r="E17" s="106"/>
    </row>
    <row r="18" spans="2:5" x14ac:dyDescent="0.2">
      <c r="B18" s="150"/>
      <c r="C18" s="42"/>
      <c r="D18" s="42"/>
      <c r="E18" s="42"/>
    </row>
    <row r="19" spans="2:5" x14ac:dyDescent="0.2">
      <c r="B19" s="150"/>
      <c r="C19" s="42"/>
      <c r="D19" s="42"/>
      <c r="E19" s="42"/>
    </row>
    <row r="20" spans="2:5" x14ac:dyDescent="0.2">
      <c r="B20" s="150"/>
      <c r="C20" s="42"/>
      <c r="D20" s="42"/>
      <c r="E20" s="42"/>
    </row>
    <row r="21" spans="2:5" x14ac:dyDescent="0.2">
      <c r="B21" s="150"/>
      <c r="C21" s="42"/>
      <c r="D21" s="42"/>
      <c r="E21" s="42"/>
    </row>
    <row r="22" spans="2:5" x14ac:dyDescent="0.2">
      <c r="B22" s="150"/>
      <c r="C22" s="42"/>
      <c r="D22" s="42"/>
      <c r="E22" s="42"/>
    </row>
    <row r="23" spans="2:5" x14ac:dyDescent="0.2">
      <c r="B23" s="150"/>
      <c r="C23" s="42"/>
      <c r="D23" s="42"/>
      <c r="E23" s="42"/>
    </row>
    <row r="24" spans="2:5" x14ac:dyDescent="0.2">
      <c r="B24" s="143" t="str">
        <f>CONCATENATE("Cash Reserve (",E1," column)")</f>
        <v>Cash Reserve (2025 column)</v>
      </c>
      <c r="C24" s="42"/>
      <c r="D24" s="42"/>
      <c r="E24" s="42"/>
    </row>
    <row r="25" spans="2:5" x14ac:dyDescent="0.2">
      <c r="B25" s="143" t="s">
        <v>38</v>
      </c>
      <c r="C25" s="42"/>
      <c r="D25" s="138"/>
      <c r="E25" s="138"/>
    </row>
    <row r="26" spans="2:5" x14ac:dyDescent="0.2">
      <c r="B26" s="143" t="s">
        <v>290</v>
      </c>
      <c r="C26" s="244" t="str">
        <f>IF(C27*0.1&lt;C25,"Exceed 10% Rule","")</f>
        <v/>
      </c>
      <c r="D26" s="144" t="str">
        <f>IF(D27*0.1&lt;D25,"Exceed 10% Rule","")</f>
        <v/>
      </c>
      <c r="E26" s="144" t="str">
        <f>IF(E27*0.1&lt;E25,"Exceed 10% Rule","")</f>
        <v/>
      </c>
    </row>
    <row r="27" spans="2:5" x14ac:dyDescent="0.2">
      <c r="B27" s="145" t="s">
        <v>94</v>
      </c>
      <c r="C27" s="463">
        <f>SUM(C18:C25)</f>
        <v>0</v>
      </c>
      <c r="D27" s="463">
        <f>SUM(D18:D25)</f>
        <v>0</v>
      </c>
      <c r="E27" s="463">
        <f>SUM(E18:E25)</f>
        <v>0</v>
      </c>
    </row>
    <row r="28" spans="2:5" x14ac:dyDescent="0.2">
      <c r="B28" s="60" t="s">
        <v>196</v>
      </c>
      <c r="C28" s="106">
        <f>C16-C27</f>
        <v>0</v>
      </c>
      <c r="D28" s="106">
        <f>D16-D27</f>
        <v>0</v>
      </c>
      <c r="E28" s="106">
        <f>E16-E27</f>
        <v>0</v>
      </c>
    </row>
    <row r="29" spans="2:5" x14ac:dyDescent="0.2">
      <c r="B29" s="135" t="str">
        <f>CONCATENATE("",E1-2,"/",E1-1,"/",E1," Budget Authority Amount:")</f>
        <v>2023/2024/2025 Budget Authority Amount:</v>
      </c>
      <c r="C29" s="167">
        <f>inputOth!B72</f>
        <v>0</v>
      </c>
      <c r="D29" s="167">
        <f>inputPrYr!D58</f>
        <v>0</v>
      </c>
      <c r="E29" s="344">
        <f>E27</f>
        <v>0</v>
      </c>
    </row>
    <row r="30" spans="2:5" x14ac:dyDescent="0.2">
      <c r="B30" s="125"/>
      <c r="C30" s="152" t="str">
        <f>IF(C27&gt;C29,"See Tab A","")</f>
        <v/>
      </c>
      <c r="D30" s="152" t="str">
        <f>IF(D27&gt;D29,"See Tab C","")</f>
        <v/>
      </c>
      <c r="E30" s="345" t="str">
        <f>IF(E28&lt;0,"See Tab E","")</f>
        <v/>
      </c>
    </row>
    <row r="31" spans="2:5" x14ac:dyDescent="0.2">
      <c r="B31" s="125"/>
      <c r="C31" s="152" t="str">
        <f>IF(C28&lt;0,"See Tab B","")</f>
        <v/>
      </c>
      <c r="D31" s="152" t="str">
        <f>IF(D28&lt;0,"See Tab D","")</f>
        <v/>
      </c>
      <c r="E31" s="49"/>
    </row>
    <row r="32" spans="2:5" x14ac:dyDescent="0.2">
      <c r="B32" s="26"/>
      <c r="C32" s="49"/>
      <c r="D32" s="49"/>
      <c r="E32" s="49"/>
    </row>
    <row r="33" spans="2:5" x14ac:dyDescent="0.2">
      <c r="B33" s="25" t="s">
        <v>80</v>
      </c>
      <c r="C33" s="155"/>
      <c r="D33" s="155"/>
      <c r="E33" s="155"/>
    </row>
    <row r="34" spans="2:5" x14ac:dyDescent="0.2">
      <c r="B34" s="26"/>
      <c r="C34" s="153" t="str">
        <f t="shared" ref="C34:E35" si="0">C5</f>
        <v xml:space="preserve">Prior Year </v>
      </c>
      <c r="D34" s="80" t="str">
        <f t="shared" si="0"/>
        <v xml:space="preserve">Current Year </v>
      </c>
      <c r="E34" s="80" t="str">
        <f t="shared" si="0"/>
        <v xml:space="preserve">Proposed Budget </v>
      </c>
    </row>
    <row r="35" spans="2:5" x14ac:dyDescent="0.2">
      <c r="B35" s="247">
        <f>inputPrYr!B59</f>
        <v>0</v>
      </c>
      <c r="C35" s="104" t="str">
        <f t="shared" si="0"/>
        <v>Actual for 2023</v>
      </c>
      <c r="D35" s="104" t="str">
        <f t="shared" si="0"/>
        <v>Estimate for 2024</v>
      </c>
      <c r="E35" s="136" t="str">
        <f t="shared" si="0"/>
        <v>Year for 2025</v>
      </c>
    </row>
    <row r="36" spans="2:5" x14ac:dyDescent="0.2">
      <c r="B36" s="60" t="s">
        <v>195</v>
      </c>
      <c r="C36" s="42"/>
      <c r="D36" s="106">
        <f>C58</f>
        <v>0</v>
      </c>
      <c r="E36" s="106">
        <f>D58</f>
        <v>0</v>
      </c>
    </row>
    <row r="37" spans="2:5" x14ac:dyDescent="0.2">
      <c r="B37" s="60" t="s">
        <v>197</v>
      </c>
      <c r="C37" s="38"/>
      <c r="D37" s="38"/>
      <c r="E37" s="38"/>
    </row>
    <row r="38" spans="2:5" x14ac:dyDescent="0.2">
      <c r="B38" s="150"/>
      <c r="C38" s="42"/>
      <c r="D38" s="42"/>
      <c r="E38" s="42"/>
    </row>
    <row r="39" spans="2:5" x14ac:dyDescent="0.2">
      <c r="B39" s="150"/>
      <c r="C39" s="42"/>
      <c r="D39" s="42"/>
      <c r="E39" s="42"/>
    </row>
    <row r="40" spans="2:5" x14ac:dyDescent="0.2">
      <c r="B40" s="150"/>
      <c r="C40" s="42"/>
      <c r="D40" s="42"/>
      <c r="E40" s="42"/>
    </row>
    <row r="41" spans="2:5" x14ac:dyDescent="0.2">
      <c r="B41" s="142" t="s">
        <v>88</v>
      </c>
      <c r="C41" s="42"/>
      <c r="D41" s="42"/>
      <c r="E41" s="42"/>
    </row>
    <row r="42" spans="2:5" x14ac:dyDescent="0.2">
      <c r="B42" s="143" t="s">
        <v>38</v>
      </c>
      <c r="C42" s="42"/>
      <c r="D42" s="138"/>
      <c r="E42" s="138"/>
    </row>
    <row r="43" spans="2:5" x14ac:dyDescent="0.2">
      <c r="B43" s="143" t="s">
        <v>291</v>
      </c>
      <c r="C43" s="244" t="str">
        <f>IF(C44*0.1&lt;C42,"Exceed 10% Rule","")</f>
        <v/>
      </c>
      <c r="D43" s="144" t="str">
        <f>IF(D44*0.1&lt;D42,"Exceed 10% Rule","")</f>
        <v/>
      </c>
      <c r="E43" s="144" t="str">
        <f>IF(E44*0.1&lt;E42,"Exceed 10% Rule","")</f>
        <v/>
      </c>
    </row>
    <row r="44" spans="2:5" x14ac:dyDescent="0.2">
      <c r="B44" s="145" t="s">
        <v>89</v>
      </c>
      <c r="C44" s="463">
        <f>SUM(C38:C42)</f>
        <v>0</v>
      </c>
      <c r="D44" s="463">
        <f>SUM(D38:D42)</f>
        <v>0</v>
      </c>
      <c r="E44" s="463">
        <f>SUM(E38:E42)</f>
        <v>0</v>
      </c>
    </row>
    <row r="45" spans="2:5" x14ac:dyDescent="0.2">
      <c r="B45" s="145" t="s">
        <v>90</v>
      </c>
      <c r="C45" s="463">
        <f>C36+C44</f>
        <v>0</v>
      </c>
      <c r="D45" s="463">
        <f>D36+D44</f>
        <v>0</v>
      </c>
      <c r="E45" s="463">
        <f>E36+E44</f>
        <v>0</v>
      </c>
    </row>
    <row r="46" spans="2:5" x14ac:dyDescent="0.2">
      <c r="B46" s="60" t="s">
        <v>93</v>
      </c>
      <c r="C46" s="106"/>
      <c r="D46" s="106"/>
      <c r="E46" s="106"/>
    </row>
    <row r="47" spans="2:5" x14ac:dyDescent="0.2">
      <c r="B47" s="150"/>
      <c r="C47" s="42"/>
      <c r="D47" s="42"/>
      <c r="E47" s="42"/>
    </row>
    <row r="48" spans="2:5" x14ac:dyDescent="0.2">
      <c r="B48" s="150"/>
      <c r="C48" s="42"/>
      <c r="D48" s="42"/>
      <c r="E48" s="42"/>
    </row>
    <row r="49" spans="2:5" x14ac:dyDescent="0.2">
      <c r="B49" s="150"/>
      <c r="C49" s="42"/>
      <c r="D49" s="42"/>
      <c r="E49" s="42"/>
    </row>
    <row r="50" spans="2:5" x14ac:dyDescent="0.2">
      <c r="B50" s="150"/>
      <c r="C50" s="42"/>
      <c r="D50" s="42"/>
      <c r="E50" s="42"/>
    </row>
    <row r="51" spans="2:5" x14ac:dyDescent="0.2">
      <c r="B51" s="150"/>
      <c r="C51" s="42"/>
      <c r="D51" s="42"/>
      <c r="E51" s="42"/>
    </row>
    <row r="52" spans="2:5" x14ac:dyDescent="0.2">
      <c r="B52" s="150"/>
      <c r="C52" s="42"/>
      <c r="D52" s="42"/>
      <c r="E52" s="42"/>
    </row>
    <row r="53" spans="2:5" x14ac:dyDescent="0.2">
      <c r="B53" s="150"/>
      <c r="C53" s="42"/>
      <c r="D53" s="42"/>
      <c r="E53" s="42"/>
    </row>
    <row r="54" spans="2:5" x14ac:dyDescent="0.2">
      <c r="B54" s="143" t="str">
        <f>CONCATENATE("Cash Reserve (",E1," column)")</f>
        <v>Cash Reserve (2025 column)</v>
      </c>
      <c r="C54" s="42"/>
      <c r="D54" s="42"/>
      <c r="E54" s="42"/>
    </row>
    <row r="55" spans="2:5" x14ac:dyDescent="0.2">
      <c r="B55" s="143" t="s">
        <v>38</v>
      </c>
      <c r="C55" s="42"/>
      <c r="D55" s="138"/>
      <c r="E55" s="138"/>
    </row>
    <row r="56" spans="2:5" x14ac:dyDescent="0.2">
      <c r="B56" s="143" t="s">
        <v>290</v>
      </c>
      <c r="C56" s="244" t="str">
        <f>IF(C57*0.1&lt;C55,"Exceed 10% Rule","")</f>
        <v/>
      </c>
      <c r="D56" s="144" t="str">
        <f>IF(D57*0.1&lt;D55,"Exceed 10% Rule","")</f>
        <v/>
      </c>
      <c r="E56" s="144" t="str">
        <f>IF(E57*0.1&lt;E55,"Exceed 10% Rule","")</f>
        <v/>
      </c>
    </row>
    <row r="57" spans="2:5" x14ac:dyDescent="0.2">
      <c r="B57" s="145" t="s">
        <v>94</v>
      </c>
      <c r="C57" s="463">
        <f>SUM(C47:C55)</f>
        <v>0</v>
      </c>
      <c r="D57" s="463">
        <f>SUM(D47:D55)</f>
        <v>0</v>
      </c>
      <c r="E57" s="463">
        <f>SUM(E47:E55)</f>
        <v>0</v>
      </c>
    </row>
    <row r="58" spans="2:5" x14ac:dyDescent="0.2">
      <c r="B58" s="60" t="s">
        <v>196</v>
      </c>
      <c r="C58" s="106">
        <f>C45-C57</f>
        <v>0</v>
      </c>
      <c r="D58" s="106">
        <f>D45-D57</f>
        <v>0</v>
      </c>
      <c r="E58" s="106">
        <f>E45-E57</f>
        <v>0</v>
      </c>
    </row>
    <row r="59" spans="2:5" x14ac:dyDescent="0.2">
      <c r="B59" s="135" t="str">
        <f>CONCATENATE("",E1-2,"/",E1-1,"/",E1," Budget Authority Amount:")</f>
        <v>2023/2024/2025 Budget Authority Amount:</v>
      </c>
      <c r="C59" s="167">
        <f>inputOth!B73</f>
        <v>0</v>
      </c>
      <c r="D59" s="167">
        <f>inputPrYr!D59</f>
        <v>0</v>
      </c>
      <c r="E59" s="344">
        <f>E57</f>
        <v>0</v>
      </c>
    </row>
    <row r="60" spans="2:5" x14ac:dyDescent="0.2">
      <c r="B60" s="125"/>
      <c r="C60" s="152" t="str">
        <f>IF(C57&gt;C59,"See Tab A","")</f>
        <v/>
      </c>
      <c r="D60" s="152" t="str">
        <f>IF(D57&gt;D59,"See Tab C","")</f>
        <v/>
      </c>
      <c r="E60" s="346" t="str">
        <f>IF(E58&lt;0,"See Tab E","")</f>
        <v/>
      </c>
    </row>
    <row r="61" spans="2:5" x14ac:dyDescent="0.2">
      <c r="B61" s="425" t="s">
        <v>354</v>
      </c>
      <c r="C61" s="346"/>
      <c r="D61" s="346"/>
      <c r="E61" s="415"/>
    </row>
    <row r="62" spans="2:5" x14ac:dyDescent="0.2">
      <c r="B62" s="416"/>
      <c r="C62" s="152"/>
      <c r="D62" s="152"/>
      <c r="E62" s="417"/>
    </row>
    <row r="63" spans="2:5" x14ac:dyDescent="0.2">
      <c r="B63" s="418"/>
      <c r="C63" s="419" t="str">
        <f>IF(C58&lt;0,"See Tab B","")</f>
        <v/>
      </c>
      <c r="D63" s="419" t="str">
        <f>IF(D58&lt;0,"See Tab D","")</f>
        <v/>
      </c>
      <c r="E63" s="47"/>
    </row>
    <row r="64" spans="2:5" x14ac:dyDescent="0.2">
      <c r="B64" s="26"/>
      <c r="C64" s="26"/>
      <c r="D64" s="26"/>
      <c r="E64" s="26"/>
    </row>
    <row r="65" spans="2:5" x14ac:dyDescent="0.2">
      <c r="B65" s="125" t="s">
        <v>146</v>
      </c>
      <c r="C65" s="368"/>
      <c r="D65" s="26"/>
      <c r="E65" s="26"/>
    </row>
  </sheetData>
  <sheetProtection sheet="1" objects="1" scenarios="1"/>
  <phoneticPr fontId="7" type="noConversion"/>
  <conditionalFormatting sqref="C13">
    <cfRule type="cellIs" dxfId="15" priority="7" stopIfTrue="1" operator="greaterThan">
      <formula>$C$15*0.1</formula>
    </cfRule>
  </conditionalFormatting>
  <conditionalFormatting sqref="C25">
    <cfRule type="cellIs" dxfId="14" priority="4" stopIfTrue="1" operator="greaterThan">
      <formula>$C$27*0.1</formula>
    </cfRule>
  </conditionalFormatting>
  <conditionalFormatting sqref="C42">
    <cfRule type="cellIs" dxfId="13" priority="10" stopIfTrue="1" operator="greaterThan">
      <formula>$C$44*0.1</formula>
    </cfRule>
  </conditionalFormatting>
  <conditionalFormatting sqref="C55">
    <cfRule type="cellIs" dxfId="12" priority="13" stopIfTrue="1" operator="greaterThan">
      <formula>$C$57*0.1</formula>
    </cfRule>
  </conditionalFormatting>
  <conditionalFormatting sqref="D13">
    <cfRule type="cellIs" dxfId="11" priority="8" stopIfTrue="1" operator="greaterThan">
      <formula>$D$15*0.1</formula>
    </cfRule>
  </conditionalFormatting>
  <conditionalFormatting sqref="D25">
    <cfRule type="cellIs" dxfId="10" priority="5" stopIfTrue="1" operator="greaterThan">
      <formula>$D$27*0.1</formula>
    </cfRule>
  </conditionalFormatting>
  <conditionalFormatting sqref="D42">
    <cfRule type="cellIs" dxfId="9" priority="11" stopIfTrue="1" operator="greaterThan">
      <formula>$D$44*0.1</formula>
    </cfRule>
  </conditionalFormatting>
  <conditionalFormatting sqref="D55">
    <cfRule type="cellIs" dxfId="8" priority="14" stopIfTrue="1" operator="greaterThan">
      <formula>$D$57*0.1</formula>
    </cfRule>
  </conditionalFormatting>
  <conditionalFormatting sqref="E13">
    <cfRule type="cellIs" dxfId="7" priority="9" stopIfTrue="1" operator="greaterThan">
      <formula>$E$15*0.1</formula>
    </cfRule>
  </conditionalFormatting>
  <conditionalFormatting sqref="E25">
    <cfRule type="cellIs" dxfId="6" priority="6" stopIfTrue="1" operator="greaterThan">
      <formula>$E$27*0.1</formula>
    </cfRule>
  </conditionalFormatting>
  <conditionalFormatting sqref="E42">
    <cfRule type="cellIs" dxfId="5" priority="12" stopIfTrue="1" operator="greaterThan">
      <formula>$E$44*0.1</formula>
    </cfRule>
  </conditionalFormatting>
  <conditionalFormatting sqref="E55">
    <cfRule type="cellIs" dxfId="4" priority="15" stopIfTrue="1" operator="greaterThan">
      <formula>$E$57*0.1</formula>
    </cfRule>
  </conditionalFormatting>
  <pageMargins left="0.75" right="0.75" top="1" bottom="1" header="0.5" footer="0.5"/>
  <pageSetup scale="63" orientation="portrait" blackAndWhite="1" r:id="rId1"/>
  <headerFooter alignWithMargins="0">
    <oddHeader>&amp;RState of Kansas
County</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9">
    <tabColor rgb="FF00B0F0"/>
    <pageSetUpPr fitToPage="1"/>
  </sheetPr>
  <dimension ref="A1:L45"/>
  <sheetViews>
    <sheetView workbookViewId="0">
      <selection activeCell="B15" sqref="B15"/>
    </sheetView>
  </sheetViews>
  <sheetFormatPr defaultRowHeight="15.75" x14ac:dyDescent="0.2"/>
  <cols>
    <col min="1" max="1" width="11.5546875" style="23" customWidth="1"/>
    <col min="2" max="2" width="7.44140625" style="23" customWidth="1"/>
    <col min="3" max="3" width="11.5546875" style="23" customWidth="1"/>
    <col min="4" max="4" width="7.44140625" style="23" customWidth="1"/>
    <col min="5" max="5" width="11.5546875" style="23" customWidth="1"/>
    <col min="6" max="6" width="7.44140625" style="23" customWidth="1"/>
    <col min="7" max="7" width="11.5546875" style="23" customWidth="1"/>
    <col min="8" max="8" width="7.44140625" style="23" customWidth="1"/>
    <col min="9" max="9" width="11.5546875" style="23" customWidth="1"/>
    <col min="10" max="16384" width="8.88671875" style="23"/>
  </cols>
  <sheetData>
    <row r="1" spans="1:11" x14ac:dyDescent="0.2">
      <c r="A1" s="57">
        <f>inputPrYr!$C$3</f>
        <v>0</v>
      </c>
      <c r="B1" s="31"/>
      <c r="C1" s="26"/>
      <c r="D1" s="26"/>
      <c r="E1" s="26"/>
      <c r="F1" s="89" t="s">
        <v>11</v>
      </c>
      <c r="G1" s="26"/>
      <c r="H1" s="26"/>
      <c r="I1" s="26"/>
      <c r="J1" s="26"/>
      <c r="K1" s="26">
        <f>inputPrYr!$C$5</f>
        <v>2025</v>
      </c>
    </row>
    <row r="2" spans="1:11" x14ac:dyDescent="0.2">
      <c r="A2" s="26"/>
      <c r="B2" s="26"/>
      <c r="C2" s="26"/>
      <c r="D2" s="26"/>
      <c r="E2" s="26"/>
      <c r="F2" s="176" t="str">
        <f>CONCATENATE("(Only the actual budget year for ",K1-2," is reported)")</f>
        <v>(Only the actual budget year for 2023 is reported)</v>
      </c>
      <c r="G2" s="26"/>
      <c r="H2" s="26"/>
      <c r="I2" s="26"/>
      <c r="J2" s="26"/>
      <c r="K2" s="26"/>
    </row>
    <row r="3" spans="1:11" x14ac:dyDescent="0.2">
      <c r="A3" s="26" t="s">
        <v>12</v>
      </c>
      <c r="B3" s="26"/>
      <c r="C3" s="26"/>
      <c r="D3" s="26"/>
      <c r="E3" s="26"/>
      <c r="F3" s="31"/>
      <c r="G3" s="26"/>
      <c r="H3" s="26"/>
      <c r="I3" s="26"/>
      <c r="J3" s="26"/>
      <c r="K3" s="26"/>
    </row>
    <row r="4" spans="1:11" x14ac:dyDescent="0.2">
      <c r="A4" s="26" t="s">
        <v>13</v>
      </c>
      <c r="B4" s="26"/>
      <c r="C4" s="26" t="s">
        <v>14</v>
      </c>
      <c r="D4" s="26"/>
      <c r="E4" s="26" t="s">
        <v>15</v>
      </c>
      <c r="F4" s="31"/>
      <c r="G4" s="26" t="s">
        <v>16</v>
      </c>
      <c r="H4" s="26"/>
      <c r="I4" s="26" t="s">
        <v>17</v>
      </c>
      <c r="J4" s="26"/>
      <c r="K4" s="26"/>
    </row>
    <row r="5" spans="1:11" x14ac:dyDescent="0.2">
      <c r="A5" s="670" t="str">
        <f>IF(inputPrYr!B63&gt;" ",(inputPrYr!B63)," ")</f>
        <v xml:space="preserve"> </v>
      </c>
      <c r="B5" s="671"/>
      <c r="C5" s="670" t="str">
        <f>IF(inputPrYr!B64&gt;" ",(inputPrYr!B64)," ")</f>
        <v xml:space="preserve"> </v>
      </c>
      <c r="D5" s="671"/>
      <c r="E5" s="670" t="str">
        <f>IF(inputPrYr!B65&gt;" ",(inputPrYr!B65)," ")</f>
        <v xml:space="preserve"> </v>
      </c>
      <c r="F5" s="671"/>
      <c r="G5" s="670" t="str">
        <f>IF(inputPrYr!B66&gt;" ",(inputPrYr!B66)," ")</f>
        <v xml:space="preserve"> </v>
      </c>
      <c r="H5" s="671"/>
      <c r="I5" s="670" t="str">
        <f>IF(inputPrYr!B67&gt;" ",(inputPrYr!B67)," ")</f>
        <v xml:space="preserve"> </v>
      </c>
      <c r="J5" s="671"/>
      <c r="K5" s="44"/>
    </row>
    <row r="6" spans="1:11" x14ac:dyDescent="0.2">
      <c r="A6" s="178" t="s">
        <v>18</v>
      </c>
      <c r="B6" s="179"/>
      <c r="C6" s="180" t="s">
        <v>18</v>
      </c>
      <c r="D6" s="181"/>
      <c r="E6" s="180" t="s">
        <v>18</v>
      </c>
      <c r="F6" s="177"/>
      <c r="G6" s="180" t="s">
        <v>18</v>
      </c>
      <c r="H6" s="45"/>
      <c r="I6" s="180" t="s">
        <v>18</v>
      </c>
      <c r="J6" s="26"/>
      <c r="K6" s="96" t="s">
        <v>54</v>
      </c>
    </row>
    <row r="7" spans="1:11" x14ac:dyDescent="0.2">
      <c r="A7" s="182" t="s">
        <v>42</v>
      </c>
      <c r="B7" s="183"/>
      <c r="C7" s="184" t="s">
        <v>42</v>
      </c>
      <c r="D7" s="183"/>
      <c r="E7" s="184" t="s">
        <v>42</v>
      </c>
      <c r="F7" s="183"/>
      <c r="G7" s="184" t="s">
        <v>42</v>
      </c>
      <c r="H7" s="183"/>
      <c r="I7" s="184" t="s">
        <v>42</v>
      </c>
      <c r="J7" s="183"/>
      <c r="K7" s="185">
        <f>SUM(B7+D7+F7+H7+J7)</f>
        <v>0</v>
      </c>
    </row>
    <row r="8" spans="1:11" x14ac:dyDescent="0.2">
      <c r="A8" s="186" t="s">
        <v>197</v>
      </c>
      <c r="B8" s="187"/>
      <c r="C8" s="186" t="s">
        <v>197</v>
      </c>
      <c r="D8" s="188"/>
      <c r="E8" s="186" t="s">
        <v>197</v>
      </c>
      <c r="F8" s="31"/>
      <c r="G8" s="186" t="s">
        <v>197</v>
      </c>
      <c r="H8" s="26"/>
      <c r="I8" s="186" t="s">
        <v>197</v>
      </c>
      <c r="J8" s="26"/>
      <c r="K8" s="31"/>
    </row>
    <row r="9" spans="1:11" x14ac:dyDescent="0.2">
      <c r="A9" s="189"/>
      <c r="B9" s="183"/>
      <c r="C9" s="189"/>
      <c r="D9" s="183"/>
      <c r="E9" s="189"/>
      <c r="F9" s="183"/>
      <c r="G9" s="189"/>
      <c r="H9" s="183"/>
      <c r="I9" s="189"/>
      <c r="J9" s="183"/>
      <c r="K9" s="31"/>
    </row>
    <row r="10" spans="1:11" x14ac:dyDescent="0.2">
      <c r="A10" s="189"/>
      <c r="B10" s="183"/>
      <c r="C10" s="189"/>
      <c r="D10" s="183"/>
      <c r="E10" s="189"/>
      <c r="F10" s="183"/>
      <c r="G10" s="189"/>
      <c r="H10" s="183"/>
      <c r="I10" s="189"/>
      <c r="J10" s="183"/>
      <c r="K10" s="31"/>
    </row>
    <row r="11" spans="1:11" x14ac:dyDescent="0.2">
      <c r="A11" s="189"/>
      <c r="B11" s="183"/>
      <c r="C11" s="190"/>
      <c r="D11" s="183"/>
      <c r="E11" s="190"/>
      <c r="F11" s="183"/>
      <c r="G11" s="190"/>
      <c r="H11" s="183"/>
      <c r="I11" s="191"/>
      <c r="J11" s="183"/>
      <c r="K11" s="31"/>
    </row>
    <row r="12" spans="1:11" x14ac:dyDescent="0.2">
      <c r="A12" s="189"/>
      <c r="B12" s="183"/>
      <c r="C12" s="189"/>
      <c r="D12" s="183"/>
      <c r="E12" s="192"/>
      <c r="F12" s="183"/>
      <c r="G12" s="192"/>
      <c r="H12" s="183"/>
      <c r="I12" s="192"/>
      <c r="J12" s="183"/>
      <c r="K12" s="31"/>
    </row>
    <row r="13" spans="1:11" x14ac:dyDescent="0.2">
      <c r="A13" s="193"/>
      <c r="B13" s="183"/>
      <c r="C13" s="194"/>
      <c r="D13" s="183"/>
      <c r="E13" s="194"/>
      <c r="F13" s="183"/>
      <c r="G13" s="194"/>
      <c r="H13" s="183"/>
      <c r="I13" s="191"/>
      <c r="J13" s="183"/>
      <c r="K13" s="31"/>
    </row>
    <row r="14" spans="1:11" x14ac:dyDescent="0.2">
      <c r="A14" s="189"/>
      <c r="B14" s="183"/>
      <c r="C14" s="192"/>
      <c r="D14" s="183"/>
      <c r="E14" s="192"/>
      <c r="F14" s="183"/>
      <c r="G14" s="192"/>
      <c r="H14" s="183"/>
      <c r="I14" s="192"/>
      <c r="J14" s="183"/>
      <c r="K14" s="31"/>
    </row>
    <row r="15" spans="1:11" x14ac:dyDescent="0.2">
      <c r="A15" s="189"/>
      <c r="B15" s="183"/>
      <c r="C15" s="192"/>
      <c r="D15" s="183"/>
      <c r="E15" s="192"/>
      <c r="F15" s="183"/>
      <c r="G15" s="192"/>
      <c r="H15" s="183"/>
      <c r="I15" s="192"/>
      <c r="J15" s="183"/>
      <c r="K15" s="31"/>
    </row>
    <row r="16" spans="1:11" x14ac:dyDescent="0.2">
      <c r="A16" s="189"/>
      <c r="B16" s="183"/>
      <c r="C16" s="189"/>
      <c r="D16" s="183"/>
      <c r="E16" s="189"/>
      <c r="F16" s="183"/>
      <c r="G16" s="192"/>
      <c r="H16" s="183"/>
      <c r="I16" s="189"/>
      <c r="J16" s="183"/>
      <c r="K16" s="31"/>
    </row>
    <row r="17" spans="1:12" x14ac:dyDescent="0.2">
      <c r="A17" s="186" t="s">
        <v>89</v>
      </c>
      <c r="B17" s="195">
        <f>SUM(B9:B16)</f>
        <v>0</v>
      </c>
      <c r="C17" s="186" t="s">
        <v>89</v>
      </c>
      <c r="D17" s="185">
        <f>SUM(D9:D16)</f>
        <v>0</v>
      </c>
      <c r="E17" s="186" t="s">
        <v>89</v>
      </c>
      <c r="F17" s="225">
        <f>SUM(F9:F16)</f>
        <v>0</v>
      </c>
      <c r="G17" s="186" t="s">
        <v>89</v>
      </c>
      <c r="H17" s="185">
        <f>SUM(H9:H16)</f>
        <v>0</v>
      </c>
      <c r="I17" s="186" t="s">
        <v>89</v>
      </c>
      <c r="J17" s="185">
        <f>SUM(J9:J16)</f>
        <v>0</v>
      </c>
      <c r="K17" s="185">
        <f>SUM(B17+D17+F17+H17+J17)</f>
        <v>0</v>
      </c>
    </row>
    <row r="18" spans="1:12" x14ac:dyDescent="0.2">
      <c r="A18" s="186" t="s">
        <v>90</v>
      </c>
      <c r="B18" s="195">
        <f>SUM(B7+B17)</f>
        <v>0</v>
      </c>
      <c r="C18" s="186" t="s">
        <v>90</v>
      </c>
      <c r="D18" s="185">
        <f>SUM(D7+D17)</f>
        <v>0</v>
      </c>
      <c r="E18" s="186" t="s">
        <v>90</v>
      </c>
      <c r="F18" s="185">
        <f>SUM(F7+F17)</f>
        <v>0</v>
      </c>
      <c r="G18" s="186" t="s">
        <v>90</v>
      </c>
      <c r="H18" s="185">
        <f>SUM(H7+H17)</f>
        <v>0</v>
      </c>
      <c r="I18" s="186" t="s">
        <v>90</v>
      </c>
      <c r="J18" s="185">
        <f>SUM(J7+J17)</f>
        <v>0</v>
      </c>
      <c r="K18" s="185">
        <f>SUM(B18+D18+F18+H18+J18)</f>
        <v>0</v>
      </c>
    </row>
    <row r="19" spans="1:12" x14ac:dyDescent="0.2">
      <c r="A19" s="186" t="s">
        <v>93</v>
      </c>
      <c r="B19" s="187"/>
      <c r="C19" s="186" t="s">
        <v>93</v>
      </c>
      <c r="D19" s="188"/>
      <c r="E19" s="186" t="s">
        <v>93</v>
      </c>
      <c r="F19" s="31"/>
      <c r="G19" s="186" t="s">
        <v>93</v>
      </c>
      <c r="H19" s="26"/>
      <c r="I19" s="186" t="s">
        <v>93</v>
      </c>
      <c r="J19" s="26"/>
      <c r="K19" s="31"/>
    </row>
    <row r="20" spans="1:12" x14ac:dyDescent="0.2">
      <c r="A20" s="189"/>
      <c r="B20" s="183"/>
      <c r="C20" s="192"/>
      <c r="D20" s="183"/>
      <c r="E20" s="192"/>
      <c r="F20" s="183"/>
      <c r="G20" s="192"/>
      <c r="H20" s="183"/>
      <c r="I20" s="192"/>
      <c r="J20" s="183"/>
      <c r="K20" s="31"/>
    </row>
    <row r="21" spans="1:12" x14ac:dyDescent="0.2">
      <c r="A21" s="189"/>
      <c r="B21" s="183"/>
      <c r="C21" s="192"/>
      <c r="D21" s="183"/>
      <c r="E21" s="192"/>
      <c r="F21" s="183"/>
      <c r="G21" s="192"/>
      <c r="H21" s="183"/>
      <c r="I21" s="192"/>
      <c r="J21" s="183"/>
      <c r="K21" s="31"/>
    </row>
    <row r="22" spans="1:12" x14ac:dyDescent="0.2">
      <c r="A22" s="189"/>
      <c r="B22" s="183"/>
      <c r="C22" s="194"/>
      <c r="D22" s="183"/>
      <c r="E22" s="194"/>
      <c r="F22" s="183"/>
      <c r="G22" s="194"/>
      <c r="H22" s="183"/>
      <c r="I22" s="191"/>
      <c r="J22" s="183"/>
      <c r="K22" s="31"/>
    </row>
    <row r="23" spans="1:12" x14ac:dyDescent="0.2">
      <c r="A23" s="189"/>
      <c r="B23" s="183"/>
      <c r="C23" s="192"/>
      <c r="D23" s="183"/>
      <c r="E23" s="192"/>
      <c r="F23" s="183"/>
      <c r="G23" s="192"/>
      <c r="H23" s="183"/>
      <c r="I23" s="192"/>
      <c r="J23" s="183"/>
      <c r="K23" s="31"/>
    </row>
    <row r="24" spans="1:12" x14ac:dyDescent="0.2">
      <c r="A24" s="189"/>
      <c r="B24" s="183"/>
      <c r="C24" s="194"/>
      <c r="D24" s="183"/>
      <c r="E24" s="194"/>
      <c r="F24" s="183"/>
      <c r="G24" s="194"/>
      <c r="H24" s="183"/>
      <c r="I24" s="191"/>
      <c r="J24" s="183"/>
      <c r="K24" s="31"/>
    </row>
    <row r="25" spans="1:12" x14ac:dyDescent="0.2">
      <c r="A25" s="189"/>
      <c r="B25" s="183"/>
      <c r="C25" s="192"/>
      <c r="D25" s="183"/>
      <c r="E25" s="192"/>
      <c r="F25" s="183"/>
      <c r="G25" s="192"/>
      <c r="H25" s="183"/>
      <c r="I25" s="192"/>
      <c r="J25" s="183"/>
      <c r="K25" s="31"/>
    </row>
    <row r="26" spans="1:12" x14ac:dyDescent="0.2">
      <c r="A26" s="189"/>
      <c r="B26" s="183"/>
      <c r="C26" s="192"/>
      <c r="D26" s="183"/>
      <c r="E26" s="192"/>
      <c r="F26" s="183"/>
      <c r="G26" s="192"/>
      <c r="H26" s="183"/>
      <c r="I26" s="192"/>
      <c r="J26" s="183"/>
      <c r="K26" s="31"/>
    </row>
    <row r="27" spans="1:12" x14ac:dyDescent="0.2">
      <c r="A27" s="189"/>
      <c r="B27" s="183"/>
      <c r="C27" s="189"/>
      <c r="D27" s="183"/>
      <c r="E27" s="189"/>
      <c r="F27" s="183"/>
      <c r="G27" s="192"/>
      <c r="H27" s="183"/>
      <c r="I27" s="192"/>
      <c r="J27" s="183"/>
      <c r="K27" s="31"/>
    </row>
    <row r="28" spans="1:12" x14ac:dyDescent="0.2">
      <c r="A28" s="186" t="s">
        <v>94</v>
      </c>
      <c r="B28" s="185">
        <f>SUM(B20:B27)</f>
        <v>0</v>
      </c>
      <c r="C28" s="186" t="s">
        <v>94</v>
      </c>
      <c r="D28" s="185">
        <f>SUM(D20:D27)</f>
        <v>0</v>
      </c>
      <c r="E28" s="186" t="s">
        <v>94</v>
      </c>
      <c r="F28" s="225">
        <f>SUM(F20:F27)</f>
        <v>0</v>
      </c>
      <c r="G28" s="186" t="s">
        <v>94</v>
      </c>
      <c r="H28" s="225">
        <f>SUM(H20:H27)</f>
        <v>0</v>
      </c>
      <c r="I28" s="186" t="s">
        <v>94</v>
      </c>
      <c r="J28" s="185">
        <f>SUM(J20:J27)</f>
        <v>0</v>
      </c>
      <c r="K28" s="185">
        <f>SUM(B28+D28+F28+H28+J28)</f>
        <v>0</v>
      </c>
    </row>
    <row r="29" spans="1:12" x14ac:dyDescent="0.2">
      <c r="A29" s="186" t="s">
        <v>19</v>
      </c>
      <c r="B29" s="185">
        <f>B18-B28</f>
        <v>0</v>
      </c>
      <c r="C29" s="186" t="s">
        <v>19</v>
      </c>
      <c r="D29" s="185">
        <f>D18-D28</f>
        <v>0</v>
      </c>
      <c r="E29" s="186" t="s">
        <v>19</v>
      </c>
      <c r="F29" s="185">
        <f>F18-F28</f>
        <v>0</v>
      </c>
      <c r="G29" s="186" t="s">
        <v>19</v>
      </c>
      <c r="H29" s="185">
        <f>H18-H28</f>
        <v>0</v>
      </c>
      <c r="I29" s="186" t="s">
        <v>19</v>
      </c>
      <c r="J29" s="185">
        <f>J18-J28</f>
        <v>0</v>
      </c>
      <c r="K29" s="196">
        <f>SUM(B29+D29+F29+H29+J29)</f>
        <v>0</v>
      </c>
      <c r="L29" s="23" t="s">
        <v>31</v>
      </c>
    </row>
    <row r="30" spans="1:12" x14ac:dyDescent="0.2">
      <c r="A30" s="186"/>
      <c r="B30" s="219" t="str">
        <f>IF(B29&lt;0,"See Tab B","")</f>
        <v/>
      </c>
      <c r="C30" s="186"/>
      <c r="D30" s="219" t="str">
        <f>IF(D29&lt;0,"See Tab B","")</f>
        <v/>
      </c>
      <c r="E30" s="186"/>
      <c r="F30" s="219" t="str">
        <f>IF(F29&lt;0,"See Tab B","")</f>
        <v/>
      </c>
      <c r="G30" s="26"/>
      <c r="H30" s="219" t="str">
        <f>IF(H29&lt;0,"See Tab B","")</f>
        <v/>
      </c>
      <c r="I30" s="26"/>
      <c r="J30" s="219" t="str">
        <f>IF(J29&lt;0,"See Tab B","")</f>
        <v/>
      </c>
      <c r="K30" s="196">
        <f>SUM(K7+K17-K28)</f>
        <v>0</v>
      </c>
      <c r="L30" s="23" t="s">
        <v>31</v>
      </c>
    </row>
    <row r="31" spans="1:12" x14ac:dyDescent="0.2">
      <c r="A31" s="26"/>
      <c r="B31" s="49"/>
      <c r="C31" s="26"/>
      <c r="D31" s="31"/>
      <c r="E31" s="26"/>
      <c r="F31" s="26"/>
      <c r="G31" s="26"/>
      <c r="H31" s="669" t="s">
        <v>32</v>
      </c>
      <c r="I31" s="669"/>
      <c r="J31" s="669"/>
      <c r="K31" s="669"/>
    </row>
    <row r="32" spans="1:12" x14ac:dyDescent="0.2">
      <c r="A32" s="26"/>
      <c r="B32" s="49"/>
      <c r="C32" s="26"/>
      <c r="D32" s="26"/>
      <c r="E32" s="26"/>
      <c r="F32" s="26"/>
      <c r="G32" s="26"/>
      <c r="H32" s="26"/>
      <c r="I32" s="26"/>
      <c r="J32" s="26"/>
      <c r="K32" s="26"/>
    </row>
    <row r="33" spans="1:11" x14ac:dyDescent="0.2">
      <c r="A33" s="423" t="s">
        <v>354</v>
      </c>
      <c r="B33" s="420"/>
      <c r="C33" s="394"/>
      <c r="D33" s="394"/>
      <c r="E33" s="394"/>
      <c r="F33" s="394"/>
      <c r="G33" s="394"/>
      <c r="H33" s="394"/>
      <c r="I33" s="394"/>
      <c r="J33" s="394"/>
      <c r="K33" s="397"/>
    </row>
    <row r="34" spans="1:11" x14ac:dyDescent="0.2">
      <c r="A34" s="126"/>
      <c r="B34" s="49"/>
      <c r="C34" s="26"/>
      <c r="D34" s="26"/>
      <c r="E34" s="26"/>
      <c r="F34" s="26"/>
      <c r="G34" s="26"/>
      <c r="H34" s="26"/>
      <c r="I34" s="26"/>
      <c r="J34" s="26"/>
      <c r="K34" s="312"/>
    </row>
    <row r="35" spans="1:11" x14ac:dyDescent="0.2">
      <c r="A35" s="403"/>
      <c r="B35" s="421"/>
      <c r="C35" s="44"/>
      <c r="D35" s="44"/>
      <c r="E35" s="44"/>
      <c r="F35" s="44"/>
      <c r="G35" s="44"/>
      <c r="H35" s="44"/>
      <c r="I35" s="44"/>
      <c r="J35" s="44"/>
      <c r="K35" s="47"/>
    </row>
    <row r="36" spans="1:11" x14ac:dyDescent="0.2">
      <c r="A36" s="26"/>
      <c r="B36" s="49"/>
      <c r="C36" s="26"/>
      <c r="D36" s="26"/>
      <c r="E36" s="26"/>
      <c r="F36" s="26"/>
      <c r="G36" s="26"/>
      <c r="H36" s="26"/>
      <c r="I36" s="26"/>
      <c r="J36" s="26"/>
      <c r="K36" s="26"/>
    </row>
    <row r="37" spans="1:11" x14ac:dyDescent="0.2">
      <c r="A37" s="26"/>
      <c r="B37" s="49"/>
      <c r="C37" s="26"/>
      <c r="D37" s="26"/>
      <c r="E37" s="125" t="s">
        <v>146</v>
      </c>
      <c r="F37" s="368"/>
      <c r="G37" s="26"/>
      <c r="H37" s="26"/>
      <c r="I37" s="26"/>
      <c r="J37" s="26"/>
      <c r="K37" s="26"/>
    </row>
    <row r="38" spans="1:11" x14ac:dyDescent="0.2">
      <c r="B38" s="197"/>
    </row>
    <row r="39" spans="1:11" x14ac:dyDescent="0.2">
      <c r="B39" s="197"/>
    </row>
    <row r="40" spans="1:11" x14ac:dyDescent="0.2">
      <c r="B40" s="197"/>
    </row>
    <row r="41" spans="1:11" x14ac:dyDescent="0.2">
      <c r="B41" s="197"/>
    </row>
    <row r="42" spans="1:11" x14ac:dyDescent="0.2">
      <c r="B42" s="197"/>
    </row>
    <row r="43" spans="1:11" x14ac:dyDescent="0.2">
      <c r="B43" s="197"/>
    </row>
    <row r="44" spans="1:11" x14ac:dyDescent="0.2">
      <c r="B44" s="197"/>
    </row>
    <row r="45" spans="1:11" x14ac:dyDescent="0.2">
      <c r="B45" s="197"/>
    </row>
  </sheetData>
  <sheetProtection sheet="1" objects="1" scenarios="1"/>
  <mergeCells count="6">
    <mergeCell ref="H31:K31"/>
    <mergeCell ref="I5:J5"/>
    <mergeCell ref="A5:B5"/>
    <mergeCell ref="C5:D5"/>
    <mergeCell ref="E5:F5"/>
    <mergeCell ref="G5:H5"/>
  </mergeCells>
  <phoneticPr fontId="7" type="noConversion"/>
  <pageMargins left="0.75" right="0.75" top="1" bottom="1" header="0.5" footer="0.5"/>
  <pageSetup scale="81" orientation="landscape" blackAndWhite="1" r:id="rId1"/>
  <headerFooter alignWithMargins="0">
    <oddHeader>&amp;RState of Kansas
County</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0">
    <tabColor rgb="FF00B0F0"/>
    <pageSetUpPr fitToPage="1"/>
  </sheetPr>
  <dimension ref="A1:L45"/>
  <sheetViews>
    <sheetView workbookViewId="0">
      <selection activeCell="B15" sqref="B15"/>
    </sheetView>
  </sheetViews>
  <sheetFormatPr defaultRowHeight="15.75" x14ac:dyDescent="0.2"/>
  <cols>
    <col min="1" max="1" width="11.5546875" style="23" customWidth="1"/>
    <col min="2" max="2" width="7.44140625" style="23" customWidth="1"/>
    <col min="3" max="3" width="11.5546875" style="23" customWidth="1"/>
    <col min="4" max="4" width="7.44140625" style="23" customWidth="1"/>
    <col min="5" max="5" width="11.5546875" style="23" customWidth="1"/>
    <col min="6" max="6" width="7.44140625" style="23" customWidth="1"/>
    <col min="7" max="7" width="11.5546875" style="23" customWidth="1"/>
    <col min="8" max="8" width="7.44140625" style="23" customWidth="1"/>
    <col min="9" max="9" width="11.5546875" style="23" customWidth="1"/>
    <col min="10" max="16384" width="8.88671875" style="23"/>
  </cols>
  <sheetData>
    <row r="1" spans="1:11" x14ac:dyDescent="0.2">
      <c r="A1" s="57">
        <f>inputPrYr!$C$3</f>
        <v>0</v>
      </c>
      <c r="B1" s="31"/>
      <c r="C1" s="26"/>
      <c r="D1" s="26"/>
      <c r="E1" s="26"/>
      <c r="F1" s="89" t="s">
        <v>20</v>
      </c>
      <c r="G1" s="26"/>
      <c r="H1" s="26"/>
      <c r="I1" s="26"/>
      <c r="J1" s="26"/>
      <c r="K1" s="26">
        <f>inputPrYr!$C$5</f>
        <v>2025</v>
      </c>
    </row>
    <row r="2" spans="1:11" x14ac:dyDescent="0.2">
      <c r="A2" s="26"/>
      <c r="B2" s="26"/>
      <c r="C2" s="26"/>
      <c r="D2" s="26"/>
      <c r="E2" s="26"/>
      <c r="F2" s="176" t="str">
        <f>CONCATENATE("(Only the actual budget year for ",K1-2," is reported)")</f>
        <v>(Only the actual budget year for 2023 is reported)</v>
      </c>
      <c r="G2" s="26"/>
      <c r="H2" s="26"/>
      <c r="I2" s="26"/>
      <c r="J2" s="26"/>
      <c r="K2" s="26"/>
    </row>
    <row r="3" spans="1:11" x14ac:dyDescent="0.2">
      <c r="A3" s="26" t="s">
        <v>21</v>
      </c>
      <c r="B3" s="26"/>
      <c r="C3" s="26"/>
      <c r="D3" s="26"/>
      <c r="E3" s="26"/>
      <c r="F3" s="31"/>
      <c r="G3" s="26"/>
      <c r="H3" s="26"/>
      <c r="I3" s="26"/>
      <c r="J3" s="26"/>
      <c r="K3" s="26"/>
    </row>
    <row r="4" spans="1:11" x14ac:dyDescent="0.2">
      <c r="A4" s="26" t="s">
        <v>13</v>
      </c>
      <c r="B4" s="26"/>
      <c r="C4" s="26" t="s">
        <v>14</v>
      </c>
      <c r="D4" s="26"/>
      <c r="E4" s="26" t="s">
        <v>15</v>
      </c>
      <c r="F4" s="31"/>
      <c r="G4" s="26" t="s">
        <v>16</v>
      </c>
      <c r="H4" s="26"/>
      <c r="I4" s="26" t="s">
        <v>17</v>
      </c>
      <c r="J4" s="26"/>
      <c r="K4" s="26"/>
    </row>
    <row r="5" spans="1:11" x14ac:dyDescent="0.2">
      <c r="A5" s="670" t="str">
        <f>IF(inputPrYr!B69&gt;" ",(inputPrYr!B69)," ")</f>
        <v xml:space="preserve"> </v>
      </c>
      <c r="B5" s="671"/>
      <c r="C5" s="670" t="str">
        <f>IF(inputPrYr!B70&gt;" ",(inputPrYr!B70)," ")</f>
        <v xml:space="preserve"> </v>
      </c>
      <c r="D5" s="671"/>
      <c r="E5" s="670" t="str">
        <f>IF(inputPrYr!B71&gt;" ",(inputPrYr!B71)," ")</f>
        <v xml:space="preserve"> </v>
      </c>
      <c r="F5" s="671"/>
      <c r="G5" s="670" t="str">
        <f>IF(inputPrYr!B72&gt;" ",(inputPrYr!B72)," ")</f>
        <v xml:space="preserve"> </v>
      </c>
      <c r="H5" s="671"/>
      <c r="I5" s="670" t="str">
        <f>IF(inputPrYr!B73&gt;" ",(inputPrYr!B73)," ")</f>
        <v xml:space="preserve"> </v>
      </c>
      <c r="J5" s="671"/>
      <c r="K5" s="44"/>
    </row>
    <row r="6" spans="1:11" x14ac:dyDescent="0.2">
      <c r="A6" s="178" t="s">
        <v>18</v>
      </c>
      <c r="B6" s="179"/>
      <c r="C6" s="180" t="s">
        <v>18</v>
      </c>
      <c r="D6" s="181"/>
      <c r="E6" s="180" t="s">
        <v>18</v>
      </c>
      <c r="F6" s="177"/>
      <c r="G6" s="180" t="s">
        <v>18</v>
      </c>
      <c r="H6" s="45"/>
      <c r="I6" s="180" t="s">
        <v>18</v>
      </c>
      <c r="J6" s="26"/>
      <c r="K6" s="96" t="s">
        <v>54</v>
      </c>
    </row>
    <row r="7" spans="1:11" x14ac:dyDescent="0.2">
      <c r="A7" s="182" t="s">
        <v>42</v>
      </c>
      <c r="B7" s="183"/>
      <c r="C7" s="184" t="s">
        <v>42</v>
      </c>
      <c r="D7" s="183"/>
      <c r="E7" s="184" t="s">
        <v>42</v>
      </c>
      <c r="F7" s="183"/>
      <c r="G7" s="184" t="s">
        <v>42</v>
      </c>
      <c r="H7" s="183"/>
      <c r="I7" s="184" t="s">
        <v>42</v>
      </c>
      <c r="J7" s="183"/>
      <c r="K7" s="185">
        <f>SUM(B7+D7+F7+H7+J7)</f>
        <v>0</v>
      </c>
    </row>
    <row r="8" spans="1:11" x14ac:dyDescent="0.2">
      <c r="A8" s="186" t="s">
        <v>197</v>
      </c>
      <c r="B8" s="187"/>
      <c r="C8" s="186" t="s">
        <v>197</v>
      </c>
      <c r="D8" s="188"/>
      <c r="E8" s="186" t="s">
        <v>197</v>
      </c>
      <c r="F8" s="31"/>
      <c r="G8" s="186" t="s">
        <v>197</v>
      </c>
      <c r="H8" s="26"/>
      <c r="I8" s="186" t="s">
        <v>197</v>
      </c>
      <c r="J8" s="26"/>
      <c r="K8" s="31"/>
    </row>
    <row r="9" spans="1:11" x14ac:dyDescent="0.2">
      <c r="A9" s="189"/>
      <c r="B9" s="183"/>
      <c r="C9" s="189"/>
      <c r="D9" s="183"/>
      <c r="E9" s="189"/>
      <c r="F9" s="183"/>
      <c r="G9" s="189"/>
      <c r="H9" s="183"/>
      <c r="I9" s="189"/>
      <c r="J9" s="183"/>
      <c r="K9" s="31"/>
    </row>
    <row r="10" spans="1:11" x14ac:dyDescent="0.2">
      <c r="A10" s="189"/>
      <c r="B10" s="183"/>
      <c r="C10" s="189"/>
      <c r="D10" s="183"/>
      <c r="E10" s="189"/>
      <c r="F10" s="183"/>
      <c r="G10" s="189"/>
      <c r="H10" s="183"/>
      <c r="I10" s="189"/>
      <c r="J10" s="183"/>
      <c r="K10" s="31"/>
    </row>
    <row r="11" spans="1:11" x14ac:dyDescent="0.2">
      <c r="A11" s="189"/>
      <c r="B11" s="183"/>
      <c r="C11" s="190"/>
      <c r="D11" s="183"/>
      <c r="E11" s="190"/>
      <c r="F11" s="183"/>
      <c r="G11" s="190"/>
      <c r="H11" s="183"/>
      <c r="I11" s="191"/>
      <c r="J11" s="183"/>
      <c r="K11" s="31"/>
    </row>
    <row r="12" spans="1:11" x14ac:dyDescent="0.2">
      <c r="A12" s="189"/>
      <c r="B12" s="183"/>
      <c r="C12" s="189"/>
      <c r="D12" s="183"/>
      <c r="E12" s="192"/>
      <c r="F12" s="183"/>
      <c r="G12" s="192"/>
      <c r="H12" s="183"/>
      <c r="I12" s="192"/>
      <c r="J12" s="183"/>
      <c r="K12" s="31"/>
    </row>
    <row r="13" spans="1:11" x14ac:dyDescent="0.2">
      <c r="A13" s="193"/>
      <c r="B13" s="183"/>
      <c r="C13" s="194"/>
      <c r="D13" s="183"/>
      <c r="E13" s="194"/>
      <c r="F13" s="183"/>
      <c r="G13" s="194"/>
      <c r="H13" s="183"/>
      <c r="I13" s="191"/>
      <c r="J13" s="183"/>
      <c r="K13" s="31"/>
    </row>
    <row r="14" spans="1:11" x14ac:dyDescent="0.2">
      <c r="A14" s="189"/>
      <c r="B14" s="183"/>
      <c r="C14" s="192"/>
      <c r="D14" s="183"/>
      <c r="E14" s="192"/>
      <c r="F14" s="183"/>
      <c r="G14" s="192"/>
      <c r="H14" s="183"/>
      <c r="I14" s="192"/>
      <c r="J14" s="183"/>
      <c r="K14" s="31"/>
    </row>
    <row r="15" spans="1:11" x14ac:dyDescent="0.2">
      <c r="A15" s="189"/>
      <c r="B15" s="183"/>
      <c r="C15" s="192"/>
      <c r="D15" s="183"/>
      <c r="E15" s="192"/>
      <c r="F15" s="183"/>
      <c r="G15" s="192"/>
      <c r="H15" s="183"/>
      <c r="I15" s="192"/>
      <c r="J15" s="183"/>
      <c r="K15" s="31"/>
    </row>
    <row r="16" spans="1:11" x14ac:dyDescent="0.2">
      <c r="A16" s="189"/>
      <c r="B16" s="183"/>
      <c r="C16" s="189"/>
      <c r="D16" s="183"/>
      <c r="E16" s="189"/>
      <c r="F16" s="183"/>
      <c r="G16" s="192"/>
      <c r="H16" s="183"/>
      <c r="I16" s="189"/>
      <c r="J16" s="183"/>
      <c r="K16" s="31"/>
    </row>
    <row r="17" spans="1:12" x14ac:dyDescent="0.2">
      <c r="A17" s="186" t="s">
        <v>89</v>
      </c>
      <c r="B17" s="185">
        <f>SUM(B9:B16)</f>
        <v>0</v>
      </c>
      <c r="C17" s="186" t="s">
        <v>89</v>
      </c>
      <c r="D17" s="185">
        <f>SUM(D9:D16)</f>
        <v>0</v>
      </c>
      <c r="E17" s="186" t="s">
        <v>89</v>
      </c>
      <c r="F17" s="225">
        <f>SUM(F9:F16)</f>
        <v>0</v>
      </c>
      <c r="G17" s="186" t="s">
        <v>89</v>
      </c>
      <c r="H17" s="185">
        <f>SUM(H9:H16)</f>
        <v>0</v>
      </c>
      <c r="I17" s="186" t="s">
        <v>89</v>
      </c>
      <c r="J17" s="185">
        <f>SUM(J9:J16)</f>
        <v>0</v>
      </c>
      <c r="K17" s="185">
        <f>SUM(B17+D17+F17+H17+J17)</f>
        <v>0</v>
      </c>
    </row>
    <row r="18" spans="1:12" x14ac:dyDescent="0.2">
      <c r="A18" s="186" t="s">
        <v>90</v>
      </c>
      <c r="B18" s="185">
        <f>SUM(B7+B17)</f>
        <v>0</v>
      </c>
      <c r="C18" s="186" t="s">
        <v>90</v>
      </c>
      <c r="D18" s="185">
        <f>SUM(D7+D17)</f>
        <v>0</v>
      </c>
      <c r="E18" s="186" t="s">
        <v>90</v>
      </c>
      <c r="F18" s="185">
        <f>SUM(F7+F17)</f>
        <v>0</v>
      </c>
      <c r="G18" s="186" t="s">
        <v>90</v>
      </c>
      <c r="H18" s="185">
        <f>SUM(H7+H17)</f>
        <v>0</v>
      </c>
      <c r="I18" s="186" t="s">
        <v>90</v>
      </c>
      <c r="J18" s="185">
        <f>SUM(J7+J17)</f>
        <v>0</v>
      </c>
      <c r="K18" s="185">
        <f>SUM(B18+D18+F18+H18+J18)</f>
        <v>0</v>
      </c>
    </row>
    <row r="19" spans="1:12" x14ac:dyDescent="0.2">
      <c r="A19" s="186" t="s">
        <v>93</v>
      </c>
      <c r="B19" s="187"/>
      <c r="C19" s="186" t="s">
        <v>93</v>
      </c>
      <c r="D19" s="188"/>
      <c r="E19" s="186" t="s">
        <v>93</v>
      </c>
      <c r="F19" s="31"/>
      <c r="G19" s="186" t="s">
        <v>93</v>
      </c>
      <c r="H19" s="26"/>
      <c r="I19" s="186" t="s">
        <v>93</v>
      </c>
      <c r="J19" s="26"/>
      <c r="K19" s="31"/>
    </row>
    <row r="20" spans="1:12" x14ac:dyDescent="0.2">
      <c r="A20" s="189"/>
      <c r="B20" s="183"/>
      <c r="C20" s="192"/>
      <c r="D20" s="183"/>
      <c r="E20" s="192"/>
      <c r="F20" s="183"/>
      <c r="G20" s="192"/>
      <c r="H20" s="183"/>
      <c r="I20" s="192"/>
      <c r="J20" s="183"/>
      <c r="K20" s="31"/>
    </row>
    <row r="21" spans="1:12" x14ac:dyDescent="0.2">
      <c r="A21" s="189"/>
      <c r="B21" s="183"/>
      <c r="C21" s="192"/>
      <c r="D21" s="183"/>
      <c r="E21" s="192"/>
      <c r="F21" s="183"/>
      <c r="G21" s="192"/>
      <c r="H21" s="183"/>
      <c r="I21" s="192"/>
      <c r="J21" s="183"/>
      <c r="K21" s="31"/>
    </row>
    <row r="22" spans="1:12" x14ac:dyDescent="0.2">
      <c r="A22" s="189"/>
      <c r="B22" s="183"/>
      <c r="C22" s="194"/>
      <c r="D22" s="183"/>
      <c r="E22" s="194"/>
      <c r="F22" s="183"/>
      <c r="G22" s="194"/>
      <c r="H22" s="183"/>
      <c r="I22" s="191"/>
      <c r="J22" s="183"/>
      <c r="K22" s="31"/>
    </row>
    <row r="23" spans="1:12" x14ac:dyDescent="0.2">
      <c r="A23" s="189"/>
      <c r="B23" s="183"/>
      <c r="C23" s="192"/>
      <c r="D23" s="183"/>
      <c r="E23" s="192"/>
      <c r="F23" s="183"/>
      <c r="G23" s="192"/>
      <c r="H23" s="183"/>
      <c r="I23" s="192"/>
      <c r="J23" s="183"/>
      <c r="K23" s="31"/>
    </row>
    <row r="24" spans="1:12" x14ac:dyDescent="0.2">
      <c r="A24" s="189"/>
      <c r="B24" s="183"/>
      <c r="C24" s="194"/>
      <c r="D24" s="183"/>
      <c r="E24" s="194"/>
      <c r="F24" s="183"/>
      <c r="G24" s="194"/>
      <c r="H24" s="183"/>
      <c r="I24" s="191"/>
      <c r="J24" s="183"/>
      <c r="K24" s="31"/>
    </row>
    <row r="25" spans="1:12" x14ac:dyDescent="0.2">
      <c r="A25" s="189"/>
      <c r="B25" s="183"/>
      <c r="C25" s="192"/>
      <c r="D25" s="183"/>
      <c r="E25" s="192"/>
      <c r="F25" s="183"/>
      <c r="G25" s="192"/>
      <c r="H25" s="183"/>
      <c r="I25" s="192"/>
      <c r="J25" s="183"/>
      <c r="K25" s="31"/>
    </row>
    <row r="26" spans="1:12" x14ac:dyDescent="0.2">
      <c r="A26" s="189"/>
      <c r="B26" s="183"/>
      <c r="C26" s="192"/>
      <c r="D26" s="183"/>
      <c r="E26" s="192"/>
      <c r="F26" s="183"/>
      <c r="G26" s="192"/>
      <c r="H26" s="183"/>
      <c r="I26" s="192"/>
      <c r="J26" s="183"/>
      <c r="K26" s="31"/>
    </row>
    <row r="27" spans="1:12" x14ac:dyDescent="0.2">
      <c r="A27" s="189"/>
      <c r="B27" s="183"/>
      <c r="C27" s="189"/>
      <c r="D27" s="183"/>
      <c r="E27" s="189"/>
      <c r="F27" s="183"/>
      <c r="G27" s="192"/>
      <c r="H27" s="183"/>
      <c r="I27" s="192"/>
      <c r="J27" s="183"/>
      <c r="K27" s="31"/>
    </row>
    <row r="28" spans="1:12" x14ac:dyDescent="0.2">
      <c r="A28" s="186" t="s">
        <v>94</v>
      </c>
      <c r="B28" s="185">
        <f>SUM(B20:B27)</f>
        <v>0</v>
      </c>
      <c r="C28" s="186" t="s">
        <v>94</v>
      </c>
      <c r="D28" s="185">
        <f>SUM(D20:D27)</f>
        <v>0</v>
      </c>
      <c r="E28" s="186" t="s">
        <v>94</v>
      </c>
      <c r="F28" s="225">
        <f>SUM(F20:F27)</f>
        <v>0</v>
      </c>
      <c r="G28" s="186" t="s">
        <v>94</v>
      </c>
      <c r="H28" s="225">
        <f>SUM(H20:H27)</f>
        <v>0</v>
      </c>
      <c r="I28" s="186" t="s">
        <v>94</v>
      </c>
      <c r="J28" s="185">
        <f>SUM(J20:J27)</f>
        <v>0</v>
      </c>
      <c r="K28" s="185">
        <f>SUM(B28+D28+F28+H28+J28)</f>
        <v>0</v>
      </c>
    </row>
    <row r="29" spans="1:12" x14ac:dyDescent="0.2">
      <c r="A29" s="186" t="s">
        <v>19</v>
      </c>
      <c r="B29" s="185">
        <f>B18-B28</f>
        <v>0</v>
      </c>
      <c r="C29" s="186" t="s">
        <v>19</v>
      </c>
      <c r="D29" s="185">
        <f>D18-D28</f>
        <v>0</v>
      </c>
      <c r="E29" s="186" t="s">
        <v>19</v>
      </c>
      <c r="F29" s="185">
        <f>F18-F28</f>
        <v>0</v>
      </c>
      <c r="G29" s="186" t="s">
        <v>19</v>
      </c>
      <c r="H29" s="185">
        <f>H18-H28</f>
        <v>0</v>
      </c>
      <c r="I29" s="186" t="s">
        <v>19</v>
      </c>
      <c r="J29" s="185">
        <f>J18-J28</f>
        <v>0</v>
      </c>
      <c r="K29" s="196">
        <f>SUM(B29+D29+F29+H29+J29)</f>
        <v>0</v>
      </c>
      <c r="L29" s="23" t="s">
        <v>31</v>
      </c>
    </row>
    <row r="30" spans="1:12" x14ac:dyDescent="0.2">
      <c r="A30" s="186"/>
      <c r="B30" s="219" t="str">
        <f>IF(B29&lt;0,"See Tab B","")</f>
        <v/>
      </c>
      <c r="C30" s="186"/>
      <c r="D30" s="219" t="str">
        <f>IF(D29&lt;0,"See Tab B","")</f>
        <v/>
      </c>
      <c r="E30" s="186"/>
      <c r="F30" s="219" t="str">
        <f>IF(F29&lt;0,"See Tab B","")</f>
        <v/>
      </c>
      <c r="G30" s="26"/>
      <c r="H30" s="219" t="str">
        <f>IF(H29&lt;0,"See Tab B","")</f>
        <v/>
      </c>
      <c r="I30" s="26"/>
      <c r="J30" s="219" t="str">
        <f>IF(J29&lt;0,"See Tab B","")</f>
        <v/>
      </c>
      <c r="K30" s="196">
        <f>SUM(K7+K17-K28)</f>
        <v>0</v>
      </c>
      <c r="L30" s="23" t="s">
        <v>31</v>
      </c>
    </row>
    <row r="31" spans="1:12" x14ac:dyDescent="0.2">
      <c r="A31" s="26"/>
      <c r="B31" s="49"/>
      <c r="C31" s="26"/>
      <c r="D31" s="31"/>
      <c r="E31" s="26"/>
      <c r="F31" s="26"/>
      <c r="G31" s="26"/>
      <c r="H31" s="669" t="s">
        <v>32</v>
      </c>
      <c r="I31" s="669"/>
      <c r="J31" s="669"/>
      <c r="K31" s="669"/>
    </row>
    <row r="32" spans="1:12" x14ac:dyDescent="0.2">
      <c r="A32" s="26"/>
      <c r="B32" s="49"/>
      <c r="C32" s="26"/>
      <c r="D32" s="26"/>
      <c r="E32" s="26"/>
      <c r="F32" s="26"/>
      <c r="G32" s="26"/>
      <c r="H32" s="26"/>
      <c r="I32" s="26"/>
      <c r="J32" s="26"/>
      <c r="K32" s="26"/>
    </row>
    <row r="33" spans="1:11" x14ac:dyDescent="0.2">
      <c r="A33" s="423" t="s">
        <v>354</v>
      </c>
      <c r="B33" s="420"/>
      <c r="C33" s="394"/>
      <c r="D33" s="394"/>
      <c r="E33" s="394"/>
      <c r="F33" s="394"/>
      <c r="G33" s="394"/>
      <c r="H33" s="394"/>
      <c r="I33" s="394"/>
      <c r="J33" s="394"/>
      <c r="K33" s="397"/>
    </row>
    <row r="34" spans="1:11" x14ac:dyDescent="0.2">
      <c r="A34" s="126"/>
      <c r="B34" s="49"/>
      <c r="C34" s="26"/>
      <c r="D34" s="26"/>
      <c r="E34" s="26"/>
      <c r="F34" s="26"/>
      <c r="G34" s="26"/>
      <c r="H34" s="26"/>
      <c r="I34" s="26"/>
      <c r="J34" s="26"/>
      <c r="K34" s="312"/>
    </row>
    <row r="35" spans="1:11" x14ac:dyDescent="0.2">
      <c r="A35" s="403"/>
      <c r="B35" s="421"/>
      <c r="C35" s="44"/>
      <c r="D35" s="44"/>
      <c r="E35" s="44"/>
      <c r="F35" s="44"/>
      <c r="G35" s="44"/>
      <c r="H35" s="44"/>
      <c r="I35" s="44"/>
      <c r="J35" s="44"/>
      <c r="K35" s="47"/>
    </row>
    <row r="36" spans="1:11" x14ac:dyDescent="0.2">
      <c r="A36" s="26"/>
      <c r="B36" s="49"/>
      <c r="C36" s="26"/>
      <c r="D36" s="26"/>
      <c r="E36" s="26"/>
      <c r="F36" s="26"/>
      <c r="G36" s="26"/>
      <c r="H36" s="26"/>
      <c r="I36" s="26"/>
      <c r="J36" s="26"/>
      <c r="K36" s="26"/>
    </row>
    <row r="37" spans="1:11" x14ac:dyDescent="0.2">
      <c r="A37" s="26"/>
      <c r="B37" s="49"/>
      <c r="C37" s="26"/>
      <c r="D37" s="26"/>
      <c r="E37" s="125" t="s">
        <v>146</v>
      </c>
      <c r="F37" s="368"/>
      <c r="G37" s="26"/>
      <c r="H37" s="26"/>
      <c r="I37" s="26"/>
      <c r="J37" s="26"/>
      <c r="K37" s="26"/>
    </row>
    <row r="38" spans="1:11" x14ac:dyDescent="0.2">
      <c r="B38" s="197"/>
    </row>
    <row r="39" spans="1:11" x14ac:dyDescent="0.2">
      <c r="B39" s="197"/>
    </row>
    <row r="40" spans="1:11" x14ac:dyDescent="0.2">
      <c r="B40" s="197"/>
    </row>
    <row r="41" spans="1:11" x14ac:dyDescent="0.2">
      <c r="B41" s="197"/>
    </row>
    <row r="42" spans="1:11" x14ac:dyDescent="0.2">
      <c r="B42" s="197"/>
    </row>
    <row r="43" spans="1:11" x14ac:dyDescent="0.2">
      <c r="B43" s="197"/>
    </row>
    <row r="44" spans="1:11" x14ac:dyDescent="0.2">
      <c r="B44" s="197"/>
    </row>
    <row r="45" spans="1:11" x14ac:dyDescent="0.2">
      <c r="B45" s="197"/>
    </row>
  </sheetData>
  <sheetProtection sheet="1" objects="1" scenarios="1"/>
  <mergeCells count="6">
    <mergeCell ref="H31:K31"/>
    <mergeCell ref="I5:J5"/>
    <mergeCell ref="A5:B5"/>
    <mergeCell ref="C5:D5"/>
    <mergeCell ref="E5:F5"/>
    <mergeCell ref="G5:H5"/>
  </mergeCells>
  <phoneticPr fontId="7" type="noConversion"/>
  <pageMargins left="0.75" right="0.75" top="1" bottom="1" header="0.5" footer="0.5"/>
  <pageSetup scale="81" orientation="landscape" blackAndWhite="1" r:id="rId1"/>
  <headerFooter alignWithMargins="0">
    <oddHeader>&amp;RState of Kansas
County</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1">
    <tabColor rgb="FF00B0F0"/>
    <pageSetUpPr fitToPage="1"/>
  </sheetPr>
  <dimension ref="A1:L45"/>
  <sheetViews>
    <sheetView workbookViewId="0">
      <selection activeCell="B15" sqref="B15"/>
    </sheetView>
  </sheetViews>
  <sheetFormatPr defaultRowHeight="15.75" x14ac:dyDescent="0.2"/>
  <cols>
    <col min="1" max="1" width="11.5546875" style="23" customWidth="1"/>
    <col min="2" max="2" width="7.44140625" style="23" customWidth="1"/>
    <col min="3" max="3" width="11.5546875" style="23" customWidth="1"/>
    <col min="4" max="4" width="7.44140625" style="23" customWidth="1"/>
    <col min="5" max="5" width="11.5546875" style="23" customWidth="1"/>
    <col min="6" max="6" width="7.44140625" style="23" customWidth="1"/>
    <col min="7" max="7" width="11.5546875" style="23" customWidth="1"/>
    <col min="8" max="8" width="7.44140625" style="23" customWidth="1"/>
    <col min="9" max="9" width="11.5546875" style="23" customWidth="1"/>
    <col min="10" max="16384" width="8.88671875" style="23"/>
  </cols>
  <sheetData>
    <row r="1" spans="1:11" x14ac:dyDescent="0.2">
      <c r="A1" s="57">
        <f>inputPrYr!$C$3</f>
        <v>0</v>
      </c>
      <c r="B1" s="31"/>
      <c r="C1" s="26"/>
      <c r="D1" s="26"/>
      <c r="E1" s="26"/>
      <c r="F1" s="89" t="s">
        <v>22</v>
      </c>
      <c r="G1" s="26"/>
      <c r="H1" s="26"/>
      <c r="I1" s="26"/>
      <c r="J1" s="26"/>
      <c r="K1" s="26">
        <f>inputPrYr!$C$5</f>
        <v>2025</v>
      </c>
    </row>
    <row r="2" spans="1:11" x14ac:dyDescent="0.2">
      <c r="A2" s="26"/>
      <c r="B2" s="26"/>
      <c r="C2" s="26"/>
      <c r="D2" s="26"/>
      <c r="E2" s="26"/>
      <c r="F2" s="176" t="str">
        <f>CONCATENATE("(Only the actual budget year for ",K1-2," is reported)")</f>
        <v>(Only the actual budget year for 2023 is reported)</v>
      </c>
      <c r="G2" s="26"/>
      <c r="H2" s="26"/>
      <c r="I2" s="26"/>
      <c r="J2" s="26"/>
      <c r="K2" s="26"/>
    </row>
    <row r="3" spans="1:11" x14ac:dyDescent="0.2">
      <c r="A3" s="26" t="s">
        <v>23</v>
      </c>
      <c r="B3" s="26"/>
      <c r="C3" s="26"/>
      <c r="D3" s="26"/>
      <c r="E3" s="26"/>
      <c r="F3" s="31"/>
      <c r="G3" s="26"/>
      <c r="H3" s="26"/>
      <c r="I3" s="26"/>
      <c r="J3" s="26"/>
      <c r="K3" s="26"/>
    </row>
    <row r="4" spans="1:11" x14ac:dyDescent="0.2">
      <c r="A4" s="26" t="s">
        <v>13</v>
      </c>
      <c r="B4" s="26"/>
      <c r="C4" s="26" t="s">
        <v>14</v>
      </c>
      <c r="D4" s="26"/>
      <c r="E4" s="26" t="s">
        <v>15</v>
      </c>
      <c r="F4" s="31"/>
      <c r="G4" s="26" t="s">
        <v>16</v>
      </c>
      <c r="H4" s="26"/>
      <c r="I4" s="26" t="s">
        <v>17</v>
      </c>
      <c r="J4" s="26"/>
      <c r="K4" s="26"/>
    </row>
    <row r="5" spans="1:11" x14ac:dyDescent="0.2">
      <c r="A5" s="670" t="str">
        <f>IF(inputPrYr!B75&gt;" ",(inputPrYr!B75)," ")</f>
        <v xml:space="preserve"> </v>
      </c>
      <c r="B5" s="671"/>
      <c r="C5" s="670" t="str">
        <f>IF(inputPrYr!B76&gt;" ",(inputPrYr!B76)," ")</f>
        <v xml:space="preserve"> </v>
      </c>
      <c r="D5" s="671"/>
      <c r="E5" s="670" t="str">
        <f>IF(inputPrYr!B77&gt;" ",(inputPrYr!B77)," ")</f>
        <v xml:space="preserve"> </v>
      </c>
      <c r="F5" s="671"/>
      <c r="G5" s="670" t="str">
        <f>IF(inputPrYr!B78&gt;" ",(inputPrYr!B78)," ")</f>
        <v xml:space="preserve"> </v>
      </c>
      <c r="H5" s="671"/>
      <c r="I5" s="670" t="str">
        <f>IF(inputPrYr!B79&gt;" ",(inputPrYr!B79)," ")</f>
        <v xml:space="preserve"> </v>
      </c>
      <c r="J5" s="671"/>
      <c r="K5" s="44"/>
    </row>
    <row r="6" spans="1:11" x14ac:dyDescent="0.2">
      <c r="A6" s="178" t="s">
        <v>18</v>
      </c>
      <c r="B6" s="179"/>
      <c r="C6" s="180" t="s">
        <v>18</v>
      </c>
      <c r="D6" s="181"/>
      <c r="E6" s="180" t="s">
        <v>18</v>
      </c>
      <c r="F6" s="177"/>
      <c r="G6" s="180" t="s">
        <v>18</v>
      </c>
      <c r="H6" s="45"/>
      <c r="I6" s="180" t="s">
        <v>18</v>
      </c>
      <c r="J6" s="26"/>
      <c r="K6" s="96" t="s">
        <v>54</v>
      </c>
    </row>
    <row r="7" spans="1:11" x14ac:dyDescent="0.2">
      <c r="A7" s="182" t="s">
        <v>42</v>
      </c>
      <c r="B7" s="183"/>
      <c r="C7" s="184" t="s">
        <v>42</v>
      </c>
      <c r="D7" s="183"/>
      <c r="E7" s="184" t="s">
        <v>42</v>
      </c>
      <c r="F7" s="183"/>
      <c r="G7" s="184" t="s">
        <v>42</v>
      </c>
      <c r="H7" s="183"/>
      <c r="I7" s="184" t="s">
        <v>42</v>
      </c>
      <c r="J7" s="183"/>
      <c r="K7" s="185">
        <f>SUM(B7+D7+F7+H7+J7)</f>
        <v>0</v>
      </c>
    </row>
    <row r="8" spans="1:11" x14ac:dyDescent="0.2">
      <c r="A8" s="186" t="s">
        <v>197</v>
      </c>
      <c r="B8" s="187"/>
      <c r="C8" s="186" t="s">
        <v>197</v>
      </c>
      <c r="D8" s="188"/>
      <c r="E8" s="186" t="s">
        <v>197</v>
      </c>
      <c r="F8" s="31"/>
      <c r="G8" s="186" t="s">
        <v>197</v>
      </c>
      <c r="H8" s="26"/>
      <c r="I8" s="186" t="s">
        <v>197</v>
      </c>
      <c r="J8" s="26"/>
      <c r="K8" s="31"/>
    </row>
    <row r="9" spans="1:11" x14ac:dyDescent="0.2">
      <c r="A9" s="189"/>
      <c r="B9" s="183"/>
      <c r="C9" s="189"/>
      <c r="D9" s="183"/>
      <c r="E9" s="189"/>
      <c r="F9" s="183"/>
      <c r="G9" s="189"/>
      <c r="H9" s="183"/>
      <c r="I9" s="189"/>
      <c r="J9" s="183"/>
      <c r="K9" s="31"/>
    </row>
    <row r="10" spans="1:11" x14ac:dyDescent="0.2">
      <c r="A10" s="189"/>
      <c r="B10" s="183"/>
      <c r="C10" s="189"/>
      <c r="D10" s="183"/>
      <c r="E10" s="189"/>
      <c r="F10" s="183"/>
      <c r="G10" s="189"/>
      <c r="H10" s="183"/>
      <c r="I10" s="189"/>
      <c r="J10" s="183"/>
      <c r="K10" s="31"/>
    </row>
    <row r="11" spans="1:11" x14ac:dyDescent="0.2">
      <c r="A11" s="189"/>
      <c r="B11" s="183"/>
      <c r="C11" s="190"/>
      <c r="D11" s="183"/>
      <c r="E11" s="190"/>
      <c r="F11" s="183"/>
      <c r="G11" s="190"/>
      <c r="H11" s="183"/>
      <c r="I11" s="191"/>
      <c r="J11" s="183"/>
      <c r="K11" s="31"/>
    </row>
    <row r="12" spans="1:11" x14ac:dyDescent="0.2">
      <c r="A12" s="189"/>
      <c r="B12" s="183"/>
      <c r="C12" s="189"/>
      <c r="D12" s="183"/>
      <c r="E12" s="192"/>
      <c r="F12" s="183"/>
      <c r="G12" s="192"/>
      <c r="H12" s="183"/>
      <c r="I12" s="192"/>
      <c r="J12" s="183"/>
      <c r="K12" s="31"/>
    </row>
    <row r="13" spans="1:11" x14ac:dyDescent="0.2">
      <c r="A13" s="193"/>
      <c r="B13" s="183"/>
      <c r="C13" s="194"/>
      <c r="D13" s="183"/>
      <c r="E13" s="194"/>
      <c r="F13" s="183"/>
      <c r="G13" s="194"/>
      <c r="H13" s="183"/>
      <c r="I13" s="191"/>
      <c r="J13" s="183"/>
      <c r="K13" s="31"/>
    </row>
    <row r="14" spans="1:11" x14ac:dyDescent="0.2">
      <c r="A14" s="189"/>
      <c r="B14" s="183"/>
      <c r="C14" s="192"/>
      <c r="D14" s="183"/>
      <c r="E14" s="192"/>
      <c r="F14" s="183"/>
      <c r="G14" s="192"/>
      <c r="H14" s="183"/>
      <c r="I14" s="192"/>
      <c r="J14" s="183"/>
      <c r="K14" s="31"/>
    </row>
    <row r="15" spans="1:11" x14ac:dyDescent="0.2">
      <c r="A15" s="189"/>
      <c r="B15" s="183"/>
      <c r="C15" s="192"/>
      <c r="D15" s="183"/>
      <c r="E15" s="192"/>
      <c r="F15" s="183"/>
      <c r="G15" s="192"/>
      <c r="H15" s="183"/>
      <c r="I15" s="192"/>
      <c r="J15" s="183"/>
      <c r="K15" s="31"/>
    </row>
    <row r="16" spans="1:11" x14ac:dyDescent="0.2">
      <c r="A16" s="189"/>
      <c r="B16" s="183"/>
      <c r="C16" s="189"/>
      <c r="D16" s="183"/>
      <c r="E16" s="189"/>
      <c r="F16" s="183"/>
      <c r="G16" s="192"/>
      <c r="H16" s="183"/>
      <c r="I16" s="189"/>
      <c r="J16" s="183"/>
      <c r="K16" s="31"/>
    </row>
    <row r="17" spans="1:12" x14ac:dyDescent="0.2">
      <c r="A17" s="186" t="s">
        <v>89</v>
      </c>
      <c r="B17" s="185">
        <f>SUM(B9:B16)</f>
        <v>0</v>
      </c>
      <c r="C17" s="186" t="s">
        <v>89</v>
      </c>
      <c r="D17" s="185">
        <f>SUM(D9:D16)</f>
        <v>0</v>
      </c>
      <c r="E17" s="186" t="s">
        <v>89</v>
      </c>
      <c r="F17" s="225">
        <f>SUM(F9:F16)</f>
        <v>0</v>
      </c>
      <c r="G17" s="186" t="s">
        <v>89</v>
      </c>
      <c r="H17" s="185">
        <f>SUM(H9:H16)</f>
        <v>0</v>
      </c>
      <c r="I17" s="186" t="s">
        <v>89</v>
      </c>
      <c r="J17" s="185">
        <f>SUM(J9:J16)</f>
        <v>0</v>
      </c>
      <c r="K17" s="185">
        <f>SUM(B17+D17+F17+H17+J17)</f>
        <v>0</v>
      </c>
    </row>
    <row r="18" spans="1:12" x14ac:dyDescent="0.2">
      <c r="A18" s="186" t="s">
        <v>90</v>
      </c>
      <c r="B18" s="185">
        <f>SUM(B7+B17)</f>
        <v>0</v>
      </c>
      <c r="C18" s="186" t="s">
        <v>90</v>
      </c>
      <c r="D18" s="185">
        <f>SUM(D7+D17)</f>
        <v>0</v>
      </c>
      <c r="E18" s="186" t="s">
        <v>90</v>
      </c>
      <c r="F18" s="185">
        <f>SUM(F7+F17)</f>
        <v>0</v>
      </c>
      <c r="G18" s="186" t="s">
        <v>90</v>
      </c>
      <c r="H18" s="185">
        <f>SUM(H7+H17)</f>
        <v>0</v>
      </c>
      <c r="I18" s="186" t="s">
        <v>90</v>
      </c>
      <c r="J18" s="185">
        <f>SUM(J7+J17)</f>
        <v>0</v>
      </c>
      <c r="K18" s="185">
        <f>SUM(B18+D18+F18+H18+J18)</f>
        <v>0</v>
      </c>
    </row>
    <row r="19" spans="1:12" x14ac:dyDescent="0.2">
      <c r="A19" s="186" t="s">
        <v>93</v>
      </c>
      <c r="B19" s="187"/>
      <c r="C19" s="186" t="s">
        <v>93</v>
      </c>
      <c r="D19" s="188"/>
      <c r="E19" s="186" t="s">
        <v>93</v>
      </c>
      <c r="F19" s="31"/>
      <c r="G19" s="186" t="s">
        <v>93</v>
      </c>
      <c r="H19" s="26"/>
      <c r="I19" s="186" t="s">
        <v>93</v>
      </c>
      <c r="J19" s="26"/>
      <c r="K19" s="31"/>
    </row>
    <row r="20" spans="1:12" x14ac:dyDescent="0.2">
      <c r="A20" s="189"/>
      <c r="B20" s="183"/>
      <c r="C20" s="192"/>
      <c r="D20" s="183"/>
      <c r="E20" s="192"/>
      <c r="F20" s="183"/>
      <c r="G20" s="192"/>
      <c r="H20" s="183"/>
      <c r="I20" s="192"/>
      <c r="J20" s="183"/>
      <c r="K20" s="31"/>
    </row>
    <row r="21" spans="1:12" x14ac:dyDescent="0.2">
      <c r="A21" s="189"/>
      <c r="B21" s="183"/>
      <c r="C21" s="192"/>
      <c r="D21" s="183"/>
      <c r="E21" s="192"/>
      <c r="F21" s="183"/>
      <c r="G21" s="192"/>
      <c r="H21" s="183"/>
      <c r="I21" s="192"/>
      <c r="J21" s="183"/>
      <c r="K21" s="31"/>
    </row>
    <row r="22" spans="1:12" x14ac:dyDescent="0.2">
      <c r="A22" s="189"/>
      <c r="B22" s="183"/>
      <c r="C22" s="194"/>
      <c r="D22" s="183"/>
      <c r="E22" s="194"/>
      <c r="F22" s="183"/>
      <c r="G22" s="194"/>
      <c r="H22" s="183"/>
      <c r="I22" s="191"/>
      <c r="J22" s="183"/>
      <c r="K22" s="31"/>
    </row>
    <row r="23" spans="1:12" x14ac:dyDescent="0.2">
      <c r="A23" s="189"/>
      <c r="B23" s="183"/>
      <c r="C23" s="192"/>
      <c r="D23" s="183"/>
      <c r="E23" s="192"/>
      <c r="F23" s="183"/>
      <c r="G23" s="192"/>
      <c r="H23" s="183"/>
      <c r="I23" s="192"/>
      <c r="J23" s="183"/>
      <c r="K23" s="31"/>
    </row>
    <row r="24" spans="1:12" x14ac:dyDescent="0.2">
      <c r="A24" s="189"/>
      <c r="B24" s="183"/>
      <c r="C24" s="194"/>
      <c r="D24" s="183"/>
      <c r="E24" s="194"/>
      <c r="F24" s="183"/>
      <c r="G24" s="194"/>
      <c r="H24" s="183"/>
      <c r="I24" s="191"/>
      <c r="J24" s="183"/>
      <c r="K24" s="31"/>
    </row>
    <row r="25" spans="1:12" x14ac:dyDescent="0.2">
      <c r="A25" s="189"/>
      <c r="B25" s="183"/>
      <c r="C25" s="192"/>
      <c r="D25" s="183"/>
      <c r="E25" s="192"/>
      <c r="F25" s="183"/>
      <c r="G25" s="192"/>
      <c r="H25" s="183"/>
      <c r="I25" s="192"/>
      <c r="J25" s="183"/>
      <c r="K25" s="31"/>
    </row>
    <row r="26" spans="1:12" x14ac:dyDescent="0.2">
      <c r="A26" s="189"/>
      <c r="B26" s="183"/>
      <c r="C26" s="192"/>
      <c r="D26" s="183"/>
      <c r="E26" s="192"/>
      <c r="F26" s="183"/>
      <c r="G26" s="192"/>
      <c r="H26" s="183"/>
      <c r="I26" s="192"/>
      <c r="J26" s="183"/>
      <c r="K26" s="31"/>
    </row>
    <row r="27" spans="1:12" x14ac:dyDescent="0.2">
      <c r="A27" s="189"/>
      <c r="B27" s="183"/>
      <c r="C27" s="189"/>
      <c r="D27" s="183"/>
      <c r="E27" s="189"/>
      <c r="F27" s="183"/>
      <c r="G27" s="192"/>
      <c r="H27" s="183"/>
      <c r="I27" s="192"/>
      <c r="J27" s="183"/>
      <c r="K27" s="31"/>
    </row>
    <row r="28" spans="1:12" x14ac:dyDescent="0.2">
      <c r="A28" s="186" t="s">
        <v>94</v>
      </c>
      <c r="B28" s="185">
        <f>SUM(B20:B27)</f>
        <v>0</v>
      </c>
      <c r="C28" s="186" t="s">
        <v>94</v>
      </c>
      <c r="D28" s="185">
        <f>SUM(D20:D27)</f>
        <v>0</v>
      </c>
      <c r="E28" s="186" t="s">
        <v>94</v>
      </c>
      <c r="F28" s="225">
        <f>SUM(F20:F27)</f>
        <v>0</v>
      </c>
      <c r="G28" s="186" t="s">
        <v>94</v>
      </c>
      <c r="H28" s="225">
        <f>SUM(H20:H27)</f>
        <v>0</v>
      </c>
      <c r="I28" s="186" t="s">
        <v>94</v>
      </c>
      <c r="J28" s="185">
        <f>SUM(J20:J27)</f>
        <v>0</v>
      </c>
      <c r="K28" s="185">
        <f>SUM(B28+D28+F28+H28+J28)</f>
        <v>0</v>
      </c>
    </row>
    <row r="29" spans="1:12" x14ac:dyDescent="0.2">
      <c r="A29" s="186" t="s">
        <v>19</v>
      </c>
      <c r="B29" s="185">
        <f>B18-B28</f>
        <v>0</v>
      </c>
      <c r="C29" s="186" t="s">
        <v>19</v>
      </c>
      <c r="D29" s="185">
        <f>D18-D28</f>
        <v>0</v>
      </c>
      <c r="E29" s="186" t="s">
        <v>19</v>
      </c>
      <c r="F29" s="185">
        <f>F18-F28</f>
        <v>0</v>
      </c>
      <c r="G29" s="186" t="s">
        <v>19</v>
      </c>
      <c r="H29" s="185">
        <f>H18-H28</f>
        <v>0</v>
      </c>
      <c r="I29" s="186" t="s">
        <v>19</v>
      </c>
      <c r="J29" s="185">
        <f>J18-J28</f>
        <v>0</v>
      </c>
      <c r="K29" s="196">
        <f>SUM(B29+D29+F29+H29+J29)</f>
        <v>0</v>
      </c>
      <c r="L29" s="23" t="s">
        <v>31</v>
      </c>
    </row>
    <row r="30" spans="1:12" x14ac:dyDescent="0.2">
      <c r="A30" s="186"/>
      <c r="B30" s="219" t="str">
        <f>IF(B29&lt;0,"See Tab B","")</f>
        <v/>
      </c>
      <c r="C30" s="186"/>
      <c r="D30" s="219" t="str">
        <f>IF(D29&lt;0,"See Tab B","")</f>
        <v/>
      </c>
      <c r="E30" s="186"/>
      <c r="F30" s="219" t="str">
        <f>IF(F29&lt;0,"See Tab B","")</f>
        <v/>
      </c>
      <c r="G30" s="26"/>
      <c r="H30" s="219" t="str">
        <f>IF(H29&lt;0,"See Tab B","")</f>
        <v/>
      </c>
      <c r="I30" s="26"/>
      <c r="J30" s="219" t="str">
        <f>IF(J29&lt;0,"See Tab B","")</f>
        <v/>
      </c>
      <c r="K30" s="196">
        <f>SUM(K7+K17-K28)</f>
        <v>0</v>
      </c>
      <c r="L30" s="23" t="s">
        <v>31</v>
      </c>
    </row>
    <row r="31" spans="1:12" x14ac:dyDescent="0.2">
      <c r="A31" s="26"/>
      <c r="B31" s="49"/>
      <c r="C31" s="26"/>
      <c r="D31" s="31"/>
      <c r="E31" s="26"/>
      <c r="F31" s="26"/>
      <c r="G31" s="26"/>
      <c r="H31" s="669" t="s">
        <v>32</v>
      </c>
      <c r="I31" s="669"/>
      <c r="J31" s="669"/>
      <c r="K31" s="669"/>
    </row>
    <row r="32" spans="1:12" x14ac:dyDescent="0.2">
      <c r="A32" s="26"/>
      <c r="B32" s="49"/>
      <c r="C32" s="26"/>
      <c r="D32" s="26"/>
      <c r="E32" s="26"/>
      <c r="F32" s="26"/>
      <c r="G32" s="26"/>
      <c r="H32" s="26"/>
      <c r="I32" s="26"/>
      <c r="J32" s="26"/>
      <c r="K32" s="26"/>
    </row>
    <row r="33" spans="1:11" x14ac:dyDescent="0.2">
      <c r="A33" s="423" t="s">
        <v>354</v>
      </c>
      <c r="B33" s="420"/>
      <c r="C33" s="394"/>
      <c r="D33" s="394"/>
      <c r="E33" s="394"/>
      <c r="F33" s="394"/>
      <c r="G33" s="394"/>
      <c r="H33" s="394"/>
      <c r="I33" s="394"/>
      <c r="J33" s="394"/>
      <c r="K33" s="397"/>
    </row>
    <row r="34" spans="1:11" x14ac:dyDescent="0.2">
      <c r="A34" s="126"/>
      <c r="B34" s="49"/>
      <c r="C34" s="26"/>
      <c r="D34" s="26"/>
      <c r="E34" s="26"/>
      <c r="F34" s="26"/>
      <c r="G34" s="26"/>
      <c r="H34" s="26"/>
      <c r="I34" s="26"/>
      <c r="J34" s="26"/>
      <c r="K34" s="312"/>
    </row>
    <row r="35" spans="1:11" x14ac:dyDescent="0.2">
      <c r="A35" s="403"/>
      <c r="B35" s="421"/>
      <c r="C35" s="44"/>
      <c r="D35" s="44"/>
      <c r="E35" s="44"/>
      <c r="F35" s="44"/>
      <c r="G35" s="44"/>
      <c r="H35" s="44"/>
      <c r="I35" s="44"/>
      <c r="J35" s="44"/>
      <c r="K35" s="47"/>
    </row>
    <row r="36" spans="1:11" x14ac:dyDescent="0.2">
      <c r="A36" s="26"/>
      <c r="B36" s="49"/>
      <c r="C36" s="26"/>
      <c r="D36" s="26"/>
      <c r="E36" s="26"/>
      <c r="F36" s="26"/>
      <c r="G36" s="26"/>
      <c r="H36" s="26"/>
      <c r="I36" s="26"/>
      <c r="J36" s="26"/>
      <c r="K36" s="26"/>
    </row>
    <row r="37" spans="1:11" x14ac:dyDescent="0.2">
      <c r="A37" s="26"/>
      <c r="B37" s="49"/>
      <c r="C37" s="26"/>
      <c r="D37" s="26"/>
      <c r="E37" s="125" t="s">
        <v>146</v>
      </c>
      <c r="F37" s="368"/>
      <c r="G37" s="26"/>
      <c r="H37" s="26"/>
      <c r="I37" s="26"/>
      <c r="J37" s="26"/>
      <c r="K37" s="26"/>
    </row>
    <row r="38" spans="1:11" x14ac:dyDescent="0.2">
      <c r="B38" s="197"/>
    </row>
    <row r="39" spans="1:11" x14ac:dyDescent="0.2">
      <c r="B39" s="197"/>
    </row>
    <row r="40" spans="1:11" x14ac:dyDescent="0.2">
      <c r="B40" s="197"/>
    </row>
    <row r="41" spans="1:11" x14ac:dyDescent="0.2">
      <c r="B41" s="197"/>
    </row>
    <row r="42" spans="1:11" x14ac:dyDescent="0.2">
      <c r="B42" s="197"/>
    </row>
    <row r="43" spans="1:11" x14ac:dyDescent="0.2">
      <c r="B43" s="197"/>
    </row>
    <row r="44" spans="1:11" x14ac:dyDescent="0.2">
      <c r="B44" s="197"/>
    </row>
    <row r="45" spans="1:11" x14ac:dyDescent="0.2">
      <c r="B45" s="197"/>
    </row>
  </sheetData>
  <sheetProtection sheet="1" objects="1" scenarios="1"/>
  <mergeCells count="6">
    <mergeCell ref="H31:K31"/>
    <mergeCell ref="I5:J5"/>
    <mergeCell ref="A5:B5"/>
    <mergeCell ref="C5:D5"/>
    <mergeCell ref="E5:F5"/>
    <mergeCell ref="G5:H5"/>
  </mergeCells>
  <phoneticPr fontId="7" type="noConversion"/>
  <pageMargins left="0.75" right="0.75" top="1" bottom="1" header="0.5" footer="0.5"/>
  <pageSetup scale="81" orientation="landscape" blackAndWhite="1" r:id="rId1"/>
  <headerFooter alignWithMargins="0">
    <oddHeader>&amp;RState of Kansas
County</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CDBD8-DF50-4391-A144-89C0C42342D0}">
  <sheetPr codeName="Sheet34"/>
  <dimension ref="A1:K49"/>
  <sheetViews>
    <sheetView zoomScale="80" zoomScaleNormal="80" workbookViewId="0">
      <selection activeCell="B15" sqref="B15"/>
    </sheetView>
  </sheetViews>
  <sheetFormatPr defaultRowHeight="15.75" x14ac:dyDescent="0.25"/>
  <cols>
    <col min="1" max="1" width="17.21875" style="445" customWidth="1"/>
    <col min="2" max="2" width="16.109375" style="445" customWidth="1"/>
    <col min="3" max="7" width="8.88671875" style="445"/>
    <col min="8" max="8" width="12.6640625" style="446" customWidth="1"/>
    <col min="9" max="9" width="12.44140625" style="446" customWidth="1"/>
    <col min="10" max="11" width="8.88671875" style="446"/>
    <col min="12" max="16384" width="8.88671875" style="445"/>
  </cols>
  <sheetData>
    <row r="1" spans="1:11" x14ac:dyDescent="0.25">
      <c r="A1" s="576" t="s">
        <v>434</v>
      </c>
      <c r="B1" s="576"/>
      <c r="C1" s="576"/>
      <c r="D1" s="576"/>
      <c r="E1" s="576"/>
      <c r="F1" s="576"/>
      <c r="H1" s="577" t="s">
        <v>435</v>
      </c>
      <c r="I1" s="577"/>
      <c r="J1" s="577"/>
      <c r="K1" s="577"/>
    </row>
    <row r="2" spans="1:11" x14ac:dyDescent="0.25">
      <c r="A2" s="576"/>
      <c r="B2" s="576"/>
      <c r="C2" s="576"/>
      <c r="D2" s="576"/>
      <c r="E2" s="576"/>
      <c r="F2" s="576"/>
      <c r="H2" s="577"/>
      <c r="I2" s="577"/>
      <c r="J2" s="577"/>
      <c r="K2" s="577"/>
    </row>
    <row r="3" spans="1:11" ht="18" customHeight="1" x14ac:dyDescent="0.25">
      <c r="A3" s="578" t="s">
        <v>436</v>
      </c>
      <c r="B3" s="578"/>
      <c r="C3" s="578"/>
      <c r="D3" s="578"/>
      <c r="E3" s="578"/>
      <c r="F3" s="578"/>
      <c r="H3" s="295" t="s">
        <v>437</v>
      </c>
      <c r="I3" s="579" t="s">
        <v>438</v>
      </c>
      <c r="J3" s="580"/>
      <c r="K3" s="581"/>
    </row>
    <row r="4" spans="1:11" ht="18" customHeight="1" x14ac:dyDescent="0.25">
      <c r="A4" s="578"/>
      <c r="B4" s="578"/>
      <c r="C4" s="578"/>
      <c r="D4" s="578"/>
      <c r="E4" s="578"/>
      <c r="F4" s="578"/>
      <c r="H4" s="295"/>
      <c r="I4" s="295"/>
    </row>
    <row r="5" spans="1:11" ht="18" customHeight="1" x14ac:dyDescent="0.25">
      <c r="A5" s="578"/>
      <c r="B5" s="578"/>
      <c r="C5" s="578"/>
      <c r="D5" s="578"/>
      <c r="E5" s="578"/>
      <c r="F5" s="578"/>
      <c r="H5" s="295" t="s">
        <v>255</v>
      </c>
      <c r="I5" s="579" t="s">
        <v>439</v>
      </c>
      <c r="J5" s="580"/>
      <c r="K5" s="581"/>
    </row>
    <row r="6" spans="1:11" ht="18" customHeight="1" x14ac:dyDescent="0.25">
      <c r="A6" s="578"/>
      <c r="B6" s="578"/>
      <c r="C6" s="578"/>
      <c r="D6" s="578"/>
      <c r="E6" s="578"/>
      <c r="F6" s="578"/>
      <c r="H6" s="295"/>
      <c r="I6" s="295"/>
    </row>
    <row r="7" spans="1:11" ht="18" customHeight="1" x14ac:dyDescent="0.25">
      <c r="A7" s="578"/>
      <c r="B7" s="578"/>
      <c r="C7" s="578"/>
      <c r="D7" s="578"/>
      <c r="E7" s="578"/>
      <c r="F7" s="578"/>
      <c r="H7" s="295" t="s">
        <v>256</v>
      </c>
      <c r="I7" s="579" t="s">
        <v>259</v>
      </c>
      <c r="J7" s="580"/>
      <c r="K7" s="581"/>
    </row>
    <row r="8" spans="1:11" ht="18" customHeight="1" x14ac:dyDescent="0.25">
      <c r="A8" s="578"/>
      <c r="B8" s="578"/>
      <c r="C8" s="578"/>
      <c r="D8" s="578"/>
      <c r="E8" s="578"/>
      <c r="F8" s="578"/>
      <c r="H8" s="295"/>
      <c r="I8" s="295"/>
    </row>
    <row r="9" spans="1:11" ht="18" customHeight="1" x14ac:dyDescent="0.25">
      <c r="A9" s="578"/>
      <c r="B9" s="578"/>
      <c r="C9" s="578"/>
      <c r="D9" s="578"/>
      <c r="E9" s="578"/>
      <c r="F9" s="578"/>
      <c r="H9" s="295" t="s">
        <v>257</v>
      </c>
      <c r="I9" s="579" t="s">
        <v>440</v>
      </c>
      <c r="J9" s="580"/>
      <c r="K9" s="581"/>
    </row>
    <row r="10" spans="1:11" ht="18" customHeight="1" x14ac:dyDescent="0.25">
      <c r="A10" s="578"/>
      <c r="B10" s="578"/>
      <c r="C10" s="578"/>
      <c r="D10" s="578"/>
      <c r="E10" s="578"/>
      <c r="F10" s="578"/>
      <c r="H10" s="295"/>
      <c r="I10" s="295"/>
    </row>
    <row r="11" spans="1:11" ht="18" customHeight="1" x14ac:dyDescent="0.25">
      <c r="A11" s="578"/>
      <c r="B11" s="578"/>
      <c r="C11" s="578"/>
      <c r="D11" s="578"/>
      <c r="E11" s="578"/>
      <c r="F11" s="578"/>
      <c r="H11" s="295" t="s">
        <v>258</v>
      </c>
      <c r="I11" s="579" t="s">
        <v>440</v>
      </c>
      <c r="J11" s="580"/>
      <c r="K11" s="581"/>
    </row>
    <row r="12" spans="1:11" ht="18" customHeight="1" x14ac:dyDescent="0.25">
      <c r="A12" s="578"/>
      <c r="B12" s="578"/>
      <c r="C12" s="578"/>
      <c r="D12" s="578"/>
      <c r="E12" s="578"/>
      <c r="F12" s="578"/>
    </row>
    <row r="13" spans="1:11" ht="20.25" x14ac:dyDescent="0.25">
      <c r="A13" s="577" t="s">
        <v>441</v>
      </c>
      <c r="B13" s="577"/>
      <c r="C13" s="577"/>
      <c r="D13" s="577"/>
      <c r="E13" s="577"/>
      <c r="F13" s="577"/>
      <c r="G13" s="577"/>
      <c r="H13" s="577"/>
      <c r="I13" s="577"/>
      <c r="J13" s="577"/>
      <c r="K13" s="577"/>
    </row>
    <row r="14" spans="1:11" x14ac:dyDescent="0.25">
      <c r="A14" s="447" t="s">
        <v>442</v>
      </c>
      <c r="B14" s="579"/>
      <c r="C14" s="580"/>
      <c r="D14" s="580"/>
      <c r="E14" s="581"/>
      <c r="H14" s="582" t="s">
        <v>443</v>
      </c>
      <c r="I14" s="582"/>
      <c r="J14" s="582"/>
      <c r="K14" s="582"/>
    </row>
    <row r="15" spans="1:11" x14ac:dyDescent="0.25">
      <c r="A15" s="447"/>
      <c r="B15" s="448"/>
      <c r="C15" s="449"/>
      <c r="D15" s="449"/>
      <c r="E15" s="449"/>
      <c r="H15" s="582"/>
      <c r="I15" s="582"/>
      <c r="J15" s="582"/>
      <c r="K15" s="582"/>
    </row>
    <row r="16" spans="1:11" x14ac:dyDescent="0.25">
      <c r="A16" s="447" t="s">
        <v>437</v>
      </c>
      <c r="B16" s="579"/>
      <c r="C16" s="580"/>
      <c r="D16" s="580"/>
      <c r="E16" s="581"/>
      <c r="H16" s="582"/>
      <c r="I16" s="582"/>
      <c r="J16" s="582"/>
      <c r="K16" s="582"/>
    </row>
    <row r="17" spans="1:11" x14ac:dyDescent="0.25">
      <c r="A17" s="450"/>
      <c r="B17" s="449"/>
      <c r="C17" s="449"/>
      <c r="D17" s="449"/>
      <c r="E17" s="449"/>
      <c r="H17" s="582"/>
      <c r="I17" s="582"/>
      <c r="J17" s="582"/>
      <c r="K17" s="582"/>
    </row>
    <row r="18" spans="1:11" x14ac:dyDescent="0.25">
      <c r="A18" s="451" t="s">
        <v>255</v>
      </c>
      <c r="B18" s="579"/>
      <c r="C18" s="580"/>
      <c r="D18" s="580"/>
      <c r="E18" s="581"/>
      <c r="H18" s="582"/>
      <c r="I18" s="582"/>
      <c r="J18" s="582"/>
      <c r="K18" s="582"/>
    </row>
    <row r="19" spans="1:11" x14ac:dyDescent="0.25">
      <c r="A19" s="452" t="s">
        <v>444</v>
      </c>
      <c r="B19" s="449"/>
      <c r="C19" s="449"/>
      <c r="D19" s="295"/>
      <c r="E19" s="449"/>
      <c r="H19" s="582"/>
      <c r="I19" s="582"/>
      <c r="J19" s="582"/>
      <c r="K19" s="582"/>
    </row>
    <row r="20" spans="1:11" x14ac:dyDescent="0.25">
      <c r="A20" s="451" t="s">
        <v>256</v>
      </c>
      <c r="B20" s="579"/>
      <c r="C20" s="580"/>
      <c r="D20" s="580"/>
      <c r="E20" s="581"/>
      <c r="H20" s="582"/>
      <c r="I20" s="582"/>
      <c r="J20" s="582"/>
      <c r="K20" s="582"/>
    </row>
    <row r="21" spans="1:11" x14ac:dyDescent="0.25">
      <c r="A21" s="451"/>
      <c r="B21" s="295"/>
      <c r="C21" s="295"/>
      <c r="D21" s="295"/>
      <c r="E21" s="449"/>
      <c r="H21" s="582"/>
      <c r="I21" s="582"/>
      <c r="J21" s="582"/>
      <c r="K21" s="582"/>
    </row>
    <row r="22" spans="1:11" x14ac:dyDescent="0.25">
      <c r="A22" s="451" t="s">
        <v>257</v>
      </c>
      <c r="B22" s="583"/>
      <c r="C22" s="584"/>
      <c r="D22" s="584"/>
      <c r="E22" s="585"/>
      <c r="H22" s="582"/>
      <c r="I22" s="582"/>
      <c r="J22" s="582"/>
      <c r="K22" s="582"/>
    </row>
    <row r="23" spans="1:11" x14ac:dyDescent="0.25">
      <c r="A23" s="451"/>
      <c r="B23" s="295"/>
      <c r="C23" s="295"/>
      <c r="D23" s="295"/>
      <c r="E23" s="449"/>
      <c r="H23" s="582"/>
      <c r="I23" s="582"/>
      <c r="J23" s="582"/>
      <c r="K23" s="582"/>
    </row>
    <row r="24" spans="1:11" x14ac:dyDescent="0.25">
      <c r="A24" s="451" t="s">
        <v>445</v>
      </c>
      <c r="B24" s="583"/>
      <c r="C24" s="584"/>
      <c r="D24" s="584"/>
      <c r="E24" s="585"/>
      <c r="H24" s="582"/>
      <c r="I24" s="582"/>
      <c r="J24" s="582"/>
      <c r="K24" s="582"/>
    </row>
    <row r="27" spans="1:11" ht="20.25" x14ac:dyDescent="0.25">
      <c r="A27" s="577" t="s">
        <v>446</v>
      </c>
      <c r="B27" s="577"/>
      <c r="C27" s="577"/>
      <c r="D27" s="577"/>
      <c r="E27" s="577"/>
      <c r="F27" s="577"/>
      <c r="G27" s="577"/>
      <c r="H27" s="577"/>
      <c r="I27" s="577"/>
      <c r="J27" s="577"/>
      <c r="K27" s="577"/>
    </row>
    <row r="28" spans="1:11" x14ac:dyDescent="0.25">
      <c r="A28" s="447" t="s">
        <v>442</v>
      </c>
      <c r="B28" s="579"/>
      <c r="C28" s="580"/>
      <c r="D28" s="580"/>
      <c r="E28" s="581"/>
      <c r="H28" s="582" t="s">
        <v>447</v>
      </c>
      <c r="I28" s="582"/>
      <c r="J28" s="582"/>
      <c r="K28" s="582"/>
    </row>
    <row r="29" spans="1:11" x14ac:dyDescent="0.25">
      <c r="A29" s="447"/>
      <c r="B29" s="448"/>
      <c r="H29" s="582"/>
      <c r="I29" s="582"/>
      <c r="J29" s="582"/>
      <c r="K29" s="582"/>
    </row>
    <row r="30" spans="1:11" x14ac:dyDescent="0.25">
      <c r="A30" s="447" t="s">
        <v>437</v>
      </c>
      <c r="B30" s="579"/>
      <c r="C30" s="580"/>
      <c r="D30" s="580"/>
      <c r="E30" s="581"/>
      <c r="H30" s="582"/>
      <c r="I30" s="582"/>
      <c r="J30" s="582"/>
      <c r="K30" s="582"/>
    </row>
    <row r="31" spans="1:11" x14ac:dyDescent="0.25">
      <c r="A31" s="450"/>
      <c r="H31" s="582"/>
      <c r="I31" s="582"/>
      <c r="J31" s="582"/>
      <c r="K31" s="582"/>
    </row>
    <row r="32" spans="1:11" x14ac:dyDescent="0.25">
      <c r="A32" s="451" t="s">
        <v>255</v>
      </c>
      <c r="B32" s="579"/>
      <c r="C32" s="580"/>
      <c r="D32" s="580"/>
      <c r="E32" s="581"/>
      <c r="H32" s="582"/>
      <c r="I32" s="582"/>
      <c r="J32" s="582"/>
      <c r="K32" s="582"/>
    </row>
    <row r="33" spans="1:11" x14ac:dyDescent="0.25">
      <c r="A33" s="452" t="s">
        <v>444</v>
      </c>
      <c r="D33" s="295"/>
      <c r="H33" s="582"/>
      <c r="I33" s="582"/>
      <c r="J33" s="582"/>
      <c r="K33" s="582"/>
    </row>
    <row r="34" spans="1:11" x14ac:dyDescent="0.25">
      <c r="A34" s="451" t="s">
        <v>256</v>
      </c>
      <c r="B34" s="579"/>
      <c r="C34" s="580"/>
      <c r="D34" s="580"/>
      <c r="E34" s="581"/>
      <c r="H34" s="582"/>
      <c r="I34" s="582"/>
      <c r="J34" s="582"/>
      <c r="K34" s="582"/>
    </row>
    <row r="35" spans="1:11" x14ac:dyDescent="0.25">
      <c r="A35" s="451"/>
      <c r="B35" s="295"/>
      <c r="C35" s="295"/>
      <c r="D35" s="295"/>
      <c r="H35" s="582"/>
      <c r="I35" s="582"/>
      <c r="J35" s="582"/>
      <c r="K35" s="582"/>
    </row>
    <row r="36" spans="1:11" x14ac:dyDescent="0.25">
      <c r="A36" s="451" t="s">
        <v>257</v>
      </c>
      <c r="B36" s="583"/>
      <c r="C36" s="584"/>
      <c r="D36" s="584"/>
      <c r="E36" s="585"/>
      <c r="H36" s="582"/>
      <c r="I36" s="582"/>
      <c r="J36" s="582"/>
      <c r="K36" s="582"/>
    </row>
    <row r="37" spans="1:11" x14ac:dyDescent="0.25">
      <c r="A37" s="451"/>
      <c r="B37" s="295"/>
      <c r="C37" s="295"/>
      <c r="D37" s="295"/>
      <c r="H37" s="582"/>
      <c r="I37" s="582"/>
      <c r="J37" s="582"/>
      <c r="K37" s="582"/>
    </row>
    <row r="38" spans="1:11" x14ac:dyDescent="0.25">
      <c r="A38" s="451" t="s">
        <v>445</v>
      </c>
      <c r="B38" s="583"/>
      <c r="C38" s="584"/>
      <c r="D38" s="584"/>
      <c r="E38" s="585"/>
      <c r="H38" s="582"/>
      <c r="I38" s="582"/>
      <c r="J38" s="582"/>
      <c r="K38" s="582"/>
    </row>
    <row r="39" spans="1:11" x14ac:dyDescent="0.25">
      <c r="H39" s="582"/>
      <c r="I39" s="582"/>
      <c r="J39" s="582"/>
      <c r="K39" s="582"/>
    </row>
    <row r="41" spans="1:11" ht="20.25" x14ac:dyDescent="0.25">
      <c r="A41" s="577" t="s">
        <v>448</v>
      </c>
      <c r="B41" s="577"/>
      <c r="C41" s="577"/>
      <c r="D41" s="577"/>
      <c r="E41" s="577"/>
      <c r="F41" s="577"/>
      <c r="G41" s="577"/>
      <c r="H41" s="577"/>
      <c r="I41" s="577"/>
      <c r="J41" s="577"/>
      <c r="K41" s="577"/>
    </row>
    <row r="42" spans="1:11" x14ac:dyDescent="0.25">
      <c r="A42" s="451" t="s">
        <v>255</v>
      </c>
      <c r="B42" s="579"/>
      <c r="C42" s="580"/>
      <c r="D42" s="580"/>
      <c r="E42" s="581"/>
      <c r="H42" s="582" t="s">
        <v>449</v>
      </c>
      <c r="I42" s="582"/>
      <c r="J42" s="582"/>
      <c r="K42" s="582"/>
    </row>
    <row r="43" spans="1:11" x14ac:dyDescent="0.25">
      <c r="A43" s="452" t="s">
        <v>444</v>
      </c>
      <c r="B43" s="449"/>
      <c r="C43" s="449"/>
      <c r="D43" s="295"/>
      <c r="E43" s="449"/>
      <c r="H43" s="582"/>
      <c r="I43" s="582"/>
      <c r="J43" s="582"/>
      <c r="K43" s="582"/>
    </row>
    <row r="44" spans="1:11" x14ac:dyDescent="0.25">
      <c r="A44" s="451" t="s">
        <v>256</v>
      </c>
      <c r="B44" s="579"/>
      <c r="C44" s="580"/>
      <c r="D44" s="580"/>
      <c r="E44" s="581"/>
      <c r="H44" s="582"/>
      <c r="I44" s="582"/>
      <c r="J44" s="582"/>
      <c r="K44" s="582"/>
    </row>
    <row r="45" spans="1:11" x14ac:dyDescent="0.25">
      <c r="A45" s="451"/>
      <c r="B45" s="295"/>
      <c r="C45" s="295"/>
      <c r="D45" s="295"/>
      <c r="E45" s="449"/>
      <c r="H45" s="582"/>
      <c r="I45" s="582"/>
      <c r="J45" s="582"/>
      <c r="K45" s="582"/>
    </row>
    <row r="46" spans="1:11" x14ac:dyDescent="0.25">
      <c r="A46" s="451" t="s">
        <v>257</v>
      </c>
      <c r="B46" s="583"/>
      <c r="C46" s="584"/>
      <c r="D46" s="584"/>
      <c r="E46" s="585"/>
      <c r="H46" s="582"/>
      <c r="I46" s="582"/>
      <c r="J46" s="582"/>
      <c r="K46" s="582"/>
    </row>
    <row r="47" spans="1:11" x14ac:dyDescent="0.25">
      <c r="H47" s="582"/>
      <c r="I47" s="582"/>
      <c r="J47" s="582"/>
      <c r="K47" s="582"/>
    </row>
    <row r="48" spans="1:11" x14ac:dyDescent="0.25">
      <c r="H48" s="582"/>
      <c r="I48" s="582"/>
      <c r="J48" s="582"/>
      <c r="K48" s="582"/>
    </row>
    <row r="49" spans="8:11" x14ac:dyDescent="0.25">
      <c r="H49" s="582"/>
      <c r="I49" s="582"/>
      <c r="J49" s="582"/>
      <c r="K49" s="582"/>
    </row>
  </sheetData>
  <sheetProtection sheet="1"/>
  <mergeCells count="29">
    <mergeCell ref="A41:K41"/>
    <mergeCell ref="B42:E42"/>
    <mergeCell ref="H42:K49"/>
    <mergeCell ref="B44:E44"/>
    <mergeCell ref="B46:E46"/>
    <mergeCell ref="A27:K27"/>
    <mergeCell ref="B28:E28"/>
    <mergeCell ref="H28:K39"/>
    <mergeCell ref="B30:E30"/>
    <mergeCell ref="B32:E32"/>
    <mergeCell ref="B34:E34"/>
    <mergeCell ref="B36:E36"/>
    <mergeCell ref="B38:E38"/>
    <mergeCell ref="A13:K13"/>
    <mergeCell ref="B14:E14"/>
    <mergeCell ref="H14:K24"/>
    <mergeCell ref="B16:E16"/>
    <mergeCell ref="B18:E18"/>
    <mergeCell ref="B20:E20"/>
    <mergeCell ref="B22:E22"/>
    <mergeCell ref="B24:E24"/>
    <mergeCell ref="A1:F2"/>
    <mergeCell ref="H1:K2"/>
    <mergeCell ref="A3:F12"/>
    <mergeCell ref="I3:K3"/>
    <mergeCell ref="I5:K5"/>
    <mergeCell ref="I7:K7"/>
    <mergeCell ref="I9:K9"/>
    <mergeCell ref="I11:K11"/>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2">
    <tabColor rgb="FF00B0F0"/>
    <pageSetUpPr fitToPage="1"/>
  </sheetPr>
  <dimension ref="A1:L45"/>
  <sheetViews>
    <sheetView workbookViewId="0">
      <selection activeCell="B15" sqref="B15"/>
    </sheetView>
  </sheetViews>
  <sheetFormatPr defaultRowHeight="15.75" x14ac:dyDescent="0.2"/>
  <cols>
    <col min="1" max="1" width="11.5546875" style="23" customWidth="1"/>
    <col min="2" max="2" width="7.44140625" style="23" customWidth="1"/>
    <col min="3" max="3" width="11.5546875" style="23" customWidth="1"/>
    <col min="4" max="4" width="7.44140625" style="23" customWidth="1"/>
    <col min="5" max="5" width="11.5546875" style="23" customWidth="1"/>
    <col min="6" max="6" width="7.44140625" style="23" customWidth="1"/>
    <col min="7" max="7" width="11.5546875" style="23" customWidth="1"/>
    <col min="8" max="8" width="7.44140625" style="23" customWidth="1"/>
    <col min="9" max="9" width="11.5546875" style="23" customWidth="1"/>
    <col min="10" max="16384" width="8.88671875" style="23"/>
  </cols>
  <sheetData>
    <row r="1" spans="1:11" x14ac:dyDescent="0.2">
      <c r="A1" s="57">
        <f>inputPrYr!$C$3</f>
        <v>0</v>
      </c>
      <c r="B1" s="31"/>
      <c r="C1" s="26"/>
      <c r="D1" s="26"/>
      <c r="E1" s="26"/>
      <c r="F1" s="89" t="s">
        <v>24</v>
      </c>
      <c r="G1" s="26"/>
      <c r="H1" s="26"/>
      <c r="I1" s="26"/>
      <c r="J1" s="26"/>
      <c r="K1" s="26">
        <f>inputPrYr!$C$5</f>
        <v>2025</v>
      </c>
    </row>
    <row r="2" spans="1:11" x14ac:dyDescent="0.2">
      <c r="A2" s="26"/>
      <c r="B2" s="26"/>
      <c r="C2" s="26"/>
      <c r="D2" s="26"/>
      <c r="E2" s="26"/>
      <c r="F2" s="176" t="str">
        <f>CONCATENATE("(Only the actual budget year for ",K1-2," is reported)")</f>
        <v>(Only the actual budget year for 2023 is reported)</v>
      </c>
      <c r="G2" s="26"/>
      <c r="H2" s="26"/>
      <c r="I2" s="26"/>
      <c r="J2" s="26"/>
      <c r="K2" s="26"/>
    </row>
    <row r="3" spans="1:11" x14ac:dyDescent="0.2">
      <c r="A3" s="26" t="s">
        <v>25</v>
      </c>
      <c r="B3" s="26"/>
      <c r="C3" s="26"/>
      <c r="D3" s="26"/>
      <c r="E3" s="26"/>
      <c r="F3" s="31"/>
      <c r="G3" s="26"/>
      <c r="H3" s="26"/>
      <c r="I3" s="26"/>
      <c r="J3" s="26"/>
      <c r="K3" s="26"/>
    </row>
    <row r="4" spans="1:11" x14ac:dyDescent="0.2">
      <c r="A4" s="26" t="s">
        <v>13</v>
      </c>
      <c r="B4" s="26"/>
      <c r="C4" s="26" t="s">
        <v>14</v>
      </c>
      <c r="D4" s="26"/>
      <c r="E4" s="26" t="s">
        <v>15</v>
      </c>
      <c r="F4" s="31"/>
      <c r="G4" s="26" t="s">
        <v>16</v>
      </c>
      <c r="H4" s="26"/>
      <c r="I4" s="26" t="s">
        <v>17</v>
      </c>
      <c r="J4" s="26"/>
      <c r="K4" s="26"/>
    </row>
    <row r="5" spans="1:11" x14ac:dyDescent="0.2">
      <c r="A5" s="670" t="str">
        <f>IF(inputPrYr!B81&gt;" ",(inputPrYr!B81)," ")</f>
        <v xml:space="preserve"> </v>
      </c>
      <c r="B5" s="671"/>
      <c r="C5" s="670" t="str">
        <f>IF(inputPrYr!B82&gt;" ",(inputPrYr!B82)," ")</f>
        <v xml:space="preserve"> </v>
      </c>
      <c r="D5" s="671"/>
      <c r="E5" s="670" t="str">
        <f>IF(inputPrYr!B83&gt;" ",(inputPrYr!B83)," ")</f>
        <v xml:space="preserve"> </v>
      </c>
      <c r="F5" s="671"/>
      <c r="G5" s="670" t="str">
        <f>IF(inputPrYr!B84&gt;" ",(inputPrYr!B84)," ")</f>
        <v xml:space="preserve"> </v>
      </c>
      <c r="H5" s="671"/>
      <c r="I5" s="670" t="str">
        <f>IF(inputPrYr!B85&gt;" ",(inputPrYr!B85)," ")</f>
        <v xml:space="preserve"> </v>
      </c>
      <c r="J5" s="671"/>
      <c r="K5" s="44"/>
    </row>
    <row r="6" spans="1:11" x14ac:dyDescent="0.2">
      <c r="A6" s="178" t="s">
        <v>18</v>
      </c>
      <c r="B6" s="179"/>
      <c r="C6" s="180" t="s">
        <v>18</v>
      </c>
      <c r="D6" s="181"/>
      <c r="E6" s="180" t="s">
        <v>18</v>
      </c>
      <c r="F6" s="177"/>
      <c r="G6" s="180" t="s">
        <v>18</v>
      </c>
      <c r="H6" s="45"/>
      <c r="I6" s="180" t="s">
        <v>18</v>
      </c>
      <c r="J6" s="26"/>
      <c r="K6" s="96" t="s">
        <v>54</v>
      </c>
    </row>
    <row r="7" spans="1:11" x14ac:dyDescent="0.2">
      <c r="A7" s="182" t="s">
        <v>42</v>
      </c>
      <c r="B7" s="183"/>
      <c r="C7" s="184" t="s">
        <v>42</v>
      </c>
      <c r="D7" s="183"/>
      <c r="E7" s="184" t="s">
        <v>42</v>
      </c>
      <c r="F7" s="183"/>
      <c r="G7" s="184" t="s">
        <v>42</v>
      </c>
      <c r="H7" s="183"/>
      <c r="I7" s="184" t="s">
        <v>42</v>
      </c>
      <c r="J7" s="183"/>
      <c r="K7" s="185">
        <f>SUM(B7+D7+F7+H7+J7)</f>
        <v>0</v>
      </c>
    </row>
    <row r="8" spans="1:11" x14ac:dyDescent="0.2">
      <c r="A8" s="186" t="s">
        <v>197</v>
      </c>
      <c r="B8" s="187"/>
      <c r="C8" s="186" t="s">
        <v>197</v>
      </c>
      <c r="D8" s="188"/>
      <c r="E8" s="186" t="s">
        <v>197</v>
      </c>
      <c r="F8" s="31"/>
      <c r="G8" s="186" t="s">
        <v>197</v>
      </c>
      <c r="H8" s="26"/>
      <c r="I8" s="186" t="s">
        <v>197</v>
      </c>
      <c r="J8" s="26"/>
      <c r="K8" s="31"/>
    </row>
    <row r="9" spans="1:11" x14ac:dyDescent="0.2">
      <c r="A9" s="189"/>
      <c r="B9" s="183"/>
      <c r="C9" s="189"/>
      <c r="D9" s="183"/>
      <c r="E9" s="189"/>
      <c r="F9" s="183"/>
      <c r="G9" s="189"/>
      <c r="H9" s="183"/>
      <c r="I9" s="189"/>
      <c r="J9" s="183"/>
      <c r="K9" s="31"/>
    </row>
    <row r="10" spans="1:11" x14ac:dyDescent="0.2">
      <c r="A10" s="189"/>
      <c r="B10" s="183"/>
      <c r="C10" s="189"/>
      <c r="D10" s="183"/>
      <c r="E10" s="189"/>
      <c r="F10" s="183"/>
      <c r="G10" s="189"/>
      <c r="H10" s="183"/>
      <c r="I10" s="189"/>
      <c r="J10" s="183"/>
      <c r="K10" s="31"/>
    </row>
    <row r="11" spans="1:11" x14ac:dyDescent="0.2">
      <c r="A11" s="189"/>
      <c r="B11" s="183"/>
      <c r="C11" s="190"/>
      <c r="D11" s="183"/>
      <c r="E11" s="190"/>
      <c r="F11" s="183"/>
      <c r="G11" s="190"/>
      <c r="H11" s="183"/>
      <c r="I11" s="191"/>
      <c r="J11" s="183"/>
      <c r="K11" s="31"/>
    </row>
    <row r="12" spans="1:11" x14ac:dyDescent="0.2">
      <c r="A12" s="189"/>
      <c r="B12" s="183"/>
      <c r="C12" s="189"/>
      <c r="D12" s="183"/>
      <c r="E12" s="192"/>
      <c r="F12" s="183"/>
      <c r="G12" s="192"/>
      <c r="H12" s="183"/>
      <c r="I12" s="192"/>
      <c r="J12" s="183"/>
      <c r="K12" s="31"/>
    </row>
    <row r="13" spans="1:11" x14ac:dyDescent="0.2">
      <c r="A13" s="193"/>
      <c r="B13" s="183"/>
      <c r="C13" s="194"/>
      <c r="D13" s="183"/>
      <c r="E13" s="194"/>
      <c r="F13" s="183"/>
      <c r="G13" s="194"/>
      <c r="H13" s="183"/>
      <c r="I13" s="191"/>
      <c r="J13" s="183"/>
      <c r="K13" s="31"/>
    </row>
    <row r="14" spans="1:11" x14ac:dyDescent="0.2">
      <c r="A14" s="189"/>
      <c r="B14" s="183"/>
      <c r="C14" s="192"/>
      <c r="D14" s="183"/>
      <c r="E14" s="192"/>
      <c r="F14" s="183"/>
      <c r="G14" s="192"/>
      <c r="H14" s="183"/>
      <c r="I14" s="192"/>
      <c r="J14" s="183"/>
      <c r="K14" s="31"/>
    </row>
    <row r="15" spans="1:11" x14ac:dyDescent="0.2">
      <c r="A15" s="189"/>
      <c r="B15" s="183"/>
      <c r="C15" s="192"/>
      <c r="D15" s="183"/>
      <c r="E15" s="192"/>
      <c r="F15" s="183"/>
      <c r="G15" s="192"/>
      <c r="H15" s="183"/>
      <c r="I15" s="192"/>
      <c r="J15" s="183"/>
      <c r="K15" s="31"/>
    </row>
    <row r="16" spans="1:11" x14ac:dyDescent="0.2">
      <c r="A16" s="189"/>
      <c r="B16" s="183"/>
      <c r="C16" s="189"/>
      <c r="D16" s="183"/>
      <c r="E16" s="189"/>
      <c r="F16" s="183"/>
      <c r="G16" s="192"/>
      <c r="H16" s="183"/>
      <c r="I16" s="189"/>
      <c r="J16" s="183"/>
      <c r="K16" s="31"/>
    </row>
    <row r="17" spans="1:12" x14ac:dyDescent="0.2">
      <c r="A17" s="186" t="s">
        <v>89</v>
      </c>
      <c r="B17" s="185">
        <f>SUM(B9:B16)</f>
        <v>0</v>
      </c>
      <c r="C17" s="186" t="s">
        <v>89</v>
      </c>
      <c r="D17" s="185">
        <f>SUM(D9:D16)</f>
        <v>0</v>
      </c>
      <c r="E17" s="186" t="s">
        <v>89</v>
      </c>
      <c r="F17" s="225">
        <f>SUM(F9:F16)</f>
        <v>0</v>
      </c>
      <c r="G17" s="186" t="s">
        <v>89</v>
      </c>
      <c r="H17" s="185">
        <f>SUM(H9:H16)</f>
        <v>0</v>
      </c>
      <c r="I17" s="186" t="s">
        <v>89</v>
      </c>
      <c r="J17" s="185">
        <f>SUM(J9:J16)</f>
        <v>0</v>
      </c>
      <c r="K17" s="185">
        <f>SUM(B17+D17+F17+H17+J17)</f>
        <v>0</v>
      </c>
    </row>
    <row r="18" spans="1:12" x14ac:dyDescent="0.2">
      <c r="A18" s="186" t="s">
        <v>90</v>
      </c>
      <c r="B18" s="185">
        <f>SUM(B7+B17)</f>
        <v>0</v>
      </c>
      <c r="C18" s="186" t="s">
        <v>90</v>
      </c>
      <c r="D18" s="185">
        <f>SUM(D7+D17)</f>
        <v>0</v>
      </c>
      <c r="E18" s="186" t="s">
        <v>90</v>
      </c>
      <c r="F18" s="185">
        <f>SUM(F7+F17)</f>
        <v>0</v>
      </c>
      <c r="G18" s="186" t="s">
        <v>90</v>
      </c>
      <c r="H18" s="185">
        <f>SUM(H7+H17)</f>
        <v>0</v>
      </c>
      <c r="I18" s="186" t="s">
        <v>90</v>
      </c>
      <c r="J18" s="185">
        <f>SUM(J7+J17)</f>
        <v>0</v>
      </c>
      <c r="K18" s="185">
        <f>SUM(B18+D18+F18+H18+J18)</f>
        <v>0</v>
      </c>
    </row>
    <row r="19" spans="1:12" x14ac:dyDescent="0.2">
      <c r="A19" s="186" t="s">
        <v>93</v>
      </c>
      <c r="B19" s="187"/>
      <c r="C19" s="186" t="s">
        <v>93</v>
      </c>
      <c r="D19" s="188"/>
      <c r="E19" s="186" t="s">
        <v>93</v>
      </c>
      <c r="F19" s="31"/>
      <c r="G19" s="186" t="s">
        <v>93</v>
      </c>
      <c r="H19" s="26"/>
      <c r="I19" s="186" t="s">
        <v>93</v>
      </c>
      <c r="J19" s="26"/>
      <c r="K19" s="31"/>
    </row>
    <row r="20" spans="1:12" x14ac:dyDescent="0.2">
      <c r="A20" s="189"/>
      <c r="B20" s="183"/>
      <c r="C20" s="192"/>
      <c r="D20" s="183"/>
      <c r="E20" s="192"/>
      <c r="F20" s="183"/>
      <c r="G20" s="192"/>
      <c r="H20" s="183"/>
      <c r="I20" s="192"/>
      <c r="J20" s="183"/>
      <c r="K20" s="31"/>
    </row>
    <row r="21" spans="1:12" x14ac:dyDescent="0.2">
      <c r="A21" s="189"/>
      <c r="B21" s="183"/>
      <c r="C21" s="192"/>
      <c r="D21" s="183"/>
      <c r="E21" s="192"/>
      <c r="F21" s="183"/>
      <c r="G21" s="192"/>
      <c r="H21" s="183"/>
      <c r="I21" s="192"/>
      <c r="J21" s="183"/>
      <c r="K21" s="31"/>
    </row>
    <row r="22" spans="1:12" x14ac:dyDescent="0.2">
      <c r="A22" s="189"/>
      <c r="B22" s="183"/>
      <c r="C22" s="194"/>
      <c r="D22" s="183"/>
      <c r="E22" s="194"/>
      <c r="F22" s="183"/>
      <c r="G22" s="194"/>
      <c r="H22" s="183"/>
      <c r="I22" s="191"/>
      <c r="J22" s="183"/>
      <c r="K22" s="31"/>
    </row>
    <row r="23" spans="1:12" x14ac:dyDescent="0.2">
      <c r="A23" s="189"/>
      <c r="B23" s="183"/>
      <c r="C23" s="192"/>
      <c r="D23" s="183"/>
      <c r="E23" s="192"/>
      <c r="F23" s="183"/>
      <c r="G23" s="192"/>
      <c r="H23" s="183"/>
      <c r="I23" s="192"/>
      <c r="J23" s="183"/>
      <c r="K23" s="31"/>
    </row>
    <row r="24" spans="1:12" x14ac:dyDescent="0.2">
      <c r="A24" s="189"/>
      <c r="B24" s="183"/>
      <c r="C24" s="194"/>
      <c r="D24" s="183"/>
      <c r="E24" s="194"/>
      <c r="F24" s="183"/>
      <c r="G24" s="194"/>
      <c r="H24" s="183"/>
      <c r="I24" s="191"/>
      <c r="J24" s="183"/>
      <c r="K24" s="31"/>
    </row>
    <row r="25" spans="1:12" x14ac:dyDescent="0.2">
      <c r="A25" s="189"/>
      <c r="B25" s="183"/>
      <c r="C25" s="192"/>
      <c r="D25" s="183"/>
      <c r="E25" s="192"/>
      <c r="F25" s="183"/>
      <c r="G25" s="192"/>
      <c r="H25" s="183"/>
      <c r="I25" s="192"/>
      <c r="J25" s="183"/>
      <c r="K25" s="31"/>
    </row>
    <row r="26" spans="1:12" x14ac:dyDescent="0.2">
      <c r="A26" s="189"/>
      <c r="B26" s="183"/>
      <c r="C26" s="192"/>
      <c r="D26" s="183"/>
      <c r="E26" s="192"/>
      <c r="F26" s="183"/>
      <c r="G26" s="192"/>
      <c r="H26" s="183"/>
      <c r="I26" s="192"/>
      <c r="J26" s="183"/>
      <c r="K26" s="31"/>
    </row>
    <row r="27" spans="1:12" x14ac:dyDescent="0.2">
      <c r="A27" s="189"/>
      <c r="B27" s="183"/>
      <c r="C27" s="189"/>
      <c r="D27" s="183"/>
      <c r="E27" s="189"/>
      <c r="F27" s="183"/>
      <c r="G27" s="192"/>
      <c r="H27" s="183"/>
      <c r="I27" s="192"/>
      <c r="J27" s="183"/>
      <c r="K27" s="31"/>
    </row>
    <row r="28" spans="1:12" x14ac:dyDescent="0.2">
      <c r="A28" s="186" t="s">
        <v>94</v>
      </c>
      <c r="B28" s="185">
        <f>SUM(B20:B27)</f>
        <v>0</v>
      </c>
      <c r="C28" s="186" t="s">
        <v>94</v>
      </c>
      <c r="D28" s="185">
        <f>SUM(D20:D27)</f>
        <v>0</v>
      </c>
      <c r="E28" s="186" t="s">
        <v>94</v>
      </c>
      <c r="F28" s="225">
        <f>SUM(F20:F27)</f>
        <v>0</v>
      </c>
      <c r="G28" s="186" t="s">
        <v>94</v>
      </c>
      <c r="H28" s="225">
        <f>SUM(H20:H27)</f>
        <v>0</v>
      </c>
      <c r="I28" s="186" t="s">
        <v>94</v>
      </c>
      <c r="J28" s="185">
        <f>SUM(J20:J27)</f>
        <v>0</v>
      </c>
      <c r="K28" s="185">
        <f>SUM(B28+D28+F28+H28+J28)</f>
        <v>0</v>
      </c>
    </row>
    <row r="29" spans="1:12" x14ac:dyDescent="0.2">
      <c r="A29" s="186" t="s">
        <v>19</v>
      </c>
      <c r="B29" s="185">
        <f>B18-B28</f>
        <v>0</v>
      </c>
      <c r="C29" s="186" t="s">
        <v>19</v>
      </c>
      <c r="D29" s="185">
        <f>D18-D28</f>
        <v>0</v>
      </c>
      <c r="E29" s="186" t="s">
        <v>19</v>
      </c>
      <c r="F29" s="185">
        <f>F18-F28</f>
        <v>0</v>
      </c>
      <c r="G29" s="186" t="s">
        <v>19</v>
      </c>
      <c r="H29" s="185">
        <f>H18-H28</f>
        <v>0</v>
      </c>
      <c r="I29" s="186" t="s">
        <v>19</v>
      </c>
      <c r="J29" s="185">
        <f>J18-J28</f>
        <v>0</v>
      </c>
      <c r="K29" s="198">
        <f>SUM(B29+D29+F29+H29+J29)</f>
        <v>0</v>
      </c>
      <c r="L29" s="23" t="s">
        <v>31</v>
      </c>
    </row>
    <row r="30" spans="1:12" x14ac:dyDescent="0.2">
      <c r="A30" s="186"/>
      <c r="B30" s="219" t="str">
        <f>IF(B29&lt;0,"See Tab B","")</f>
        <v/>
      </c>
      <c r="C30" s="186"/>
      <c r="D30" s="219" t="str">
        <f>IF(D29&lt;0,"See Tab B","")</f>
        <v/>
      </c>
      <c r="E30" s="186"/>
      <c r="F30" s="219" t="str">
        <f>IF(F29&lt;0,"See Tab B","")</f>
        <v/>
      </c>
      <c r="G30" s="26"/>
      <c r="H30" s="219" t="str">
        <f>IF(H29&lt;0,"See Tab B","")</f>
        <v/>
      </c>
      <c r="I30" s="26"/>
      <c r="J30" s="219" t="str">
        <f>IF(J29&lt;0,"See Tab B","")</f>
        <v/>
      </c>
      <c r="K30" s="196">
        <f>SUM(K7+K17-K28)</f>
        <v>0</v>
      </c>
      <c r="L30" s="23" t="s">
        <v>31</v>
      </c>
    </row>
    <row r="31" spans="1:12" x14ac:dyDescent="0.2">
      <c r="A31" s="26"/>
      <c r="B31" s="49"/>
      <c r="C31" s="26"/>
      <c r="D31" s="31"/>
      <c r="E31" s="26"/>
      <c r="F31" s="26"/>
      <c r="G31" s="26"/>
      <c r="H31" s="669" t="s">
        <v>32</v>
      </c>
      <c r="I31" s="669"/>
      <c r="J31" s="669"/>
      <c r="K31" s="669"/>
    </row>
    <row r="32" spans="1:12" x14ac:dyDescent="0.2">
      <c r="A32" s="26"/>
      <c r="B32" s="49"/>
      <c r="C32" s="26"/>
      <c r="D32" s="26"/>
      <c r="E32" s="26"/>
      <c r="F32" s="26"/>
      <c r="G32" s="26"/>
      <c r="H32" s="26"/>
      <c r="I32" s="26"/>
      <c r="J32" s="26"/>
      <c r="K32" s="26"/>
    </row>
    <row r="33" spans="1:11" x14ac:dyDescent="0.2">
      <c r="A33" s="423" t="s">
        <v>354</v>
      </c>
      <c r="B33" s="420"/>
      <c r="C33" s="394"/>
      <c r="D33" s="394"/>
      <c r="E33" s="394"/>
      <c r="F33" s="394"/>
      <c r="G33" s="394"/>
      <c r="H33" s="394"/>
      <c r="I33" s="394"/>
      <c r="J33" s="394"/>
      <c r="K33" s="397"/>
    </row>
    <row r="34" spans="1:11" x14ac:dyDescent="0.2">
      <c r="A34" s="126"/>
      <c r="B34" s="49"/>
      <c r="C34" s="26"/>
      <c r="D34" s="26"/>
      <c r="E34" s="26"/>
      <c r="F34" s="26"/>
      <c r="G34" s="26"/>
      <c r="H34" s="26"/>
      <c r="I34" s="26"/>
      <c r="J34" s="26"/>
      <c r="K34" s="312"/>
    </row>
    <row r="35" spans="1:11" x14ac:dyDescent="0.2">
      <c r="A35" s="403"/>
      <c r="B35" s="421"/>
      <c r="C35" s="44"/>
      <c r="D35" s="44"/>
      <c r="E35" s="44"/>
      <c r="F35" s="44"/>
      <c r="G35" s="44"/>
      <c r="H35" s="44"/>
      <c r="I35" s="44"/>
      <c r="J35" s="44"/>
      <c r="K35" s="47"/>
    </row>
    <row r="36" spans="1:11" x14ac:dyDescent="0.2">
      <c r="A36" s="26"/>
      <c r="B36" s="49"/>
      <c r="C36" s="26"/>
      <c r="D36" s="26"/>
      <c r="E36" s="26"/>
      <c r="F36" s="26"/>
      <c r="G36" s="26"/>
      <c r="H36" s="26"/>
      <c r="I36" s="26"/>
      <c r="J36" s="26"/>
      <c r="K36" s="26"/>
    </row>
    <row r="37" spans="1:11" x14ac:dyDescent="0.2">
      <c r="A37" s="26"/>
      <c r="B37" s="49"/>
      <c r="C37" s="26"/>
      <c r="D37" s="26"/>
      <c r="E37" s="125" t="s">
        <v>146</v>
      </c>
      <c r="F37" s="368"/>
      <c r="G37" s="26"/>
      <c r="H37" s="26"/>
      <c r="I37" s="26"/>
      <c r="J37" s="26"/>
      <c r="K37" s="26"/>
    </row>
    <row r="38" spans="1:11" x14ac:dyDescent="0.2">
      <c r="B38" s="197"/>
    </row>
    <row r="39" spans="1:11" x14ac:dyDescent="0.2">
      <c r="B39" s="197"/>
    </row>
    <row r="40" spans="1:11" x14ac:dyDescent="0.2">
      <c r="B40" s="197"/>
    </row>
    <row r="41" spans="1:11" x14ac:dyDescent="0.2">
      <c r="B41" s="197"/>
    </row>
    <row r="42" spans="1:11" x14ac:dyDescent="0.2">
      <c r="B42" s="197"/>
    </row>
    <row r="43" spans="1:11" x14ac:dyDescent="0.2">
      <c r="B43" s="197"/>
    </row>
    <row r="44" spans="1:11" x14ac:dyDescent="0.2">
      <c r="B44" s="197"/>
    </row>
    <row r="45" spans="1:11" x14ac:dyDescent="0.2">
      <c r="B45" s="197"/>
    </row>
  </sheetData>
  <sheetProtection sheet="1" objects="1" scenarios="1"/>
  <mergeCells count="6">
    <mergeCell ref="H31:K31"/>
    <mergeCell ref="I5:J5"/>
    <mergeCell ref="A5:B5"/>
    <mergeCell ref="C5:D5"/>
    <mergeCell ref="E5:F5"/>
    <mergeCell ref="G5:H5"/>
  </mergeCells>
  <phoneticPr fontId="7" type="noConversion"/>
  <pageMargins left="0.75" right="0.75" top="1" bottom="1" header="0.5" footer="0.5"/>
  <pageSetup scale="81" orientation="landscape" blackAndWhite="1" r:id="rId1"/>
  <headerFooter alignWithMargins="0">
    <oddHeader>&amp;RState of Kansas
County</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3"/>
  <dimension ref="A1:A48"/>
  <sheetViews>
    <sheetView workbookViewId="0">
      <selection activeCell="B15" sqref="B15"/>
    </sheetView>
  </sheetViews>
  <sheetFormatPr defaultRowHeight="15" x14ac:dyDescent="0.2"/>
  <cols>
    <col min="1" max="1" width="62.44140625" style="75" customWidth="1"/>
    <col min="2" max="16384" width="8.88671875" style="75"/>
  </cols>
  <sheetData>
    <row r="1" spans="1:1" ht="18.75" x14ac:dyDescent="0.2">
      <c r="A1" s="217" t="s">
        <v>218</v>
      </c>
    </row>
    <row r="2" spans="1:1" ht="15.75" x14ac:dyDescent="0.2">
      <c r="A2" s="23"/>
    </row>
    <row r="3" spans="1:1" ht="54.75" customHeight="1" x14ac:dyDescent="0.2">
      <c r="A3" s="218" t="s">
        <v>219</v>
      </c>
    </row>
    <row r="4" spans="1:1" ht="15.75" x14ac:dyDescent="0.2">
      <c r="A4" s="288"/>
    </row>
    <row r="5" spans="1:1" ht="51" customHeight="1" x14ac:dyDescent="0.2">
      <c r="A5" s="218" t="s">
        <v>220</v>
      </c>
    </row>
    <row r="6" spans="1:1" ht="15.75" x14ac:dyDescent="0.2">
      <c r="A6" s="23"/>
    </row>
    <row r="7" spans="1:1" ht="51.75" customHeight="1" x14ac:dyDescent="0.2">
      <c r="A7" s="218" t="s">
        <v>221</v>
      </c>
    </row>
    <row r="8" spans="1:1" ht="13.5" customHeight="1" x14ac:dyDescent="0.2">
      <c r="A8" s="218"/>
    </row>
    <row r="9" spans="1:1" ht="51.75" customHeight="1" x14ac:dyDescent="0.25">
      <c r="A9" s="251" t="s">
        <v>310</v>
      </c>
    </row>
    <row r="10" spans="1:1" ht="15.75" x14ac:dyDescent="0.2">
      <c r="A10" s="288"/>
    </row>
    <row r="11" spans="1:1" ht="36" customHeight="1" x14ac:dyDescent="0.2">
      <c r="A11" s="218" t="s">
        <v>222</v>
      </c>
    </row>
    <row r="12" spans="1:1" ht="15.75" x14ac:dyDescent="0.2">
      <c r="A12" s="23"/>
    </row>
    <row r="13" spans="1:1" ht="51.75" customHeight="1" x14ac:dyDescent="0.2">
      <c r="A13" s="218" t="s">
        <v>223</v>
      </c>
    </row>
    <row r="14" spans="1:1" ht="15.75" x14ac:dyDescent="0.2">
      <c r="A14" s="288"/>
    </row>
    <row r="15" spans="1:1" ht="33" customHeight="1" x14ac:dyDescent="0.2">
      <c r="A15" s="218" t="s">
        <v>224</v>
      </c>
    </row>
    <row r="16" spans="1:1" ht="15.75" x14ac:dyDescent="0.2">
      <c r="A16" s="288"/>
    </row>
    <row r="17" spans="1:1" ht="32.25" customHeight="1" x14ac:dyDescent="0.2">
      <c r="A17" s="218" t="s">
        <v>225</v>
      </c>
    </row>
    <row r="18" spans="1:1" ht="15.75" x14ac:dyDescent="0.2">
      <c r="A18" s="288"/>
    </row>
    <row r="19" spans="1:1" ht="53.25" customHeight="1" x14ac:dyDescent="0.2">
      <c r="A19" s="218" t="s">
        <v>226</v>
      </c>
    </row>
    <row r="20" spans="1:1" ht="15.75" x14ac:dyDescent="0.2">
      <c r="A20" s="23"/>
    </row>
    <row r="21" spans="1:1" ht="50.25" customHeight="1" x14ac:dyDescent="0.2">
      <c r="A21" s="218" t="s">
        <v>227</v>
      </c>
    </row>
    <row r="22" spans="1:1" ht="15.75" x14ac:dyDescent="0.2">
      <c r="A22" s="23"/>
    </row>
    <row r="23" spans="1:1" ht="15.75" x14ac:dyDescent="0.2">
      <c r="A23" s="23"/>
    </row>
    <row r="24" spans="1:1" ht="96" customHeight="1" x14ac:dyDescent="0.2">
      <c r="A24" s="218" t="s">
        <v>228</v>
      </c>
    </row>
    <row r="25" spans="1:1" ht="15.75" x14ac:dyDescent="0.2">
      <c r="A25" s="23"/>
    </row>
    <row r="26" spans="1:1" ht="30.75" customHeight="1" x14ac:dyDescent="0.2">
      <c r="A26" s="24" t="s">
        <v>229</v>
      </c>
    </row>
    <row r="27" spans="1:1" ht="15.75" x14ac:dyDescent="0.2">
      <c r="A27" s="23"/>
    </row>
    <row r="28" spans="1:1" ht="95.25" customHeight="1" x14ac:dyDescent="0.25">
      <c r="A28" s="253" t="s">
        <v>311</v>
      </c>
    </row>
    <row r="29" spans="1:1" ht="15.75" x14ac:dyDescent="0.2">
      <c r="A29" s="23"/>
    </row>
    <row r="30" spans="1:1" ht="34.5" customHeight="1" x14ac:dyDescent="0.2">
      <c r="A30" s="218" t="s">
        <v>230</v>
      </c>
    </row>
    <row r="31" spans="1:1" ht="15.75" x14ac:dyDescent="0.2">
      <c r="A31" s="23"/>
    </row>
    <row r="32" spans="1:1" ht="66" customHeight="1" x14ac:dyDescent="0.2">
      <c r="A32" s="218" t="s">
        <v>231</v>
      </c>
    </row>
    <row r="33" spans="1:1" ht="15.75" x14ac:dyDescent="0.2">
      <c r="A33" s="288"/>
    </row>
    <row r="34" spans="1:1" ht="57" customHeight="1" x14ac:dyDescent="0.2">
      <c r="A34" s="218" t="s">
        <v>232</v>
      </c>
    </row>
    <row r="35" spans="1:1" ht="15.75" x14ac:dyDescent="0.2">
      <c r="A35" s="23"/>
    </row>
    <row r="36" spans="1:1" ht="49.5" customHeight="1" x14ac:dyDescent="0.2">
      <c r="A36" s="218" t="s">
        <v>233</v>
      </c>
    </row>
    <row r="37" spans="1:1" ht="15.75" x14ac:dyDescent="0.2">
      <c r="A37" s="23"/>
    </row>
    <row r="38" spans="1:1" ht="74.25" customHeight="1" x14ac:dyDescent="0.25">
      <c r="A38" s="253" t="s">
        <v>312</v>
      </c>
    </row>
    <row r="39" spans="1:1" ht="15.75" x14ac:dyDescent="0.2">
      <c r="A39" s="23"/>
    </row>
    <row r="40" spans="1:1" ht="55.5" customHeight="1" x14ac:dyDescent="0.2">
      <c r="A40" s="218" t="s">
        <v>234</v>
      </c>
    </row>
    <row r="41" spans="1:1" ht="15.75" x14ac:dyDescent="0.2">
      <c r="A41" s="23"/>
    </row>
    <row r="42" spans="1:1" ht="53.25" customHeight="1" x14ac:dyDescent="0.2">
      <c r="A42" s="218" t="s">
        <v>235</v>
      </c>
    </row>
    <row r="43" spans="1:1" ht="15.75" x14ac:dyDescent="0.2">
      <c r="A43" s="288"/>
    </row>
    <row r="44" spans="1:1" ht="47.25" customHeight="1" x14ac:dyDescent="0.2">
      <c r="A44" s="218" t="s">
        <v>236</v>
      </c>
    </row>
    <row r="45" spans="1:1" ht="15.75" x14ac:dyDescent="0.2">
      <c r="A45" s="288"/>
    </row>
    <row r="46" spans="1:1" ht="49.5" customHeight="1" x14ac:dyDescent="0.2">
      <c r="A46" s="218" t="s">
        <v>237</v>
      </c>
    </row>
    <row r="47" spans="1:1" ht="15.75" x14ac:dyDescent="0.2">
      <c r="A47" s="288"/>
    </row>
    <row r="48" spans="1:1" ht="36" customHeight="1" x14ac:dyDescent="0.2">
      <c r="A48" s="218" t="s">
        <v>238</v>
      </c>
    </row>
  </sheetData>
  <sheetProtection sheet="1"/>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2">
    <tabColor rgb="FF00B0F0"/>
    <pageSetUpPr fitToPage="1"/>
  </sheetPr>
  <dimension ref="A1:M82"/>
  <sheetViews>
    <sheetView zoomScale="90" zoomScaleNormal="90" workbookViewId="0">
      <selection activeCell="B14" sqref="B14:B15"/>
    </sheetView>
  </sheetViews>
  <sheetFormatPr defaultRowHeight="15.75" x14ac:dyDescent="0.2"/>
  <cols>
    <col min="1" max="1" width="19.109375" style="23" customWidth="1"/>
    <col min="2" max="2" width="15.6640625" style="23" customWidth="1"/>
    <col min="3" max="3" width="9.44140625" style="23" customWidth="1"/>
    <col min="4" max="4" width="16.77734375" style="23" customWidth="1"/>
    <col min="5" max="5" width="9.77734375" style="23" customWidth="1"/>
    <col min="6" max="6" width="15.77734375" style="23" customWidth="1"/>
    <col min="7" max="7" width="13.6640625" style="23" customWidth="1"/>
    <col min="8" max="8" width="9.77734375" style="23" customWidth="1"/>
    <col min="9" max="9" width="8.88671875" style="23"/>
    <col min="10" max="10" width="12.44140625" style="23" customWidth="1"/>
    <col min="11" max="11" width="12.33203125" style="23" customWidth="1"/>
    <col min="12" max="12" width="10.5546875" style="23" customWidth="1"/>
    <col min="13" max="13" width="12.109375" style="23" customWidth="1"/>
    <col min="14" max="16384" width="8.88671875" style="23"/>
  </cols>
  <sheetData>
    <row r="1" spans="1:9" x14ac:dyDescent="0.2">
      <c r="A1" s="26">
        <f>inputPrYr!C3</f>
        <v>0</v>
      </c>
      <c r="B1" s="26"/>
      <c r="C1" s="26"/>
      <c r="D1" s="26"/>
      <c r="E1" s="26"/>
      <c r="F1" s="26"/>
      <c r="G1" s="26"/>
      <c r="H1" s="125">
        <f>inputPrYr!C5</f>
        <v>2025</v>
      </c>
    </row>
    <row r="2" spans="1:9" x14ac:dyDescent="0.2">
      <c r="A2" s="610" t="s">
        <v>179</v>
      </c>
      <c r="B2" s="610"/>
      <c r="C2" s="610"/>
      <c r="D2" s="610"/>
      <c r="E2" s="610"/>
      <c r="F2" s="610"/>
      <c r="G2" s="610"/>
      <c r="H2" s="610"/>
      <c r="I2" s="199"/>
    </row>
    <row r="3" spans="1:9" x14ac:dyDescent="0.2">
      <c r="A3" s="26"/>
      <c r="B3" s="26"/>
      <c r="C3" s="26"/>
      <c r="D3" s="26"/>
      <c r="E3" s="26"/>
      <c r="F3" s="26"/>
      <c r="G3" s="26"/>
      <c r="H3" s="26"/>
    </row>
    <row r="4" spans="1:9" x14ac:dyDescent="0.2">
      <c r="A4" s="606" t="s">
        <v>191</v>
      </c>
      <c r="B4" s="606"/>
      <c r="C4" s="606"/>
      <c r="D4" s="606"/>
      <c r="E4" s="606"/>
      <c r="F4" s="606"/>
      <c r="G4" s="606"/>
      <c r="H4" s="606"/>
    </row>
    <row r="5" spans="1:9" x14ac:dyDescent="0.2">
      <c r="A5" s="604">
        <f>inputPrYr!C3</f>
        <v>0</v>
      </c>
      <c r="B5" s="604"/>
      <c r="C5" s="604"/>
      <c r="D5" s="604"/>
      <c r="E5" s="604"/>
      <c r="F5" s="604"/>
      <c r="G5" s="604"/>
      <c r="H5" s="604"/>
    </row>
    <row r="6" spans="1:9" x14ac:dyDescent="0.2">
      <c r="A6" s="691" t="str">
        <f>CONCATENATE("will meet on ",inputHearing!B18," at ",inputHearing!B20," at ",inputHearing!B22," for the purpose of hearing and")</f>
        <v>will meet on  at  at  for the purpose of hearing and</v>
      </c>
      <c r="B6" s="691"/>
      <c r="C6" s="691"/>
      <c r="D6" s="691"/>
      <c r="E6" s="691"/>
      <c r="F6" s="691"/>
      <c r="G6" s="691"/>
      <c r="H6" s="691"/>
    </row>
    <row r="7" spans="1:9" x14ac:dyDescent="0.2">
      <c r="A7" s="606" t="s">
        <v>280</v>
      </c>
      <c r="B7" s="606"/>
      <c r="C7" s="606"/>
      <c r="D7" s="606"/>
      <c r="E7" s="606"/>
      <c r="F7" s="606"/>
      <c r="G7" s="606"/>
      <c r="H7" s="606"/>
    </row>
    <row r="8" spans="1:9" x14ac:dyDescent="0.2">
      <c r="A8" s="691" t="str">
        <f>CONCATENATE("Detailed budget information is available at ",inputHearing!B24," and will be available at this hearing.")</f>
        <v>Detailed budget information is available at  and will be available at this hearing.</v>
      </c>
      <c r="B8" s="691"/>
      <c r="C8" s="691"/>
      <c r="D8" s="691"/>
      <c r="E8" s="691"/>
      <c r="F8" s="691"/>
      <c r="G8" s="691"/>
      <c r="H8" s="691"/>
    </row>
    <row r="9" spans="1:9" x14ac:dyDescent="0.2">
      <c r="A9" s="603" t="s">
        <v>180</v>
      </c>
      <c r="B9" s="603"/>
      <c r="C9" s="603"/>
      <c r="D9" s="603"/>
      <c r="E9" s="603"/>
      <c r="F9" s="603"/>
      <c r="G9" s="603"/>
      <c r="H9" s="603"/>
    </row>
    <row r="10" spans="1:9" x14ac:dyDescent="0.2">
      <c r="A10" s="606" t="str">
        <f>CONCATENATE("Proposed Budget ",H1," Expenditures and Amount of ",H1-1," Ad Valorem Tax establish the maximum limits of the ",H1," budget.")</f>
        <v>Proposed Budget 2025 Expenditures and Amount of 2024 Ad Valorem Tax establish the maximum limits of the 2025 budget.</v>
      </c>
      <c r="B10" s="606"/>
      <c r="C10" s="606"/>
      <c r="D10" s="606"/>
      <c r="E10" s="606"/>
      <c r="F10" s="606"/>
      <c r="G10" s="606"/>
      <c r="H10" s="606"/>
    </row>
    <row r="11" spans="1:9" x14ac:dyDescent="0.2">
      <c r="A11" s="606" t="s">
        <v>201</v>
      </c>
      <c r="B11" s="606"/>
      <c r="C11" s="606"/>
      <c r="D11" s="606"/>
      <c r="E11" s="606"/>
      <c r="F11" s="606"/>
      <c r="G11" s="606"/>
      <c r="H11" s="606"/>
    </row>
    <row r="12" spans="1:9" x14ac:dyDescent="0.2">
      <c r="A12" s="26"/>
      <c r="B12" s="26"/>
      <c r="C12" s="26"/>
      <c r="D12" s="26"/>
      <c r="E12" s="26"/>
      <c r="F12" s="26"/>
      <c r="G12" s="26"/>
      <c r="H12" s="26"/>
      <c r="I12" s="56"/>
    </row>
    <row r="13" spans="1:9" x14ac:dyDescent="0.2">
      <c r="A13" s="26"/>
      <c r="B13" s="670" t="str">
        <f>CONCATENATE("Prior Year Actual for ",H1-2,"")</f>
        <v>Prior Year Actual for 2023</v>
      </c>
      <c r="C13" s="671"/>
      <c r="D13" s="692" t="str">
        <f>CONCATENATE("Current Year Estimate for ",H1-1,"")</f>
        <v>Current Year Estimate for 2024</v>
      </c>
      <c r="E13" s="693"/>
      <c r="F13" s="596" t="str">
        <f>CONCATENATE("Proposed Budget Year for ",H1,"")</f>
        <v>Proposed Budget Year for 2025</v>
      </c>
      <c r="G13" s="597"/>
      <c r="H13" s="598"/>
    </row>
    <row r="14" spans="1:9" ht="24.95" customHeight="1" x14ac:dyDescent="0.2">
      <c r="A14" s="25"/>
      <c r="B14" s="622" t="s">
        <v>60</v>
      </c>
      <c r="C14" s="601" t="s">
        <v>551</v>
      </c>
      <c r="D14" s="622" t="s">
        <v>552</v>
      </c>
      <c r="E14" s="601" t="s">
        <v>551</v>
      </c>
      <c r="F14" s="689" t="s">
        <v>538</v>
      </c>
      <c r="G14" s="601" t="str">
        <f>CONCATENATE("Amount of ",H1-1,"       Ad Valorem Tax")</f>
        <v>Amount of 2024       Ad Valorem Tax</v>
      </c>
      <c r="H14" s="601" t="s">
        <v>553</v>
      </c>
    </row>
    <row r="15" spans="1:9" ht="24.95" customHeight="1" x14ac:dyDescent="0.2">
      <c r="A15" s="43" t="s">
        <v>147</v>
      </c>
      <c r="B15" s="624"/>
      <c r="C15" s="602"/>
      <c r="D15" s="624"/>
      <c r="E15" s="602"/>
      <c r="F15" s="690"/>
      <c r="G15" s="573"/>
      <c r="H15" s="602"/>
    </row>
    <row r="16" spans="1:9" x14ac:dyDescent="0.2">
      <c r="A16" s="50" t="str">
        <f>inputPrYr!B17</f>
        <v>General</v>
      </c>
      <c r="B16" s="50" t="str">
        <f>IF(General!$C$105&lt;&gt;0,General!$C$105,"  ")</f>
        <v xml:space="preserve">  </v>
      </c>
      <c r="C16" s="200" t="str">
        <f>IF(inputPrYr!D91&lt;&gt;0,inputPrYr!D91,"  ")</f>
        <v xml:space="preserve">  </v>
      </c>
      <c r="D16" s="50" t="str">
        <f>IF(General!$D$105&lt;&gt;0,General!$D$105,"  ")</f>
        <v xml:space="preserve">  </v>
      </c>
      <c r="E16" s="200" t="str">
        <f>IF(inputPrYr!F17&lt;&gt;0,inputPrYr!F17,"  ")</f>
        <v xml:space="preserve">  </v>
      </c>
      <c r="F16" s="50" t="str">
        <f>IF(General!$E$105&lt;&gt;0,General!$E$105,"  ")</f>
        <v xml:space="preserve">  </v>
      </c>
      <c r="G16" s="50" t="str">
        <f>IF(General!$E$112&lt;&gt;0,General!$E$112,"  ")</f>
        <v xml:space="preserve">  </v>
      </c>
      <c r="H16" s="200" t="str">
        <f>IF(General!E112&lt;&gt;0,ROUND(G16/$F$66*1000,3),"  ")</f>
        <v xml:space="preserve">  </v>
      </c>
    </row>
    <row r="17" spans="1:8" x14ac:dyDescent="0.2">
      <c r="A17" s="50" t="str">
        <f>inputPrYr!B18</f>
        <v>Debt Service</v>
      </c>
      <c r="B17" s="50" t="str">
        <f>IF('Debt Service'!$C$52&lt;&gt;0,'Debt Service'!$C$52,"  ")</f>
        <v xml:space="preserve">  </v>
      </c>
      <c r="C17" s="200" t="str">
        <f>IF(inputPrYr!D92&lt;&gt;0,inputPrYr!D92,"  ")</f>
        <v xml:space="preserve">  </v>
      </c>
      <c r="D17" s="50" t="str">
        <f>IF('Debt Service'!$D$52&lt;&gt;0,'Debt Service'!$D$52,"  ")</f>
        <v xml:space="preserve">  </v>
      </c>
      <c r="E17" s="200" t="str">
        <f>IF(inputPrYr!F18&lt;&gt;0,inputPrYr!F18,"  ")</f>
        <v xml:space="preserve">  </v>
      </c>
      <c r="F17" s="50" t="str">
        <f>IF('Debt Service'!$E$52&lt;&gt;0,'Debt Service'!$E$52,"  ")</f>
        <v xml:space="preserve">  </v>
      </c>
      <c r="G17" s="50" t="str">
        <f>IF('Debt Service'!$E$59&lt;&gt;0,'Debt Service'!$E$59,"  ")</f>
        <v xml:space="preserve">  </v>
      </c>
      <c r="H17" s="200" t="str">
        <f>IF('Debt Service'!E59&lt;&gt;0,ROUND(G17/$F$66*1000,3),"  ")</f>
        <v xml:space="preserve">  </v>
      </c>
    </row>
    <row r="18" spans="1:8" x14ac:dyDescent="0.2">
      <c r="A18" s="50" t="str">
        <f>inputPrYr!B19</f>
        <v>Road &amp; Bridge</v>
      </c>
      <c r="B18" s="50" t="str">
        <f>IF('Road &amp; Bridge'!$C$103&lt;&gt;0,'Road &amp; Bridge'!$C$103,"  ")</f>
        <v xml:space="preserve">  </v>
      </c>
      <c r="C18" s="200" t="str">
        <f>IF(inputPrYr!D93&lt;&gt;0,inputPrYr!D93,"  ")</f>
        <v xml:space="preserve">  </v>
      </c>
      <c r="D18" s="50" t="str">
        <f>IF('Road &amp; Bridge'!$D$103&lt;&gt;0,'Road &amp; Bridge'!$D$103,"  ")</f>
        <v xml:space="preserve">  </v>
      </c>
      <c r="E18" s="200" t="str">
        <f>IF(inputPrYr!F19&lt;&gt;0,inputPrYr!F19,"  ")</f>
        <v xml:space="preserve">  </v>
      </c>
      <c r="F18" s="50" t="str">
        <f>IF('Road &amp; Bridge'!$E$103&lt;&gt;0,'Road &amp; Bridge'!$E$103,"  ")</f>
        <v xml:space="preserve">  </v>
      </c>
      <c r="G18" s="50" t="str">
        <f>IF('Road &amp; Bridge'!$E$110&lt;&gt;0,'Road &amp; Bridge'!$E$110,"  ")</f>
        <v xml:space="preserve">  </v>
      </c>
      <c r="H18" s="200" t="str">
        <f>IF('Road &amp; Bridge'!E110&lt;&gt;0,ROUND(G18/$F$66*1000,3),"  ")</f>
        <v xml:space="preserve">  </v>
      </c>
    </row>
    <row r="19" spans="1:8" x14ac:dyDescent="0.2">
      <c r="A19" s="50" t="str">
        <f>IF((inputPrYr!$B20&gt;" "),(inputPrYr!$B20),"  ")</f>
        <v xml:space="preserve">  </v>
      </c>
      <c r="B19" s="50" t="str">
        <f>IF('Levy Page 10'!$C$35&lt;&gt;0,'Levy Page 10'!$C$35,"  ")</f>
        <v xml:space="preserve">  </v>
      </c>
      <c r="C19" s="200" t="str">
        <f>IF(inputPrYr!D94&lt;&gt;0,inputPrYr!D94,"  ")</f>
        <v xml:space="preserve">  </v>
      </c>
      <c r="D19" s="50" t="str">
        <f>IF('Levy Page 10'!$D$35&lt;&gt;0,'Levy Page 10'!$D$35,"  ")</f>
        <v xml:space="preserve">  </v>
      </c>
      <c r="E19" s="200" t="str">
        <f>IF(inputPrYr!F20&lt;&gt;0,inputPrYr!F20,"  ")</f>
        <v xml:space="preserve">  </v>
      </c>
      <c r="F19" s="50" t="str">
        <f>IF('Levy Page 10'!$E$35&lt;&gt;0,'Levy Page 10'!$E$35,"  ")</f>
        <v xml:space="preserve">  </v>
      </c>
      <c r="G19" s="50" t="str">
        <f>IF('Levy Page 10'!$E$42&lt;&gt;0,'Levy Page 10'!$E$42,"  ")</f>
        <v xml:space="preserve">  </v>
      </c>
      <c r="H19" s="200" t="str">
        <f>IF('Levy Page 10'!E42&lt;&gt;0,ROUND(G19/$F$66*1000,3),"  ")</f>
        <v xml:space="preserve">  </v>
      </c>
    </row>
    <row r="20" spans="1:8" x14ac:dyDescent="0.2">
      <c r="A20" s="50" t="str">
        <f>IF((inputPrYr!$B21&gt;" "),(inputPrYr!$B21),"  ")</f>
        <v xml:space="preserve">  </v>
      </c>
      <c r="B20" s="50" t="str">
        <f>IF('Levy Page 10'!$C$74&lt;&gt;0,'Levy Page 10'!$C$74,"  ")</f>
        <v xml:space="preserve">  </v>
      </c>
      <c r="C20" s="200" t="str">
        <f>IF(inputPrYr!D95&lt;&gt;0,inputPrYr!D95,"  ")</f>
        <v xml:space="preserve">  </v>
      </c>
      <c r="D20" s="50" t="str">
        <f>IF('Levy Page 10'!$D$74&lt;&gt;0,'Levy Page 10'!$D$74,"  ")</f>
        <v xml:space="preserve">  </v>
      </c>
      <c r="E20" s="200" t="str">
        <f>IF(inputPrYr!F21&lt;&gt;0,inputPrYr!F21,"  ")</f>
        <v xml:space="preserve">  </v>
      </c>
      <c r="F20" s="50" t="str">
        <f>IF('Levy Page 10'!$E$74&lt;&gt;0,'Levy Page 10'!$E$74,"  ")</f>
        <v xml:space="preserve">  </v>
      </c>
      <c r="G20" s="50" t="str">
        <f>IF('Levy Page 10'!$E$81&lt;&gt;0,'Levy Page 10'!$E$81,"  ")</f>
        <v xml:space="preserve">  </v>
      </c>
      <c r="H20" s="200" t="str">
        <f>IF('Levy Page 10'!E81&lt;&gt;0,ROUND(G20/$F$66*1000,3),"  ")</f>
        <v xml:space="preserve">  </v>
      </c>
    </row>
    <row r="21" spans="1:8" x14ac:dyDescent="0.2">
      <c r="A21" s="50" t="str">
        <f>IF((inputPrYr!$B22&gt;" "),(inputPrYr!$B22),"  ")</f>
        <v xml:space="preserve">  </v>
      </c>
      <c r="B21" s="50" t="str">
        <f>IF('Levy Page 11'!$C$35&lt;&gt;0,'Levy Page 11'!$C$35,"  ")</f>
        <v xml:space="preserve">  </v>
      </c>
      <c r="C21" s="200" t="str">
        <f>IF(inputPrYr!D96&lt;&gt;0,inputPrYr!D96,"  ")</f>
        <v xml:space="preserve">  </v>
      </c>
      <c r="D21" s="50" t="str">
        <f>IF('Levy Page 11'!$D$35&lt;&gt;0,'Levy Page 11'!$D$35,"  ")</f>
        <v xml:space="preserve">  </v>
      </c>
      <c r="E21" s="200" t="str">
        <f>IF(inputPrYr!F22&lt;&gt;0,inputPrYr!F22,"  ")</f>
        <v xml:space="preserve">  </v>
      </c>
      <c r="F21" s="50" t="str">
        <f>IF('Levy Page 11'!$E$35&lt;&gt;0,'Levy Page 11'!$E$35,"  ")</f>
        <v xml:space="preserve">  </v>
      </c>
      <c r="G21" s="50" t="str">
        <f>IF('Levy Page 11'!$E$42&lt;&gt;0,'Levy Page 11'!$E$42,"  ")</f>
        <v xml:space="preserve">  </v>
      </c>
      <c r="H21" s="200" t="str">
        <f>IF('Levy Page 11'!$E$42&lt;&gt;0,ROUND(G21/$F$66*1000,3),"  ")</f>
        <v xml:space="preserve">  </v>
      </c>
    </row>
    <row r="22" spans="1:8" x14ac:dyDescent="0.2">
      <c r="A22" s="50" t="str">
        <f>IF((inputPrYr!$B23&gt;" "),(inputPrYr!$B23),"  ")</f>
        <v xml:space="preserve">  </v>
      </c>
      <c r="B22" s="50" t="str">
        <f>IF('Levy Page 11'!$C$76&lt;&gt;0,'Levy Page 11'!$C$76,"  ")</f>
        <v xml:space="preserve">  </v>
      </c>
      <c r="C22" s="200" t="str">
        <f>IF(inputPrYr!D97&lt;&gt;0,inputPrYr!D97,"  ")</f>
        <v xml:space="preserve">  </v>
      </c>
      <c r="D22" s="50" t="str">
        <f>IF('Levy Page 11'!$D$76&lt;&gt;0,'Levy Page 11'!$D$76,"  ")</f>
        <v xml:space="preserve">  </v>
      </c>
      <c r="E22" s="200" t="str">
        <f>IF(inputPrYr!F23&lt;&gt;0,inputPrYr!F23,"  ")</f>
        <v xml:space="preserve">  </v>
      </c>
      <c r="F22" s="50" t="str">
        <f>IF('Levy Page 11'!$E$76&lt;&gt;0,'Levy Page 11'!$E$76,"  ")</f>
        <v xml:space="preserve">  </v>
      </c>
      <c r="G22" s="50" t="str">
        <f>IF('Levy Page 11'!$E$83&lt;&gt;0,'Levy Page 11'!$E$83,"  ")</f>
        <v xml:space="preserve">  </v>
      </c>
      <c r="H22" s="200" t="str">
        <f>IF('Levy Page 11'!$E$83&lt;&gt;0,ROUND(G22/$F$66*1000,3),"  ")</f>
        <v xml:space="preserve">  </v>
      </c>
    </row>
    <row r="23" spans="1:8" x14ac:dyDescent="0.2">
      <c r="A23" s="50" t="str">
        <f>IF((inputPrYr!$B24&gt;" "),(inputPrYr!$B24),"  ")</f>
        <v xml:space="preserve">  </v>
      </c>
      <c r="B23" s="50" t="str">
        <f>IF('Levy Page 12'!$C$34&lt;&gt;0,'Levy Page 12'!$C$34,"  ")</f>
        <v xml:space="preserve">  </v>
      </c>
      <c r="C23" s="200" t="str">
        <f>IF(inputPrYr!D98&lt;&gt;0,inputPrYr!D98,"  ")</f>
        <v xml:space="preserve">  </v>
      </c>
      <c r="D23" s="50" t="str">
        <f>IF('Levy Page 12'!$D$34&lt;&gt;0,'Levy Page 12'!$D$34,"  ")</f>
        <v xml:space="preserve">  </v>
      </c>
      <c r="E23" s="200" t="str">
        <f>IF(inputPrYr!F24&lt;&gt;0,inputPrYr!F24,"  ")</f>
        <v xml:space="preserve">  </v>
      </c>
      <c r="F23" s="50" t="str">
        <f>IF('Levy Page 12'!$E$34&lt;&gt;0,'Levy Page 12'!$E$34,"  ")</f>
        <v xml:space="preserve">  </v>
      </c>
      <c r="G23" s="50" t="str">
        <f>IF('Levy Page 12'!$E$41&lt;&gt;0,'Levy Page 12'!$E$41,"  ")</f>
        <v xml:space="preserve">  </v>
      </c>
      <c r="H23" s="200" t="str">
        <f>IF('Levy Page 12'!$E$41&lt;&gt;0,ROUND(G23/$F$66*1000,3),"  ")</f>
        <v xml:space="preserve">  </v>
      </c>
    </row>
    <row r="24" spans="1:8" x14ac:dyDescent="0.2">
      <c r="A24" s="50" t="str">
        <f>IF((inputPrYr!$B25&gt;" "),(inputPrYr!$B25),"  ")</f>
        <v xml:space="preserve">  </v>
      </c>
      <c r="B24" s="50" t="str">
        <f>IF('Levy Page 12'!$C$75&lt;&gt;0,'Levy Page 12'!$C$75,"  ")</f>
        <v xml:space="preserve">  </v>
      </c>
      <c r="C24" s="200" t="str">
        <f>IF(inputPrYr!D99&lt;&gt;0,inputPrYr!D99,"  ")</f>
        <v xml:space="preserve">  </v>
      </c>
      <c r="D24" s="50" t="str">
        <f>IF('Levy Page 12'!$D$75&lt;&gt;0,'Levy Page 12'!$D$75,"  ")</f>
        <v xml:space="preserve">  </v>
      </c>
      <c r="E24" s="200" t="str">
        <f>IF(inputPrYr!F25&lt;&gt;0,inputPrYr!F25,"  ")</f>
        <v xml:space="preserve">  </v>
      </c>
      <c r="F24" s="50" t="str">
        <f>IF('Levy Page 12'!$E$75&lt;&gt;0,'Levy Page 12'!$E$75,"  ")</f>
        <v xml:space="preserve">  </v>
      </c>
      <c r="G24" s="50" t="str">
        <f>IF('Levy Page 12'!$E$82&lt;&gt;0,'Levy Page 12'!$E$82,"  ")</f>
        <v xml:space="preserve">  </v>
      </c>
      <c r="H24" s="200" t="str">
        <f>IF('Levy Page 12'!$E$82&lt;&gt;0,ROUND(G24/$F$66*1000,3),"  ")</f>
        <v xml:space="preserve">  </v>
      </c>
    </row>
    <row r="25" spans="1:8" x14ac:dyDescent="0.2">
      <c r="A25" s="50" t="str">
        <f>IF((inputPrYr!$B26&gt;" "),(inputPrYr!$B26),"  ")</f>
        <v xml:space="preserve">  </v>
      </c>
      <c r="B25" s="50" t="str">
        <f>IF('Levy Page 13'!$C$34&lt;&gt;0,'Levy Page 13'!$C$34,"  ")</f>
        <v xml:space="preserve">  </v>
      </c>
      <c r="C25" s="200" t="str">
        <f>IF(inputPrYr!D100&lt;&gt;0,inputPrYr!D100,"  ")</f>
        <v xml:space="preserve">  </v>
      </c>
      <c r="D25" s="50" t="str">
        <f>IF('Levy Page 13'!$D$34&lt;&gt;0,'Levy Page 13'!$D$34,"  ")</f>
        <v xml:space="preserve">  </v>
      </c>
      <c r="E25" s="200" t="str">
        <f>IF(inputPrYr!F26&lt;&gt;0,inputPrYr!F26,"  ")</f>
        <v xml:space="preserve">  </v>
      </c>
      <c r="F25" s="50" t="str">
        <f>IF('Levy Page 13'!$E$34&lt;&gt;0,'Levy Page 13'!$E$34,"  ")</f>
        <v xml:space="preserve">  </v>
      </c>
      <c r="G25" s="50" t="str">
        <f>IF('Levy Page 13'!$E$41&lt;&gt;0,'Levy Page 13'!$E$41,"  ")</f>
        <v xml:space="preserve">  </v>
      </c>
      <c r="H25" s="200" t="str">
        <f>IF('Levy Page 13'!$E$41&lt;&gt;0,ROUND(G25/$F$66*1000,3),"  ")</f>
        <v xml:space="preserve">  </v>
      </c>
    </row>
    <row r="26" spans="1:8" x14ac:dyDescent="0.2">
      <c r="A26" s="50" t="str">
        <f>IF((inputPrYr!$B27&gt;" "),(inputPrYr!$B27),"  ")</f>
        <v xml:space="preserve">  </v>
      </c>
      <c r="B26" s="50" t="str">
        <f>IF('Levy Page 13'!$C$74&lt;&gt;0,'Levy Page 13'!$C$74,"  ")</f>
        <v xml:space="preserve">  </v>
      </c>
      <c r="C26" s="200" t="str">
        <f>IF(inputPrYr!D101&lt;&gt;0,inputPrYr!D101,"  ")</f>
        <v xml:space="preserve">  </v>
      </c>
      <c r="D26" s="50" t="str">
        <f>IF('Levy Page 13'!$D$74&lt;&gt;0,'Levy Page 13'!$D$74,"  ")</f>
        <v xml:space="preserve">  </v>
      </c>
      <c r="E26" s="200" t="str">
        <f>IF(inputPrYr!F27&lt;&gt;0,inputPrYr!F27,"  ")</f>
        <v xml:space="preserve">  </v>
      </c>
      <c r="F26" s="50" t="str">
        <f>IF('Levy Page 13'!$E$74&lt;&gt;0,'Levy Page 13'!$E$74,"  ")</f>
        <v xml:space="preserve">  </v>
      </c>
      <c r="G26" s="50" t="str">
        <f>IF('Levy Page 13'!$E$81&lt;&gt;0,'Levy Page 13'!$E$81,"  ")</f>
        <v xml:space="preserve">  </v>
      </c>
      <c r="H26" s="200" t="str">
        <f>IF('Levy Page 13'!$E$81&lt;&gt;0,ROUND(G26/$F$66*1000,3),"  ")</f>
        <v xml:space="preserve">  </v>
      </c>
    </row>
    <row r="27" spans="1:8" x14ac:dyDescent="0.2">
      <c r="A27" s="50" t="str">
        <f>IF((inputPrYr!$B28&gt;" "),(inputPrYr!$B28),"  ")</f>
        <v xml:space="preserve">  </v>
      </c>
      <c r="B27" s="50" t="str">
        <f>IF('Levy Page 14'!$C$33&lt;&gt;0,'Levy Page 14'!$C$33,"  ")</f>
        <v xml:space="preserve">  </v>
      </c>
      <c r="C27" s="200" t="str">
        <f>IF(inputPrYr!D102&lt;&gt;0,inputPrYr!D102,"  ")</f>
        <v xml:space="preserve">  </v>
      </c>
      <c r="D27" s="50" t="str">
        <f>IF('Levy Page 14'!$D$33&lt;&gt;0,'Levy Page 14'!$D$33,"  ")</f>
        <v xml:space="preserve">  </v>
      </c>
      <c r="E27" s="200" t="str">
        <f>IF(inputPrYr!F28&lt;&gt;0,inputPrYr!F28,"  ")</f>
        <v xml:space="preserve">  </v>
      </c>
      <c r="F27" s="50" t="str">
        <f>IF('Levy Page 14'!$E$33&lt;&gt;0,'Levy Page 14'!$E$33,"  ")</f>
        <v xml:space="preserve">  </v>
      </c>
      <c r="G27" s="50" t="str">
        <f>IF('Levy Page 14'!$E$40&lt;&gt;0,'Levy Page 14'!$E$40,"  ")</f>
        <v xml:space="preserve">  </v>
      </c>
      <c r="H27" s="200" t="str">
        <f>IF('Levy Page 14'!$E$40&lt;&gt;0,ROUND(G27/$F$66*1000,3),"  ")</f>
        <v xml:space="preserve">  </v>
      </c>
    </row>
    <row r="28" spans="1:8" x14ac:dyDescent="0.2">
      <c r="A28" s="50" t="str">
        <f>IF((inputPrYr!$B29&gt;" "),(inputPrYr!$B29),"  ")</f>
        <v xml:space="preserve">  </v>
      </c>
      <c r="B28" s="50" t="str">
        <f>IF('Levy Page 14'!$C$73&lt;&gt;0,'Levy Page 14'!$C$73,"  ")</f>
        <v xml:space="preserve">  </v>
      </c>
      <c r="C28" s="200" t="str">
        <f>IF(inputPrYr!D103&lt;&gt;0,inputPrYr!D103,"  ")</f>
        <v xml:space="preserve">  </v>
      </c>
      <c r="D28" s="50" t="str">
        <f>IF('Levy Page 14'!$D$73&lt;&gt;0,'Levy Page 14'!$D$73,"  ")</f>
        <v xml:space="preserve">  </v>
      </c>
      <c r="E28" s="200" t="str">
        <f>IF(inputPrYr!F29&lt;&gt;0,inputPrYr!F29,"  ")</f>
        <v xml:space="preserve">  </v>
      </c>
      <c r="F28" s="50" t="str">
        <f>IF('Levy Page 14'!$E$73&lt;&gt;0,'Levy Page 14'!$E$73,"  ")</f>
        <v xml:space="preserve">  </v>
      </c>
      <c r="G28" s="50" t="str">
        <f>IF('Levy Page 14'!$E$80&lt;&gt;0,'Levy Page 14'!$E$80,"  ")</f>
        <v xml:space="preserve">  </v>
      </c>
      <c r="H28" s="200" t="str">
        <f>IF('Levy Page 14'!$E$80&lt;&gt;0,ROUND(G28/$F$66*1000,3),"  ")</f>
        <v xml:space="preserve">  </v>
      </c>
    </row>
    <row r="29" spans="1:8" x14ac:dyDescent="0.2">
      <c r="A29" s="50" t="str">
        <f>IF((inputPrYr!$B30&gt;" "),(inputPrYr!$B30),"  ")</f>
        <v xml:space="preserve">  </v>
      </c>
      <c r="B29" s="50" t="str">
        <f>IF('Levy Page 15'!$C$33&lt;&gt;0,'Levy Page 15'!$C$33,"  ")</f>
        <v xml:space="preserve">  </v>
      </c>
      <c r="C29" s="200" t="str">
        <f>IF(inputPrYr!D104&lt;&gt;0,inputPrYr!D104,"  ")</f>
        <v xml:space="preserve">  </v>
      </c>
      <c r="D29" s="50" t="str">
        <f>IF('Levy Page 15'!$D$33&lt;&gt;0,'Levy Page 15'!$D$33,"  ")</f>
        <v xml:space="preserve">  </v>
      </c>
      <c r="E29" s="200" t="str">
        <f>IF(inputPrYr!F30&lt;&gt;0,inputPrYr!F30,"  ")</f>
        <v xml:space="preserve">  </v>
      </c>
      <c r="F29" s="50" t="str">
        <f>IF('Levy Page 15'!$E$33&lt;&gt;0,'Levy Page 15'!$E$33,"  ")</f>
        <v xml:space="preserve">  </v>
      </c>
      <c r="G29" s="50" t="str">
        <f>IF('Levy Page 15'!$E$40&lt;&gt;0,'Levy Page 15'!$E$40,"  ")</f>
        <v xml:space="preserve">  </v>
      </c>
      <c r="H29" s="200" t="str">
        <f>IF('Levy Page 15'!$E$40&lt;&gt;0,ROUND(G29/$F$66*1000,3),"  ")</f>
        <v xml:space="preserve">  </v>
      </c>
    </row>
    <row r="30" spans="1:8" x14ac:dyDescent="0.2">
      <c r="A30" s="50" t="str">
        <f>IF((inputPrYr!$B31&gt;" "),(inputPrYr!$B31),"  ")</f>
        <v xml:space="preserve">  </v>
      </c>
      <c r="B30" s="50" t="str">
        <f>IF('Levy Page 15'!$C$74&lt;&gt;0,'Levy Page 15'!$C$74,"  ")</f>
        <v xml:space="preserve">  </v>
      </c>
      <c r="C30" s="200" t="str">
        <f>IF(inputPrYr!D105&lt;&gt;0,inputPrYr!D105,"  ")</f>
        <v xml:space="preserve">  </v>
      </c>
      <c r="D30" s="50" t="str">
        <f>IF('Levy Page 15'!$D$74&lt;&gt;0,'Levy Page 15'!$D$74,"  ")</f>
        <v xml:space="preserve">  </v>
      </c>
      <c r="E30" s="200" t="str">
        <f>IF(inputPrYr!F31&lt;&gt;0,inputPrYr!F31,"  ")</f>
        <v xml:space="preserve">  </v>
      </c>
      <c r="F30" s="50" t="str">
        <f>IF('Levy Page 15'!$E$74&lt;&gt;0,'Levy Page 15'!$E$74,"  ")</f>
        <v xml:space="preserve">  </v>
      </c>
      <c r="G30" s="50" t="str">
        <f>IF('Levy Page 15'!$E$81&lt;&gt;0,'Levy Page 15'!$E$81,"  ")</f>
        <v xml:space="preserve">  </v>
      </c>
      <c r="H30" s="200" t="str">
        <f>IF('Levy Page 15'!$E$81&lt;&gt;0,ROUND(G30/$F$66*1000,3),"  ")</f>
        <v xml:space="preserve">  </v>
      </c>
    </row>
    <row r="31" spans="1:8" x14ac:dyDescent="0.2">
      <c r="A31" s="50" t="str">
        <f>IF((inputPrYr!$B32&gt;" "),(inputPrYr!$B32),"  ")</f>
        <v xml:space="preserve">  </v>
      </c>
      <c r="B31" s="50" t="str">
        <f>IF('Levy Page 16'!$C$33&lt;&gt;0,'Levy Page 16'!$C$33,"  ")</f>
        <v xml:space="preserve">  </v>
      </c>
      <c r="C31" s="200" t="str">
        <f>IF(inputPrYr!D106&lt;&gt;0,inputPrYr!D106,"  ")</f>
        <v xml:space="preserve">  </v>
      </c>
      <c r="D31" s="50" t="str">
        <f>IF('Levy Page 16'!$D$33&lt;&gt;0,'Levy Page 16'!$D$33,"  ")</f>
        <v xml:space="preserve">  </v>
      </c>
      <c r="E31" s="200" t="str">
        <f>IF(inputPrYr!F32&lt;&gt;0,inputPrYr!F32,"  ")</f>
        <v xml:space="preserve">  </v>
      </c>
      <c r="F31" s="50" t="str">
        <f>IF('Levy Page 16'!$E$33&lt;&gt;0,'Levy Page 16'!$E$33,"  ")</f>
        <v xml:space="preserve">  </v>
      </c>
      <c r="G31" s="50" t="str">
        <f>IF('Levy Page 16'!$E$40&lt;&gt;0,'Levy Page 16'!$E$40,"  ")</f>
        <v xml:space="preserve">  </v>
      </c>
      <c r="H31" s="200" t="str">
        <f>IF('Levy Page 16'!$E$40&lt;&gt;0,ROUND(G31/$F$66*1000,3),"  ")</f>
        <v xml:space="preserve">  </v>
      </c>
    </row>
    <row r="32" spans="1:8" x14ac:dyDescent="0.2">
      <c r="A32" s="50" t="str">
        <f>IF((inputPrYr!$B33&gt;" "),(inputPrYr!$B33),"  ")</f>
        <v xml:space="preserve">  </v>
      </c>
      <c r="B32" s="50" t="str">
        <f>IF('Levy Page 16'!$C$73&lt;&gt;0,'Levy Page 16'!$C$73,"  ")</f>
        <v xml:space="preserve">  </v>
      </c>
      <c r="C32" s="200" t="str">
        <f>IF(inputPrYr!D107&lt;&gt;0,inputPrYr!D107,"  ")</f>
        <v xml:space="preserve">  </v>
      </c>
      <c r="D32" s="50" t="str">
        <f>IF('Levy Page 16'!$D$73&lt;&gt;0,'Levy Page 16'!$D$73,"  ")</f>
        <v xml:space="preserve">  </v>
      </c>
      <c r="E32" s="200" t="str">
        <f>IF(inputPrYr!F33&lt;&gt;0,inputPrYr!F33,"  ")</f>
        <v xml:space="preserve">  </v>
      </c>
      <c r="F32" s="50" t="str">
        <f>IF('Levy Page 16'!$E$73&lt;&gt;0,'Levy Page 16'!$E$73,"  ")</f>
        <v xml:space="preserve">  </v>
      </c>
      <c r="G32" s="50" t="str">
        <f>IF('Levy Page 16'!$E$80&lt;&gt;0,'Levy Page 16'!$E$80,"  ")</f>
        <v xml:space="preserve">  </v>
      </c>
      <c r="H32" s="200" t="str">
        <f>IF('Levy Page 16'!$E$80&lt;&gt;0,ROUND(G32/$F$66*1000,3),"  ")</f>
        <v xml:space="preserve">  </v>
      </c>
    </row>
    <row r="33" spans="1:13" x14ac:dyDescent="0.2">
      <c r="A33" s="50" t="str">
        <f>IF((inputPrYr!$B34&gt;" "),(inputPrYr!$B34),"  ")</f>
        <v xml:space="preserve">  </v>
      </c>
      <c r="B33" s="50" t="str">
        <f>IF('Levy Page 17'!$C$33&lt;&gt;0,'Levy Page 17'!$C$33,"  ")</f>
        <v xml:space="preserve">  </v>
      </c>
      <c r="C33" s="200" t="str">
        <f>IF(inputPrYr!D108&lt;&gt;0,inputPrYr!D108,"  ")</f>
        <v xml:space="preserve">  </v>
      </c>
      <c r="D33" s="50" t="str">
        <f>IF('Levy Page 17'!$D$33&lt;&gt;0,'Levy Page 17'!$D$33,"  ")</f>
        <v xml:space="preserve">  </v>
      </c>
      <c r="E33" s="200" t="str">
        <f>IF(inputPrYr!F34&lt;&gt;0,inputPrYr!F34,"  ")</f>
        <v xml:space="preserve">  </v>
      </c>
      <c r="F33" s="50" t="str">
        <f>IF('Levy Page 17'!$E$33&lt;&gt;0,'Levy Page 17'!$E$33,"  ")</f>
        <v xml:space="preserve">  </v>
      </c>
      <c r="G33" s="50" t="str">
        <f>IF('Levy Page 17'!$E$40&lt;&gt;0,'Levy Page 17'!$E$40,"  ")</f>
        <v xml:space="preserve">  </v>
      </c>
      <c r="H33" s="200" t="str">
        <f>IF('Levy Page 17'!$E$40&lt;&gt;0,ROUND(G33/$F$66*1000,3),"  ")</f>
        <v xml:space="preserve">  </v>
      </c>
    </row>
    <row r="34" spans="1:13" x14ac:dyDescent="0.2">
      <c r="A34" s="50" t="str">
        <f>IF((inputPrYr!$B35&gt;" "),(inputPrYr!$B35),"  ")</f>
        <v xml:space="preserve">  </v>
      </c>
      <c r="B34" s="50" t="str">
        <f>IF('Levy Page 17'!$C$73&lt;&gt;0,'Levy Page 17'!$C$73,"  ")</f>
        <v xml:space="preserve">  </v>
      </c>
      <c r="C34" s="200" t="str">
        <f>IF(inputPrYr!D109&lt;&gt;0,inputPrYr!D109,"  ")</f>
        <v xml:space="preserve">  </v>
      </c>
      <c r="D34" s="50" t="str">
        <f>IF('Levy Page 17'!$D$73&lt;&gt;0,'Levy Page 17'!$D$73,"  ")</f>
        <v xml:space="preserve">  </v>
      </c>
      <c r="E34" s="200" t="str">
        <f>IF(inputPrYr!F35&lt;&gt;0,inputPrYr!F35,"  ")</f>
        <v xml:space="preserve">  </v>
      </c>
      <c r="F34" s="50" t="str">
        <f>IF('Levy Page 17'!$E$73&lt;&gt;0,'Levy Page 17'!$E$73,"  ")</f>
        <v xml:space="preserve">  </v>
      </c>
      <c r="G34" s="50" t="str">
        <f>IF('Levy Page 17'!$E$80&lt;&gt;0,'Levy Page 17'!$E$80,"  ")</f>
        <v xml:space="preserve">  </v>
      </c>
      <c r="H34" s="200" t="str">
        <f>IF('Levy Page 17'!$E$80&lt;&gt;0,ROUND(G34/$F$66*1000,3),"  ")</f>
        <v xml:space="preserve">  </v>
      </c>
    </row>
    <row r="35" spans="1:13" x14ac:dyDescent="0.2">
      <c r="A35" s="50" t="str">
        <f>IF((inputPrYr!$B36&gt;" "),(inputPrYr!$B36),"  ")</f>
        <v xml:space="preserve">  </v>
      </c>
      <c r="B35" s="50" t="str">
        <f>IF('Levy Page 18'!$C$33&lt;&gt;0,'Levy Page 18'!$C$33,"  ")</f>
        <v xml:space="preserve">  </v>
      </c>
      <c r="C35" s="200" t="str">
        <f>IF(inputPrYr!D110&lt;&gt;0,inputPrYr!D110,"  ")</f>
        <v xml:space="preserve">  </v>
      </c>
      <c r="D35" s="50" t="str">
        <f>IF('Levy Page 18'!$D$33&lt;&gt;0,'Levy Page 18'!$D$33,"  ")</f>
        <v xml:space="preserve">  </v>
      </c>
      <c r="E35" s="200" t="str">
        <f>IF(inputPrYr!F36&lt;&gt;0,inputPrYr!F36,"  ")</f>
        <v xml:space="preserve">  </v>
      </c>
      <c r="F35" s="50" t="str">
        <f>IF('Levy Page 18'!$E$33&lt;&gt;0,'Levy Page 18'!$E$33,"  ")</f>
        <v xml:space="preserve">  </v>
      </c>
      <c r="G35" s="50" t="str">
        <f>IF('Levy Page 18'!$E$40&lt;&gt;0,'Levy Page 18'!$E$40,"  ")</f>
        <v xml:space="preserve">  </v>
      </c>
      <c r="H35" s="200" t="str">
        <f>IF('Levy Page 18'!$E$40&lt;&gt;0,ROUND(G35/$F$66*1000,3),"  ")</f>
        <v xml:space="preserve">  </v>
      </c>
    </row>
    <row r="36" spans="1:13" x14ac:dyDescent="0.2">
      <c r="A36" s="50" t="str">
        <f>IF((inputPrYr!$B37&gt;" "),(inputPrYr!$B37),"  ")</f>
        <v xml:space="preserve">  </v>
      </c>
      <c r="B36" s="50" t="str">
        <f>IF('Levy Page 18'!$C$74&lt;&gt;0,'Levy Page 18'!$C$74,"  ")</f>
        <v xml:space="preserve">  </v>
      </c>
      <c r="C36" s="200" t="str">
        <f>IF(inputPrYr!D111&lt;&gt;0,inputPrYr!D111,"  ")</f>
        <v xml:space="preserve">  </v>
      </c>
      <c r="D36" s="50" t="str">
        <f>IF('Levy Page 18'!$D$74&lt;&gt;0,'Levy Page 18'!$D$74,"  ")</f>
        <v xml:space="preserve">  </v>
      </c>
      <c r="E36" s="200" t="str">
        <f>IF(inputPrYr!F37&lt;&gt;0,inputPrYr!F37,"  ")</f>
        <v xml:space="preserve">  </v>
      </c>
      <c r="F36" s="50" t="str">
        <f>IF('Levy Page 18'!$E$74&lt;&gt;0,'Levy Page 18'!$E$74,"  ")</f>
        <v xml:space="preserve">  </v>
      </c>
      <c r="G36" s="50" t="str">
        <f>IF('Levy Page 18'!$E$81&lt;&gt;0,'Levy Page 18'!$E$81,"  ")</f>
        <v xml:space="preserve">  </v>
      </c>
      <c r="H36" s="200" t="str">
        <f>IF('Levy Page 18'!$E$81&lt;&gt;0,ROUND(G36/$F$66*1000,3),"  ")</f>
        <v xml:space="preserve">  </v>
      </c>
    </row>
    <row r="37" spans="1:13" x14ac:dyDescent="0.2">
      <c r="A37" s="50" t="str">
        <f>IF((inputPrYr!$B38&gt;" "),(inputPrYr!$B38),"  ")</f>
        <v xml:space="preserve">  </v>
      </c>
      <c r="B37" s="50" t="str">
        <f>IF('Levy Page 19'!C33&lt;&gt;0,'Levy Page 19'!C33,"  ")</f>
        <v xml:space="preserve">  </v>
      </c>
      <c r="C37" s="200" t="str">
        <f>IF(inputPrYr!D112&lt;&gt;0,inputPrYr!D112,"  ")</f>
        <v xml:space="preserve">  </v>
      </c>
      <c r="D37" s="50" t="str">
        <f>IF('Levy Page 19'!D33&lt;&gt;0,'Levy Page 19'!D33,"  ")</f>
        <v xml:space="preserve">  </v>
      </c>
      <c r="E37" s="200" t="str">
        <f>IF(inputPrYr!F38&lt;&gt;0,inputPrYr!F38,"  ")</f>
        <v xml:space="preserve">  </v>
      </c>
      <c r="F37" s="50" t="str">
        <f>IF('Levy Page 19'!E33&lt;&gt;0,'Levy Page 19'!E33,"  ")</f>
        <v xml:space="preserve">  </v>
      </c>
      <c r="G37" s="50" t="str">
        <f>IF('Levy Page 19'!E40&lt;&gt;0,'Levy Page 19'!E40,"  ")</f>
        <v xml:space="preserve">  </v>
      </c>
      <c r="H37" s="200" t="str">
        <f>IF('Levy Page 19'!E40&lt;&gt;0,ROUND(G37/$F$66*1000,3),"  ")</f>
        <v xml:space="preserve">  </v>
      </c>
    </row>
    <row r="38" spans="1:13" x14ac:dyDescent="0.2">
      <c r="A38" s="50" t="str">
        <f>IF((inputPrYr!$B39&gt;" "),(inputPrYr!$B39),"  ")</f>
        <v xml:space="preserve">  </v>
      </c>
      <c r="B38" s="50" t="str">
        <f>IF('Levy Page 19'!C74&lt;&gt;0,'Levy Page 19'!C74,"  ")</f>
        <v xml:space="preserve">  </v>
      </c>
      <c r="C38" s="200" t="str">
        <f>IF(inputPrYr!D113&lt;&gt;0,inputPrYr!D113,"  ")</f>
        <v xml:space="preserve">  </v>
      </c>
      <c r="D38" s="50" t="str">
        <f>IF('Levy Page 19'!D74&lt;&gt;0,'Levy Page 19'!D74,"  ")</f>
        <v xml:space="preserve">  </v>
      </c>
      <c r="E38" s="200" t="str">
        <f>IF(inputPrYr!F39&lt;&gt;0,inputPrYr!F39,"  ")</f>
        <v xml:space="preserve">  </v>
      </c>
      <c r="F38" s="50" t="str">
        <f>IF('Levy Page 19'!E74&lt;&gt;0,'Levy Page 19'!E74,"  ")</f>
        <v xml:space="preserve">  </v>
      </c>
      <c r="G38" s="50" t="str">
        <f>IF('Levy Page 19'!E81&lt;&gt;0,'Levy Page 19'!E81,"  ")</f>
        <v xml:space="preserve">  </v>
      </c>
      <c r="H38" s="200" t="str">
        <f>IF('Levy Page 19'!E81&lt;&gt;0,ROUND(G38/$F$66*1000,3),"  ")</f>
        <v xml:space="preserve">  </v>
      </c>
    </row>
    <row r="39" spans="1:13" x14ac:dyDescent="0.2">
      <c r="A39" s="50" t="str">
        <f>IF((inputPrYr!$B40&gt;" "),(inputPrYr!$B40),"  ")</f>
        <v xml:space="preserve">  </v>
      </c>
      <c r="B39" s="50" t="str">
        <f>IF('Levy Page 20'!$C$33&lt;&gt;0,'Levy Page 20'!$C$33,"  ")</f>
        <v xml:space="preserve">  </v>
      </c>
      <c r="C39" s="200" t="str">
        <f>IF(inputPrYr!D114&lt;&gt;0,inputPrYr!D114,"  ")</f>
        <v xml:space="preserve">  </v>
      </c>
      <c r="D39" s="50" t="str">
        <f>IF('Levy Page 20'!$D$33&lt;&gt;0,'Levy Page 20'!$D$33,"  ")</f>
        <v xml:space="preserve">  </v>
      </c>
      <c r="E39" s="200" t="str">
        <f>IF(inputPrYr!F40&lt;&gt;0,inputPrYr!F40,"  ")</f>
        <v xml:space="preserve">  </v>
      </c>
      <c r="F39" s="50" t="str">
        <f>IF('Levy Page 20'!$E$33&lt;&gt;0,'Levy Page 20'!$E$33,"  ")</f>
        <v xml:space="preserve">  </v>
      </c>
      <c r="G39" s="50" t="str">
        <f>IF('Levy Page 20'!$E$40&lt;&gt;0,'Levy Page 20'!$E$40,"  ")</f>
        <v xml:space="preserve">  </v>
      </c>
      <c r="H39" s="200" t="str">
        <f>IF('Levy Page 20'!$E$40&lt;&gt;0,ROUND(G39/$F$66*1000,3),"  ")</f>
        <v xml:space="preserve">  </v>
      </c>
    </row>
    <row r="40" spans="1:13" x14ac:dyDescent="0.2">
      <c r="A40" s="50" t="str">
        <f>IF((inputPrYr!$B41&gt;" "),(inputPrYr!$B41),"  ")</f>
        <v xml:space="preserve">  </v>
      </c>
      <c r="B40" s="50" t="str">
        <f>IF('Levy Page 20'!$C$74&lt;&gt;0,'Levy Page 20'!$C$74,"  ")</f>
        <v xml:space="preserve">  </v>
      </c>
      <c r="C40" s="200" t="str">
        <f>IF(inputPrYr!D115&lt;&gt;0,inputPrYr!D115,"  ")</f>
        <v xml:space="preserve">  </v>
      </c>
      <c r="D40" s="50" t="str">
        <f>IF('Levy Page 20'!$D$74&lt;&gt;0,'Levy Page 20'!$D$74,"  ")</f>
        <v xml:space="preserve">  </v>
      </c>
      <c r="E40" s="200" t="str">
        <f>IF(inputPrYr!F41&lt;&gt;0,inputPrYr!F41,"  ")</f>
        <v xml:space="preserve">  </v>
      </c>
      <c r="F40" s="50" t="str">
        <f>IF('Levy Page 20'!$E$74&lt;&gt;0,'Levy Page 20'!$E$74,"  ")</f>
        <v xml:space="preserve">  </v>
      </c>
      <c r="G40" s="50" t="str">
        <f>IF('Levy Page 20'!$E$81&lt;&gt;0,'Levy Page 20'!$E$81,"  ")</f>
        <v xml:space="preserve">  </v>
      </c>
      <c r="H40" s="200" t="str">
        <f>IF('Levy Page 20'!$E$81&lt;&gt;0,ROUND(G40/$F$66*1000,3),"  ")</f>
        <v xml:space="preserve">  </v>
      </c>
    </row>
    <row r="41" spans="1:13" x14ac:dyDescent="0.2">
      <c r="A41" s="50" t="str">
        <f>IF((inputPrYr!$B44&gt;" "),(inputPrYr!$B44),"  ")</f>
        <v xml:space="preserve">  </v>
      </c>
      <c r="B41" s="50" t="str">
        <f>IF('No Levy Page 21'!$C$27&lt;&gt;0,'No Levy Page 21'!$C$27,"  ")</f>
        <v xml:space="preserve">  </v>
      </c>
      <c r="C41" s="38"/>
      <c r="D41" s="50" t="str">
        <f>IF('No Levy Page 21'!$D$27&lt;&gt;0,'No Levy Page 21'!$D$27,"  ")</f>
        <v xml:space="preserve">  </v>
      </c>
      <c r="E41" s="38"/>
      <c r="F41" s="50" t="str">
        <f>IF('No Levy Page 21'!$E$27&lt;&gt;0,'No Levy Page 21'!$E$27,"  ")</f>
        <v xml:space="preserve">  </v>
      </c>
      <c r="G41" s="50"/>
      <c r="H41" s="35"/>
    </row>
    <row r="42" spans="1:13" x14ac:dyDescent="0.2">
      <c r="A42" s="50" t="str">
        <f>IF((inputPrYr!$B45&gt;" "),(inputPrYr!$B45),"  ")</f>
        <v xml:space="preserve">  </v>
      </c>
      <c r="B42" s="50" t="str">
        <f>IF('No Levy Page 21'!$C$56&lt;&gt;0,'No Levy Page 21'!$C$56,"  ")</f>
        <v xml:space="preserve">  </v>
      </c>
      <c r="C42" s="38"/>
      <c r="D42" s="50" t="str">
        <f>IF('No Levy Page 21'!$D$56&lt;&gt;0,'No Levy Page 21'!$D$56,"  ")</f>
        <v xml:space="preserve">  </v>
      </c>
      <c r="E42" s="38"/>
      <c r="F42" s="50" t="str">
        <f>IF('No Levy Page 21'!$E$56&lt;&gt;0,'No Levy Page 21'!$E$56,"  ")</f>
        <v xml:space="preserve">  </v>
      </c>
      <c r="G42" s="50"/>
      <c r="H42" s="35"/>
    </row>
    <row r="43" spans="1:13" x14ac:dyDescent="0.25">
      <c r="A43" s="50" t="str">
        <f>IF((inputPrYr!$B46&gt;" "),(inputPrYr!$B46),"  ")</f>
        <v xml:space="preserve">  </v>
      </c>
      <c r="B43" s="50" t="str">
        <f>IF('No Levy Page 22'!$C$27&lt;&gt;0,'No Levy Page 22'!$C$27,"  ")</f>
        <v xml:space="preserve">  </v>
      </c>
      <c r="C43" s="38"/>
      <c r="D43" s="50" t="str">
        <f>IF('No Levy Page 22'!$D$27&lt;&gt;0,'No Levy Page 22'!$D$27,"  ")</f>
        <v xml:space="preserve">  </v>
      </c>
      <c r="E43" s="38"/>
      <c r="F43" s="50" t="str">
        <f>IF('No Levy Page 22'!$E$27&lt;&gt;0,'No Levy Page 22'!$E$27,"  ")</f>
        <v xml:space="preserve">  </v>
      </c>
      <c r="G43" s="50"/>
      <c r="H43" s="35"/>
      <c r="J43" s="672" t="str">
        <f>CONCATENATE("Estimated Value Of One Mill For ",H1,"")</f>
        <v>Estimated Value Of One Mill For 2025</v>
      </c>
      <c r="K43" s="678"/>
      <c r="L43" s="678"/>
      <c r="M43" s="679"/>
    </row>
    <row r="44" spans="1:13" x14ac:dyDescent="0.25">
      <c r="A44" s="50" t="str">
        <f>IF((inputPrYr!$B47&gt;" "),(inputPrYr!$B47),"  ")</f>
        <v xml:space="preserve">  </v>
      </c>
      <c r="B44" s="50" t="str">
        <f>IF('No Levy Page 22'!$C$57&lt;&gt;0,'No Levy Page 22'!$C$57,"  ")</f>
        <v xml:space="preserve">  </v>
      </c>
      <c r="C44" s="38"/>
      <c r="D44" s="50" t="str">
        <f>IF('No Levy Page 22'!$D$57&lt;&gt;0,'No Levy Page 22'!$D$57,"  ")</f>
        <v xml:space="preserve">  </v>
      </c>
      <c r="E44" s="38"/>
      <c r="F44" s="50" t="str">
        <f>IF('No Levy Page 22'!$E$57&lt;&gt;0,'No Levy Page 22'!$E$57,"  ")</f>
        <v xml:space="preserve">  </v>
      </c>
      <c r="G44" s="50"/>
      <c r="H44" s="35"/>
      <c r="J44" s="272"/>
      <c r="K44" s="273"/>
      <c r="L44" s="273"/>
      <c r="M44" s="274"/>
    </row>
    <row r="45" spans="1:13" x14ac:dyDescent="0.25">
      <c r="A45" s="50" t="str">
        <f>IF((inputPrYr!$B48&gt;" "),(inputPrYr!$B48),"  ")</f>
        <v xml:space="preserve">  </v>
      </c>
      <c r="B45" s="50" t="str">
        <f>IF('No Levy Page 23'!$C$27&lt;&gt;0,'No Levy Page 23'!$C$27,"  ")</f>
        <v xml:space="preserve">  </v>
      </c>
      <c r="C45" s="38"/>
      <c r="D45" s="50" t="str">
        <f>IF('No Levy Page 23'!$D$27&lt;&gt;0,'No Levy Page 23'!$D$27,"  ")</f>
        <v xml:space="preserve">  </v>
      </c>
      <c r="E45" s="38"/>
      <c r="F45" s="50" t="str">
        <f>IF('No Levy Page 23'!$E$27&lt;&gt;0,'No Levy Page 23'!$E$27,"  ")</f>
        <v xml:space="preserve">  </v>
      </c>
      <c r="G45" s="50"/>
      <c r="H45" s="35"/>
      <c r="J45" s="275" t="s">
        <v>299</v>
      </c>
      <c r="K45" s="276"/>
      <c r="L45" s="276"/>
      <c r="M45" s="277">
        <f>ROUND(F66/1000,0)</f>
        <v>0</v>
      </c>
    </row>
    <row r="46" spans="1:13" x14ac:dyDescent="0.2">
      <c r="A46" s="50" t="str">
        <f>IF((inputPrYr!$B49&gt;" "),(inputPrYr!$B49),"  ")</f>
        <v xml:space="preserve">  </v>
      </c>
      <c r="B46" s="50" t="str">
        <f>IF('No Levy Page 23'!$C$56&lt;&gt;0,'No Levy Page 23'!$C$56,"  ")</f>
        <v xml:space="preserve">  </v>
      </c>
      <c r="C46" s="38"/>
      <c r="D46" s="50" t="str">
        <f>IF('No Levy Page 23'!$D$56&lt;&gt;0,'No Levy Page 23'!$D$56,"  ")</f>
        <v xml:space="preserve">  </v>
      </c>
      <c r="E46" s="38"/>
      <c r="F46" s="50" t="str">
        <f>IF('No Levy Page 23'!$E$56&lt;&gt;0,'No Levy Page 23'!$E$56,"  ")</f>
        <v xml:space="preserve">  </v>
      </c>
      <c r="G46" s="50"/>
      <c r="H46" s="35"/>
    </row>
    <row r="47" spans="1:13" x14ac:dyDescent="0.25">
      <c r="A47" s="50" t="str">
        <f>IF((inputPrYr!$B50&gt;" "),(inputPrYr!$B50),"  ")</f>
        <v xml:space="preserve">  </v>
      </c>
      <c r="B47" s="50" t="str">
        <f>IF('No Levy Page 24'!$C$27&lt;&gt;0,'No Levy Page 24'!$C$27,"  ")</f>
        <v xml:space="preserve">  </v>
      </c>
      <c r="C47" s="38"/>
      <c r="D47" s="50" t="str">
        <f>IF('No Levy Page 24'!$D$27&lt;&gt;0,'No Levy Page 24'!$D$27,"  ")</f>
        <v xml:space="preserve">  </v>
      </c>
      <c r="E47" s="38"/>
      <c r="F47" s="50" t="str">
        <f>IF('No Levy Page 24'!$E$27&lt;&gt;0,'No Levy Page 24'!$E$27,"  ")</f>
        <v xml:space="preserve">  </v>
      </c>
      <c r="G47" s="50"/>
      <c r="H47" s="35"/>
      <c r="J47" s="672" t="str">
        <f>CONCATENATE("Want The Mill Rate The Same As For ",H1-1,"?")</f>
        <v>Want The Mill Rate The Same As For 2024?</v>
      </c>
      <c r="K47" s="678"/>
      <c r="L47" s="678"/>
      <c r="M47" s="679"/>
    </row>
    <row r="48" spans="1:13" x14ac:dyDescent="0.25">
      <c r="A48" s="50" t="str">
        <f>IF((inputPrYr!$B51&gt;" "),(inputPrYr!$B51),"  ")</f>
        <v xml:space="preserve">  </v>
      </c>
      <c r="B48" s="50" t="str">
        <f>IF('No Levy Page 24'!$C$56&lt;&gt;0,'No Levy Page 24'!$C$56,"  ")</f>
        <v xml:space="preserve">  </v>
      </c>
      <c r="C48" s="38"/>
      <c r="D48" s="50" t="str">
        <f>IF('No Levy Page 24'!$D$56&lt;&gt;0,'No Levy Page 24'!$D$56,"  ")</f>
        <v xml:space="preserve">  </v>
      </c>
      <c r="E48" s="38"/>
      <c r="F48" s="50" t="str">
        <f>IF('No Levy Page 24'!$E$56&lt;&gt;0,'No Levy Page 24'!$E$56,"  ")</f>
        <v xml:space="preserve">  </v>
      </c>
      <c r="G48" s="50"/>
      <c r="H48" s="35"/>
      <c r="J48" s="279"/>
      <c r="K48" s="273"/>
      <c r="L48" s="273"/>
      <c r="M48" s="280"/>
    </row>
    <row r="49" spans="1:13" x14ac:dyDescent="0.25">
      <c r="A49" s="50" t="str">
        <f>IF((inputPrYr!$B52&gt;" "),(inputPrYr!$B52),"  ")</f>
        <v xml:space="preserve">  </v>
      </c>
      <c r="B49" s="50" t="str">
        <f>IF('No Levy Page 25'!$C$27&lt;&gt;0,'No Levy Page 25'!$C$27,"  ")</f>
        <v xml:space="preserve">  </v>
      </c>
      <c r="C49" s="38"/>
      <c r="D49" s="50" t="str">
        <f>IF('No Levy Page 25'!$D$27&lt;&gt;0,'No Levy Page 25'!$D$27,"  ")</f>
        <v xml:space="preserve">  </v>
      </c>
      <c r="E49" s="38"/>
      <c r="F49" s="50" t="str">
        <f>IF('No Levy Page 25'!$E$27&lt;&gt;0,'No Levy Page 25'!$E$27,"  ")</f>
        <v xml:space="preserve">  </v>
      </c>
      <c r="G49" s="50"/>
      <c r="H49" s="35"/>
      <c r="J49" s="279" t="str">
        <f>CONCATENATE("",H1-1," Mill Rate Was:")</f>
        <v>2024 Mill Rate Was:</v>
      </c>
      <c r="K49" s="273"/>
      <c r="L49" s="273"/>
      <c r="M49" s="281">
        <f>E61</f>
        <v>0</v>
      </c>
    </row>
    <row r="50" spans="1:13" x14ac:dyDescent="0.25">
      <c r="A50" s="50" t="str">
        <f>IF((inputPrYr!$B53&gt;" "),(inputPrYr!$B53),"  ")</f>
        <v xml:space="preserve">  </v>
      </c>
      <c r="B50" s="50" t="str">
        <f>IF('No Levy Page 25'!$C$57&lt;&gt;0,'No Levy Page 25'!$C$57,"  ")</f>
        <v xml:space="preserve">  </v>
      </c>
      <c r="C50" s="38"/>
      <c r="D50" s="50" t="str">
        <f>IF('No Levy Page 25'!$D$57&lt;&gt;0,'No Levy Page 25'!$D$57,"  ")</f>
        <v xml:space="preserve">  </v>
      </c>
      <c r="E50" s="38"/>
      <c r="F50" s="50" t="str">
        <f>IF('No Levy Page 25'!$E$57&lt;&gt;0,'No Levy Page 25'!$E$57,"  ")</f>
        <v xml:space="preserve">  </v>
      </c>
      <c r="G50" s="50"/>
      <c r="H50" s="35"/>
      <c r="J50" s="282" t="str">
        <f>CONCATENATE("",H1," Tax Levy Fund Expenditures Must Be")</f>
        <v>2025 Tax Levy Fund Expenditures Must Be</v>
      </c>
      <c r="K50" s="283"/>
      <c r="L50" s="283"/>
      <c r="M50" s="280"/>
    </row>
    <row r="51" spans="1:13" x14ac:dyDescent="0.25">
      <c r="A51" s="50" t="str">
        <f>IF((inputPrYr!$B54&gt;" "),(inputPrYr!$B54),"  ")</f>
        <v xml:space="preserve">  </v>
      </c>
      <c r="B51" s="50" t="str">
        <f>IF('No Levy Page 26'!$C$27&lt;&gt;0,'No Levy Page 26'!$C$27,"  ")</f>
        <v xml:space="preserve">  </v>
      </c>
      <c r="C51" s="38"/>
      <c r="D51" s="50" t="str">
        <f>IF('No Levy Page 26'!$D$27&lt;&gt;0,'No Levy Page 26'!$D$27,"  ")</f>
        <v xml:space="preserve">  </v>
      </c>
      <c r="E51" s="38"/>
      <c r="F51" s="50" t="str">
        <f>IF('No Levy Page 26'!$E$27&lt;&gt;0,'No Levy Page 26'!$E$27,"  ")</f>
        <v xml:space="preserve">  </v>
      </c>
      <c r="G51" s="50"/>
      <c r="H51" s="35"/>
      <c r="J51" s="282" t="str">
        <f>IF(M51&gt;0,"Increased By:","")</f>
        <v/>
      </c>
      <c r="K51" s="283"/>
      <c r="L51" s="283"/>
      <c r="M51" s="290">
        <f>IF(M58&lt;0,M58*-1,0)</f>
        <v>0</v>
      </c>
    </row>
    <row r="52" spans="1:13" x14ac:dyDescent="0.2">
      <c r="A52" s="50" t="str">
        <f>IF((inputPrYr!$B55&gt;" "),(inputPrYr!$B55),"  ")</f>
        <v xml:space="preserve">  </v>
      </c>
      <c r="B52" s="50" t="str">
        <f>IF('No Levy Page 26'!$C$57&lt;&gt;0,'No Levy Page 26'!$C$57,"  ")</f>
        <v xml:space="preserve">  </v>
      </c>
      <c r="C52" s="38"/>
      <c r="D52" s="50" t="str">
        <f>IF('No Levy Page 26'!$D$57&lt;&gt;0,'No Levy Page 26'!$D$57,"  ")</f>
        <v xml:space="preserve">  </v>
      </c>
      <c r="E52" s="38"/>
      <c r="F52" s="50" t="str">
        <f>IF('No Levy Page 26'!$E$57&lt;&gt;0,'No Levy Page 26'!$E$57,"  ")</f>
        <v xml:space="preserve">  </v>
      </c>
      <c r="G52" s="50"/>
      <c r="H52" s="35"/>
      <c r="J52" s="291" t="str">
        <f>IF(M52&lt;0,"Reduced By:","")</f>
        <v/>
      </c>
      <c r="K52" s="292"/>
      <c r="L52" s="292"/>
      <c r="M52" s="293">
        <f>IF(M58&gt;0,M58*-1,0)</f>
        <v>0</v>
      </c>
    </row>
    <row r="53" spans="1:13" x14ac:dyDescent="0.25">
      <c r="A53" s="50" t="str">
        <f>IF((inputPrYr!$B56&gt;" "),(inputPrYr!$B56),"  ")</f>
        <v xml:space="preserve">  </v>
      </c>
      <c r="B53" s="50" t="str">
        <f>IF('No Levy Page 27'!$C$27&lt;&gt;0,'No Levy Page 27'!$C$27,"  ")</f>
        <v xml:space="preserve">  </v>
      </c>
      <c r="C53" s="38"/>
      <c r="D53" s="50" t="str">
        <f>IF('No Levy Page 27'!$D$27&lt;&gt;0,'No Levy Page 27'!$D$27,"  ")</f>
        <v xml:space="preserve">  </v>
      </c>
      <c r="E53" s="38"/>
      <c r="F53" s="50" t="str">
        <f>IF('No Levy Page 27'!$E$27&lt;&gt;0,'No Levy Page 27'!$E$27,"  ")</f>
        <v xml:space="preserve">  </v>
      </c>
      <c r="G53" s="50"/>
      <c r="H53" s="35"/>
      <c r="J53" s="278"/>
      <c r="K53" s="278"/>
      <c r="L53" s="278"/>
      <c r="M53" s="278"/>
    </row>
    <row r="54" spans="1:13" x14ac:dyDescent="0.25">
      <c r="A54" s="50" t="str">
        <f>IF((inputPrYr!$B57&gt;" "),(inputPrYr!$B57),"  ")</f>
        <v xml:space="preserve">  </v>
      </c>
      <c r="B54" s="50" t="str">
        <f>IF('No Levy Page 27'!$C$57&lt;&gt;0,'No Levy Page 27'!$C$57,"  ")</f>
        <v xml:space="preserve">  </v>
      </c>
      <c r="C54" s="38"/>
      <c r="D54" s="50" t="str">
        <f>IF('No Levy Page 27'!$D$57&lt;&gt;0,'No Levy Page 27'!$D$57,"  ")</f>
        <v xml:space="preserve">  </v>
      </c>
      <c r="E54" s="38"/>
      <c r="F54" s="50" t="str">
        <f>IF('No Levy Page 27'!$E$57&lt;&gt;0,'No Levy Page 27'!$E$57,"  ")</f>
        <v xml:space="preserve">  </v>
      </c>
      <c r="G54" s="50"/>
      <c r="H54" s="35"/>
      <c r="J54" s="672" t="str">
        <f>CONCATENATE("Impact On Keeping The Same Mill Rate As For ",H1-1,"")</f>
        <v>Impact On Keeping The Same Mill Rate As For 2024</v>
      </c>
      <c r="K54" s="673"/>
      <c r="L54" s="673"/>
      <c r="M54" s="674"/>
    </row>
    <row r="55" spans="1:13" x14ac:dyDescent="0.25">
      <c r="A55" s="50" t="str">
        <f>IF((inputPrYr!$B58&gt;" "),(inputPrYr!$B58),"  ")</f>
        <v xml:space="preserve">  </v>
      </c>
      <c r="B55" s="50" t="str">
        <f>IF('No Levy Page 28'!$C$27&lt;&gt;0,'No Levy Page 28'!$C$27,"  ")</f>
        <v xml:space="preserve">  </v>
      </c>
      <c r="C55" s="38"/>
      <c r="D55" s="50" t="str">
        <f>IF('No Levy Page 28'!$D$27&lt;&gt;0,'No Levy Page 28'!$D$27,"  ")</f>
        <v xml:space="preserve">  </v>
      </c>
      <c r="E55" s="38"/>
      <c r="F55" s="50" t="str">
        <f>IF('No Levy Page 28'!$E$27&lt;&gt;0,'No Levy Page 28'!$E$27,"  ")</f>
        <v xml:space="preserve">  </v>
      </c>
      <c r="G55" s="50"/>
      <c r="H55" s="35"/>
      <c r="J55" s="279"/>
      <c r="K55" s="273"/>
      <c r="L55" s="273"/>
      <c r="M55" s="280"/>
    </row>
    <row r="56" spans="1:13" x14ac:dyDescent="0.25">
      <c r="A56" s="50" t="str">
        <f>IF((inputPrYr!$B59&gt;" "),(inputPrYr!$B59),"  ")</f>
        <v xml:space="preserve">  </v>
      </c>
      <c r="B56" s="50" t="str">
        <f>IF('No Levy Page 28'!$C$57&lt;&gt;0,'No Levy Page 28'!$C$57,"  ")</f>
        <v xml:space="preserve">  </v>
      </c>
      <c r="C56" s="38"/>
      <c r="D56" s="50" t="str">
        <f>IF('No Levy Page 28'!$D$57&lt;&gt;0,'No Levy Page 28'!$D$57,"  ")</f>
        <v xml:space="preserve">  </v>
      </c>
      <c r="E56" s="38"/>
      <c r="F56" s="50" t="str">
        <f>IF('No Levy Page 28'!$E$57&lt;&gt;0,'No Levy Page 28'!$E$57,"  ")</f>
        <v xml:space="preserve">  </v>
      </c>
      <c r="G56" s="50"/>
      <c r="H56" s="35"/>
      <c r="J56" s="279" t="str">
        <f>CONCATENATE("",H1," Ad Valorem Tax Revenue:")</f>
        <v>2025 Ad Valorem Tax Revenue:</v>
      </c>
      <c r="K56" s="273"/>
      <c r="L56" s="273"/>
      <c r="M56" s="274">
        <f>G61</f>
        <v>0</v>
      </c>
    </row>
    <row r="57" spans="1:13" x14ac:dyDescent="0.25">
      <c r="A57" s="76" t="str">
        <f>IF((inputPrYr!$B63&gt;"  "),('Non-Budgeted Funds A'!$A3),"  ")</f>
        <v xml:space="preserve">  </v>
      </c>
      <c r="B57" s="50" t="str">
        <f>IF('Non-Budgeted Funds A'!$K$28&lt;&gt;0,'Non-Budgeted Funds A'!$K$28,"  ")</f>
        <v xml:space="preserve">  </v>
      </c>
      <c r="C57" s="38"/>
      <c r="D57" s="50"/>
      <c r="E57" s="38"/>
      <c r="F57" s="50"/>
      <c r="G57" s="50"/>
      <c r="H57" s="35"/>
      <c r="J57" s="279" t="str">
        <f>CONCATENATE("",H1-1," Ad Valorem Tax Revenue:")</f>
        <v>2024 Ad Valorem Tax Revenue:</v>
      </c>
      <c r="K57" s="273"/>
      <c r="L57" s="273"/>
      <c r="M57" s="286">
        <f>ROUND(F66*M49/1000,0)</f>
        <v>0</v>
      </c>
    </row>
    <row r="58" spans="1:13" x14ac:dyDescent="0.25">
      <c r="A58" s="76" t="str">
        <f>IF((inputPrYr!$B69&gt;"  "),('Non-Budgeted Funds B'!$A3),"  ")</f>
        <v xml:space="preserve">  </v>
      </c>
      <c r="B58" s="50" t="str">
        <f>IF('Non-Budgeted Funds B'!$K$28&lt;&gt;0,'Non-Budgeted Funds B'!$K$28,"  ")</f>
        <v xml:space="preserve">  </v>
      </c>
      <c r="C58" s="38"/>
      <c r="D58" s="50"/>
      <c r="E58" s="38"/>
      <c r="F58" s="50"/>
      <c r="G58" s="50"/>
      <c r="H58" s="35"/>
      <c r="J58" s="284" t="s">
        <v>300</v>
      </c>
      <c r="K58" s="285"/>
      <c r="L58" s="285"/>
      <c r="M58" s="277">
        <f>SUM(M56-M57)</f>
        <v>0</v>
      </c>
    </row>
    <row r="59" spans="1:13" x14ac:dyDescent="0.25">
      <c r="A59" s="76" t="str">
        <f>IF((inputPrYr!$B75&gt;"  "),('Non-Budgeted Funds C'!$A3),"  ")</f>
        <v xml:space="preserve">  </v>
      </c>
      <c r="B59" s="50" t="str">
        <f>IF('Non-Budgeted Funds C'!$K$28&lt;&gt;0,'Non-Budgeted Funds C'!$K$28,"  ")</f>
        <v xml:space="preserve">  </v>
      </c>
      <c r="C59" s="38"/>
      <c r="D59" s="50"/>
      <c r="E59" s="38"/>
      <c r="F59" s="50"/>
      <c r="G59" s="50"/>
      <c r="H59" s="35"/>
      <c r="J59" s="278"/>
      <c r="K59" s="278"/>
      <c r="L59" s="278"/>
      <c r="M59" s="278"/>
    </row>
    <row r="60" spans="1:13" x14ac:dyDescent="0.25">
      <c r="A60" s="501" t="str">
        <f>IF((inputPrYr!$B81&gt;"  "),('Non-Budgeted Funds D'!$A3),"  ")</f>
        <v xml:space="preserve">  </v>
      </c>
      <c r="B60" s="502" t="str">
        <f>IF('Non-Budgeted Funds D'!$K$28&lt;&gt;0,'Non-Budgeted Funds D'!$K$28,"  ")</f>
        <v xml:space="preserve">  </v>
      </c>
      <c r="C60" s="127"/>
      <c r="D60" s="502"/>
      <c r="E60" s="127"/>
      <c r="F60" s="502"/>
      <c r="G60" s="502"/>
      <c r="H60" s="503"/>
      <c r="J60" s="672" t="s">
        <v>301</v>
      </c>
      <c r="K60" s="675"/>
      <c r="L60" s="675"/>
      <c r="M60" s="676"/>
    </row>
    <row r="61" spans="1:13" ht="16.5" thickBot="1" x14ac:dyDescent="0.3">
      <c r="A61" s="505" t="s">
        <v>77</v>
      </c>
      <c r="B61" s="203">
        <f>SUM(B16:B60)</f>
        <v>0</v>
      </c>
      <c r="C61" s="506">
        <f>SUM(C16:C40)</f>
        <v>0</v>
      </c>
      <c r="D61" s="203">
        <f>SUM(D16:D60)</f>
        <v>0</v>
      </c>
      <c r="E61" s="506">
        <f>SUM(E16:E40)</f>
        <v>0</v>
      </c>
      <c r="F61" s="203">
        <f>SUM(F16:F60)</f>
        <v>0</v>
      </c>
      <c r="G61" s="507">
        <f>SUM(G16:G60)</f>
        <v>0</v>
      </c>
      <c r="H61" s="506">
        <f>SUM(H16:H40)</f>
        <v>0</v>
      </c>
      <c r="J61" s="279"/>
      <c r="K61" s="273"/>
      <c r="L61" s="273"/>
      <c r="M61" s="280"/>
    </row>
    <row r="62" spans="1:13" ht="16.5" thickTop="1" x14ac:dyDescent="0.25">
      <c r="A62" s="686" t="s">
        <v>371</v>
      </c>
      <c r="B62" s="687"/>
      <c r="C62" s="687"/>
      <c r="D62" s="687"/>
      <c r="E62" s="687"/>
      <c r="F62" s="687"/>
      <c r="G62" s="688"/>
      <c r="H62" s="504">
        <f>inputOth!E15</f>
        <v>0</v>
      </c>
      <c r="J62" s="279" t="str">
        <f>CONCATENATE("Current ",H1," Estimated Mill Rate:")</f>
        <v>Current 2025 Estimated Mill Rate:</v>
      </c>
      <c r="K62" s="273"/>
      <c r="L62" s="273"/>
      <c r="M62" s="281">
        <f>H61</f>
        <v>0</v>
      </c>
    </row>
    <row r="63" spans="1:13" x14ac:dyDescent="0.25">
      <c r="A63" s="25" t="s">
        <v>148</v>
      </c>
      <c r="B63" s="427">
        <f>Transfers!C27</f>
        <v>0</v>
      </c>
      <c r="C63" s="201"/>
      <c r="D63" s="427">
        <f>Transfers!D27</f>
        <v>0</v>
      </c>
      <c r="E63" s="161"/>
      <c r="F63" s="427">
        <f>Transfers!E27</f>
        <v>0</v>
      </c>
      <c r="G63" s="26"/>
      <c r="H63" s="26"/>
      <c r="J63" s="279" t="str">
        <f>CONCATENATE("Desired ",H1," Mill Rate:")</f>
        <v>Desired 2025 Mill Rate:</v>
      </c>
      <c r="K63" s="273"/>
      <c r="L63" s="273"/>
      <c r="M63" s="287">
        <v>45</v>
      </c>
    </row>
    <row r="64" spans="1:13" ht="16.5" thickBot="1" x14ac:dyDescent="0.3">
      <c r="A64" s="25" t="s">
        <v>149</v>
      </c>
      <c r="B64" s="203">
        <f>B61-B63</f>
        <v>0</v>
      </c>
      <c r="C64" s="26"/>
      <c r="D64" s="203">
        <f>D61-D63</f>
        <v>0</v>
      </c>
      <c r="E64" s="201"/>
      <c r="F64" s="203">
        <f>F61-F63</f>
        <v>0</v>
      </c>
      <c r="G64" s="26"/>
      <c r="H64" s="26"/>
      <c r="J64" s="279" t="str">
        <f>CONCATENATE("",H1," Ad Valorem Tax:")</f>
        <v>2025 Ad Valorem Tax:</v>
      </c>
      <c r="K64" s="273"/>
      <c r="L64" s="273"/>
      <c r="M64" s="286">
        <f>ROUND(F66*M63/1000,0)</f>
        <v>0</v>
      </c>
    </row>
    <row r="65" spans="1:13" ht="16.5" thickTop="1" x14ac:dyDescent="0.25">
      <c r="A65" s="25" t="s">
        <v>150</v>
      </c>
      <c r="B65" s="72">
        <f>inputPrYr!F118</f>
        <v>0</v>
      </c>
      <c r="C65" s="26"/>
      <c r="D65" s="72">
        <f>inputPrYr!E42</f>
        <v>0</v>
      </c>
      <c r="E65" s="26"/>
      <c r="F65" s="267" t="s">
        <v>33</v>
      </c>
      <c r="G65" s="26"/>
      <c r="H65" s="26"/>
      <c r="J65" s="284" t="str">
        <f>CONCATENATE("",H1," Tax Levy Fund Exp. Changed By:")</f>
        <v>2025 Tax Levy Fund Exp. Changed By:</v>
      </c>
      <c r="K65" s="285"/>
      <c r="L65" s="285"/>
      <c r="M65" s="277">
        <f>IF(M63=0,0,(M64-G61))</f>
        <v>0</v>
      </c>
    </row>
    <row r="66" spans="1:13" x14ac:dyDescent="0.2">
      <c r="A66" s="25" t="s">
        <v>151</v>
      </c>
      <c r="B66" s="50">
        <f>inputPrYr!F119</f>
        <v>0</v>
      </c>
      <c r="C66" s="26"/>
      <c r="D66" s="50">
        <f>inputPrYr!F86</f>
        <v>0</v>
      </c>
      <c r="E66" s="26"/>
      <c r="F66" s="50">
        <f>inputOth!E6</f>
        <v>0</v>
      </c>
      <c r="G66" s="26"/>
      <c r="H66" s="26"/>
    </row>
    <row r="67" spans="1:13" x14ac:dyDescent="0.2">
      <c r="A67" s="26"/>
      <c r="B67" s="26"/>
      <c r="C67" s="26"/>
      <c r="D67" s="26"/>
      <c r="E67" s="26"/>
      <c r="F67" s="26"/>
      <c r="G67" s="26"/>
      <c r="H67" s="26"/>
      <c r="J67" s="680" t="s">
        <v>549</v>
      </c>
      <c r="K67" s="681"/>
      <c r="L67" s="681"/>
      <c r="M67" s="684" t="str">
        <f>IF(H61&gt;H62, "Yes", "No")</f>
        <v>No</v>
      </c>
    </row>
    <row r="68" spans="1:13" x14ac:dyDescent="0.2">
      <c r="A68" s="25" t="s">
        <v>152</v>
      </c>
      <c r="B68" s="26"/>
      <c r="C68" s="26"/>
      <c r="D68" s="26"/>
      <c r="E68" s="26"/>
      <c r="F68" s="26"/>
      <c r="G68" s="26"/>
      <c r="H68" s="53"/>
      <c r="J68" s="682"/>
      <c r="K68" s="683"/>
      <c r="L68" s="683"/>
      <c r="M68" s="685"/>
    </row>
    <row r="69" spans="1:13" x14ac:dyDescent="0.2">
      <c r="A69" s="25" t="s">
        <v>153</v>
      </c>
      <c r="B69" s="202">
        <f>H1-3</f>
        <v>2022</v>
      </c>
      <c r="C69" s="26"/>
      <c r="D69" s="202">
        <f>H1-2</f>
        <v>2023</v>
      </c>
      <c r="E69" s="26"/>
      <c r="F69" s="202">
        <f>H1-1</f>
        <v>2024</v>
      </c>
      <c r="G69" s="26"/>
      <c r="H69" s="53"/>
      <c r="J69" s="661" t="str">
        <f>IF(M67="Yes", "Follow procedure prescirbed by KSA 79-2988 to exceed the Revenue Neutral Rate.", " ")</f>
        <v xml:space="preserve"> </v>
      </c>
      <c r="K69" s="661"/>
      <c r="L69" s="661"/>
      <c r="M69" s="661"/>
    </row>
    <row r="70" spans="1:13" x14ac:dyDescent="0.2">
      <c r="A70" s="25" t="s">
        <v>154</v>
      </c>
      <c r="B70" s="50">
        <f>inputPrYr!D123</f>
        <v>0</v>
      </c>
      <c r="C70" s="26"/>
      <c r="D70" s="50">
        <f>inputPrYr!E123</f>
        <v>0</v>
      </c>
      <c r="E70" s="26"/>
      <c r="F70" s="50">
        <f>Debt!F19</f>
        <v>0</v>
      </c>
      <c r="G70" s="26"/>
      <c r="H70" s="53"/>
      <c r="J70" s="662"/>
      <c r="K70" s="662"/>
      <c r="L70" s="662"/>
      <c r="M70" s="662"/>
    </row>
    <row r="71" spans="1:13" x14ac:dyDescent="0.2">
      <c r="A71" s="25" t="s">
        <v>155</v>
      </c>
      <c r="B71" s="50">
        <f>inputPrYr!D124</f>
        <v>0</v>
      </c>
      <c r="C71" s="26"/>
      <c r="D71" s="50">
        <f>inputPrYr!E124</f>
        <v>0</v>
      </c>
      <c r="E71" s="26"/>
      <c r="F71" s="50">
        <f>Debt!F27</f>
        <v>0</v>
      </c>
      <c r="G71" s="26"/>
      <c r="H71" s="53"/>
      <c r="J71" s="662"/>
      <c r="K71" s="662"/>
      <c r="L71" s="662"/>
      <c r="M71" s="662"/>
    </row>
    <row r="72" spans="1:13" x14ac:dyDescent="0.2">
      <c r="A72" s="25" t="s">
        <v>145</v>
      </c>
      <c r="B72" s="50">
        <f>inputPrYr!D125</f>
        <v>0</v>
      </c>
      <c r="C72" s="26"/>
      <c r="D72" s="50">
        <f>inputPrYr!E125</f>
        <v>0</v>
      </c>
      <c r="E72" s="26"/>
      <c r="F72" s="50">
        <f>Debt!F36</f>
        <v>0</v>
      </c>
      <c r="G72" s="26"/>
      <c r="H72" s="53"/>
    </row>
    <row r="73" spans="1:13" x14ac:dyDescent="0.2">
      <c r="A73" s="25" t="s">
        <v>202</v>
      </c>
      <c r="B73" s="50">
        <f>inputPrYr!D126</f>
        <v>0</v>
      </c>
      <c r="C73" s="26"/>
      <c r="D73" s="50">
        <f>inputPrYr!E126</f>
        <v>0</v>
      </c>
      <c r="E73" s="26"/>
      <c r="F73" s="50">
        <f>'LP Form'!F37</f>
        <v>0</v>
      </c>
      <c r="G73" s="26"/>
      <c r="H73" s="53"/>
    </row>
    <row r="74" spans="1:13" ht="16.5" customHeight="1" thickBot="1" x14ac:dyDescent="0.25">
      <c r="A74" s="25" t="s">
        <v>156</v>
      </c>
      <c r="B74" s="203">
        <f>SUM(B70:B73)</f>
        <v>0</v>
      </c>
      <c r="C74" s="26"/>
      <c r="D74" s="203">
        <f>SUM(D70:D73)</f>
        <v>0</v>
      </c>
      <c r="E74" s="26"/>
      <c r="F74" s="203">
        <f>SUM(F70:F73)</f>
        <v>0</v>
      </c>
      <c r="G74" s="26"/>
      <c r="H74" s="53"/>
    </row>
    <row r="75" spans="1:13" ht="16.5" customHeight="1" thickTop="1" x14ac:dyDescent="0.2">
      <c r="A75" s="25"/>
      <c r="B75" s="57"/>
      <c r="C75" s="26"/>
      <c r="D75" s="57"/>
      <c r="E75" s="26"/>
      <c r="F75" s="57"/>
      <c r="G75" s="26"/>
      <c r="H75" s="53"/>
    </row>
    <row r="76" spans="1:13" ht="16.5" customHeight="1" x14ac:dyDescent="0.2">
      <c r="A76" s="25" t="s">
        <v>157</v>
      </c>
      <c r="B76" s="26"/>
      <c r="C76" s="26"/>
      <c r="D76" s="26"/>
      <c r="E76" s="26"/>
      <c r="F76" s="26"/>
      <c r="G76" s="26"/>
      <c r="H76" s="53"/>
    </row>
    <row r="77" spans="1:13" x14ac:dyDescent="0.2">
      <c r="A77" s="431" t="s">
        <v>550</v>
      </c>
      <c r="B77" s="26"/>
      <c r="C77" s="26"/>
      <c r="D77" s="26"/>
      <c r="E77" s="26"/>
      <c r="F77" s="26"/>
      <c r="G77" s="26"/>
      <c r="H77" s="53"/>
    </row>
    <row r="78" spans="1:13" x14ac:dyDescent="0.2">
      <c r="A78" s="26"/>
      <c r="B78" s="26"/>
      <c r="C78" s="26"/>
      <c r="D78" s="26"/>
      <c r="E78" s="26"/>
      <c r="F78" s="26"/>
      <c r="G78" s="26"/>
      <c r="H78" s="53"/>
    </row>
    <row r="79" spans="1:13" x14ac:dyDescent="0.2">
      <c r="A79" s="677">
        <f>inputHearing!B14</f>
        <v>0</v>
      </c>
      <c r="B79" s="677"/>
      <c r="C79" s="26"/>
      <c r="D79" s="26"/>
      <c r="E79" s="26"/>
      <c r="F79" s="26"/>
      <c r="G79" s="26"/>
      <c r="H79" s="53"/>
    </row>
    <row r="80" spans="1:13" x14ac:dyDescent="0.2">
      <c r="A80" s="694">
        <f>inputHearing!B16</f>
        <v>0</v>
      </c>
      <c r="B80" s="694"/>
      <c r="C80" s="26"/>
      <c r="D80" s="26"/>
      <c r="E80" s="26"/>
      <c r="F80" s="26"/>
      <c r="G80" s="26"/>
      <c r="H80" s="53"/>
    </row>
    <row r="81" spans="1:8" x14ac:dyDescent="0.2">
      <c r="A81" s="26"/>
      <c r="B81" s="26"/>
      <c r="C81" s="26"/>
      <c r="D81" s="125" t="s">
        <v>91</v>
      </c>
      <c r="E81" s="368"/>
      <c r="F81" s="26"/>
      <c r="G81" s="26"/>
      <c r="H81" s="53"/>
    </row>
    <row r="82" spans="1:8" x14ac:dyDescent="0.2">
      <c r="A82" s="56"/>
      <c r="D82" s="56"/>
      <c r="E82" s="56"/>
      <c r="F82" s="56"/>
      <c r="G82" s="56"/>
      <c r="H82" s="56"/>
    </row>
  </sheetData>
  <sheetProtection sheet="1"/>
  <mergeCells count="29">
    <mergeCell ref="A80:B80"/>
    <mergeCell ref="B14:B15"/>
    <mergeCell ref="C14:C15"/>
    <mergeCell ref="E14:E15"/>
    <mergeCell ref="D14:D15"/>
    <mergeCell ref="A11:H11"/>
    <mergeCell ref="A7:H7"/>
    <mergeCell ref="A8:H8"/>
    <mergeCell ref="A9:H9"/>
    <mergeCell ref="B13:C13"/>
    <mergeCell ref="D13:E13"/>
    <mergeCell ref="F13:H13"/>
    <mergeCell ref="A2:H2"/>
    <mergeCell ref="A4:H4"/>
    <mergeCell ref="A5:H5"/>
    <mergeCell ref="A6:H6"/>
    <mergeCell ref="A10:H10"/>
    <mergeCell ref="J54:M54"/>
    <mergeCell ref="J60:M60"/>
    <mergeCell ref="A79:B79"/>
    <mergeCell ref="G14:G15"/>
    <mergeCell ref="J43:M43"/>
    <mergeCell ref="J47:M47"/>
    <mergeCell ref="J67:L68"/>
    <mergeCell ref="M67:M68"/>
    <mergeCell ref="J69:M71"/>
    <mergeCell ref="A62:G62"/>
    <mergeCell ref="H14:H15"/>
    <mergeCell ref="F14:F15"/>
  </mergeCells>
  <phoneticPr fontId="0" type="noConversion"/>
  <conditionalFormatting sqref="M67:M68">
    <cfRule type="containsText" dxfId="3" priority="1" operator="containsText" text="Yes">
      <formula>NOT(ISERROR(SEARCH("Yes",M67)))</formula>
    </cfRule>
  </conditionalFormatting>
  <pageMargins left="1.1200000000000001" right="0.5" top="0.74" bottom="0.34" header="0.5" footer="0"/>
  <pageSetup scale="62" orientation="portrait" blackAndWhite="1" horizontalDpi="120" verticalDpi="144" r:id="rId1"/>
  <headerFooter alignWithMargins="0">
    <oddHeader xml:space="preserve">&amp;RState of Kansas
County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3">
    <tabColor rgb="FF00B0F0"/>
    <pageSetUpPr fitToPage="1"/>
  </sheetPr>
  <dimension ref="A1:K57"/>
  <sheetViews>
    <sheetView zoomScale="75" workbookViewId="0">
      <selection activeCell="B15" sqref="B15"/>
    </sheetView>
  </sheetViews>
  <sheetFormatPr defaultRowHeight="15.75" x14ac:dyDescent="0.25"/>
  <cols>
    <col min="1" max="1" width="21.88671875" style="2" customWidth="1"/>
    <col min="2" max="2" width="12.77734375" style="2" customWidth="1"/>
    <col min="3" max="3" width="10.33203125" style="2" customWidth="1"/>
    <col min="4" max="4" width="12.88671875" style="2" customWidth="1"/>
    <col min="5" max="5" width="10.21875" style="2" customWidth="1"/>
    <col min="6" max="6" width="15" style="2" customWidth="1"/>
    <col min="7" max="7" width="12.77734375" style="2" customWidth="1"/>
    <col min="8" max="8" width="15.33203125" style="2" customWidth="1"/>
    <col min="9" max="9" width="9.77734375" style="2" customWidth="1"/>
    <col min="10" max="10" width="12.44140625" style="2" customWidth="1"/>
    <col min="11" max="16384" width="8.88671875" style="2"/>
  </cols>
  <sheetData>
    <row r="1" spans="1:11" x14ac:dyDescent="0.25">
      <c r="A1" s="15">
        <f>inputPrYr!C3</f>
        <v>0</v>
      </c>
      <c r="B1" s="9"/>
      <c r="C1" s="9"/>
      <c r="D1" s="9"/>
      <c r="E1" s="9"/>
      <c r="F1" s="9"/>
      <c r="G1" s="9"/>
      <c r="H1" s="9"/>
      <c r="I1" s="9"/>
      <c r="J1" s="17">
        <f>inputPrYr!C5</f>
        <v>2025</v>
      </c>
    </row>
    <row r="2" spans="1:11" x14ac:dyDescent="0.25">
      <c r="A2" s="9"/>
      <c r="B2" s="9"/>
      <c r="C2" s="9"/>
      <c r="D2" s="9"/>
      <c r="E2" s="9"/>
      <c r="F2" s="9"/>
      <c r="G2" s="9"/>
      <c r="H2" s="9"/>
      <c r="I2" s="8"/>
      <c r="J2" s="8"/>
    </row>
    <row r="3" spans="1:11" x14ac:dyDescent="0.25">
      <c r="A3" s="695" t="s">
        <v>179</v>
      </c>
      <c r="B3" s="695"/>
      <c r="C3" s="695"/>
      <c r="D3" s="695"/>
      <c r="E3" s="695"/>
      <c r="F3" s="695"/>
      <c r="G3" s="695"/>
      <c r="H3" s="695"/>
      <c r="I3" s="695"/>
      <c r="J3" s="695"/>
      <c r="K3" s="3"/>
    </row>
    <row r="4" spans="1:11" x14ac:dyDescent="0.25">
      <c r="A4" s="9"/>
      <c r="B4" s="13"/>
      <c r="C4" s="13"/>
      <c r="D4" s="13"/>
      <c r="E4" s="13"/>
      <c r="F4" s="13"/>
      <c r="G4" s="13"/>
      <c r="H4" s="13"/>
      <c r="I4" s="13"/>
      <c r="J4" s="13"/>
    </row>
    <row r="5" spans="1:11" ht="16.5" customHeight="1" x14ac:dyDescent="0.25">
      <c r="A5" s="699" t="s">
        <v>9</v>
      </c>
      <c r="B5" s="702" t="str">
        <f>CONCATENATE("Prior Year Actual for ",J1-2,"")</f>
        <v>Prior Year Actual for 2023</v>
      </c>
      <c r="C5" s="703"/>
      <c r="D5" s="704" t="str">
        <f>CONCATENATE("Current Year Estimate for ",J1-1,"")</f>
        <v>Current Year Estimate for 2024</v>
      </c>
      <c r="E5" s="705"/>
      <c r="F5" s="707" t="str">
        <f>CONCATENATE("Proposed Budget Year for ",J1,"")</f>
        <v>Proposed Budget Year for 2025</v>
      </c>
      <c r="G5" s="708"/>
      <c r="H5" s="708"/>
      <c r="I5" s="708"/>
      <c r="J5" s="709"/>
    </row>
    <row r="6" spans="1:11" ht="27" customHeight="1" x14ac:dyDescent="0.25">
      <c r="A6" s="700"/>
      <c r="B6" s="622" t="s">
        <v>60</v>
      </c>
      <c r="C6" s="601" t="s">
        <v>551</v>
      </c>
      <c r="D6" s="622" t="s">
        <v>60</v>
      </c>
      <c r="E6" s="601" t="s">
        <v>551</v>
      </c>
      <c r="F6" s="689" t="s">
        <v>538</v>
      </c>
      <c r="G6" s="706" t="str">
        <f>CONCATENATE("Amount of ",J1-1," Ad Valorem Tax")</f>
        <v>Amount of 2024 Ad Valorem Tax</v>
      </c>
      <c r="H6" s="601" t="s">
        <v>554</v>
      </c>
      <c r="I6" s="710" t="s">
        <v>555</v>
      </c>
      <c r="J6" s="706" t="str">
        <f>CONCATENATE("July 1, ",J1-1," Estimated Valuation")</f>
        <v>July 1, 2024 Estimated Valuation</v>
      </c>
    </row>
    <row r="7" spans="1:11" ht="27" customHeight="1" x14ac:dyDescent="0.25">
      <c r="A7" s="701"/>
      <c r="B7" s="624"/>
      <c r="C7" s="602"/>
      <c r="D7" s="624"/>
      <c r="E7" s="602"/>
      <c r="F7" s="690"/>
      <c r="G7" s="573"/>
      <c r="H7" s="602"/>
      <c r="I7" s="710"/>
      <c r="J7" s="573"/>
    </row>
    <row r="8" spans="1:11" x14ac:dyDescent="0.25">
      <c r="A8" s="6"/>
      <c r="B8" s="6"/>
      <c r="C8" s="7"/>
      <c r="D8" s="6"/>
      <c r="E8" s="7"/>
      <c r="F8" s="6"/>
      <c r="G8" s="6"/>
      <c r="H8" s="18" t="str">
        <f>IF(J8&lt;&gt;0,ROUND(G8/J8*1000,3),"")</f>
        <v/>
      </c>
      <c r="I8" s="432"/>
      <c r="J8" s="6"/>
      <c r="K8" s="2" t="str">
        <f>IF(H8&gt;I8, "Follow procedure in KSA 79-2988 to exceed RNR", "")</f>
        <v/>
      </c>
    </row>
    <row r="9" spans="1:11" x14ac:dyDescent="0.25">
      <c r="A9" s="6"/>
      <c r="B9" s="6"/>
      <c r="C9" s="7"/>
      <c r="D9" s="6"/>
      <c r="E9" s="7"/>
      <c r="F9" s="6"/>
      <c r="G9" s="6"/>
      <c r="H9" s="18" t="str">
        <f t="shared" ref="H9:H36" si="0">IF(J9&lt;&gt;0,ROUND(G9/J9*1000,3),"")</f>
        <v/>
      </c>
      <c r="I9" s="432"/>
      <c r="J9" s="6"/>
      <c r="K9" s="2" t="str">
        <f t="shared" ref="K9:K36" si="1">IF(H9&gt;I9, "Follow procedure in KSA 79-2988 to exceed RNR", "")</f>
        <v/>
      </c>
    </row>
    <row r="10" spans="1:11" x14ac:dyDescent="0.25">
      <c r="A10" s="6"/>
      <c r="B10" s="6"/>
      <c r="C10" s="7"/>
      <c r="D10" s="6"/>
      <c r="E10" s="7"/>
      <c r="F10" s="6"/>
      <c r="G10" s="6"/>
      <c r="H10" s="18" t="str">
        <f t="shared" si="0"/>
        <v/>
      </c>
      <c r="I10" s="432"/>
      <c r="J10" s="6"/>
      <c r="K10" s="2" t="str">
        <f t="shared" si="1"/>
        <v/>
      </c>
    </row>
    <row r="11" spans="1:11" x14ac:dyDescent="0.25">
      <c r="A11" s="6"/>
      <c r="B11" s="6"/>
      <c r="C11" s="7"/>
      <c r="D11" s="6"/>
      <c r="E11" s="7"/>
      <c r="F11" s="6"/>
      <c r="G11" s="6"/>
      <c r="H11" s="18" t="str">
        <f t="shared" si="0"/>
        <v/>
      </c>
      <c r="I11" s="432"/>
      <c r="J11" s="6"/>
      <c r="K11" s="2" t="str">
        <f t="shared" si="1"/>
        <v/>
      </c>
    </row>
    <row r="12" spans="1:11" x14ac:dyDescent="0.25">
      <c r="A12" s="6"/>
      <c r="B12" s="6"/>
      <c r="C12" s="7"/>
      <c r="D12" s="6"/>
      <c r="E12" s="7"/>
      <c r="F12" s="6"/>
      <c r="G12" s="6"/>
      <c r="H12" s="18" t="str">
        <f t="shared" si="0"/>
        <v/>
      </c>
      <c r="I12" s="432"/>
      <c r="J12" s="6"/>
      <c r="K12" s="2" t="str">
        <f t="shared" si="1"/>
        <v/>
      </c>
    </row>
    <row r="13" spans="1:11" x14ac:dyDescent="0.25">
      <c r="A13" s="6"/>
      <c r="B13" s="6"/>
      <c r="C13" s="7"/>
      <c r="D13" s="6"/>
      <c r="E13" s="7"/>
      <c r="F13" s="6"/>
      <c r="G13" s="6"/>
      <c r="H13" s="18" t="str">
        <f t="shared" si="0"/>
        <v/>
      </c>
      <c r="I13" s="432"/>
      <c r="J13" s="6"/>
      <c r="K13" s="2" t="str">
        <f t="shared" si="1"/>
        <v/>
      </c>
    </row>
    <row r="14" spans="1:11" x14ac:dyDescent="0.25">
      <c r="A14" s="6"/>
      <c r="B14" s="6"/>
      <c r="C14" s="7"/>
      <c r="D14" s="6"/>
      <c r="E14" s="7"/>
      <c r="F14" s="6"/>
      <c r="G14" s="6"/>
      <c r="H14" s="18" t="str">
        <f t="shared" si="0"/>
        <v/>
      </c>
      <c r="I14" s="432"/>
      <c r="J14" s="6"/>
      <c r="K14" s="2" t="str">
        <f t="shared" si="1"/>
        <v/>
      </c>
    </row>
    <row r="15" spans="1:11" x14ac:dyDescent="0.25">
      <c r="A15" s="6"/>
      <c r="B15" s="6"/>
      <c r="C15" s="7"/>
      <c r="D15" s="6"/>
      <c r="E15" s="7"/>
      <c r="F15" s="6"/>
      <c r="G15" s="6"/>
      <c r="H15" s="18" t="str">
        <f t="shared" si="0"/>
        <v/>
      </c>
      <c r="I15" s="432"/>
      <c r="J15" s="6"/>
      <c r="K15" s="2" t="str">
        <f t="shared" si="1"/>
        <v/>
      </c>
    </row>
    <row r="16" spans="1:11" x14ac:dyDescent="0.25">
      <c r="A16" s="6"/>
      <c r="B16" s="6"/>
      <c r="C16" s="7"/>
      <c r="D16" s="6"/>
      <c r="E16" s="7"/>
      <c r="F16" s="6"/>
      <c r="G16" s="6"/>
      <c r="H16" s="18" t="str">
        <f t="shared" si="0"/>
        <v/>
      </c>
      <c r="I16" s="432"/>
      <c r="J16" s="6"/>
      <c r="K16" s="2" t="str">
        <f t="shared" si="1"/>
        <v/>
      </c>
    </row>
    <row r="17" spans="1:11" x14ac:dyDescent="0.25">
      <c r="A17" s="6"/>
      <c r="B17" s="6"/>
      <c r="C17" s="7"/>
      <c r="D17" s="6"/>
      <c r="E17" s="7"/>
      <c r="F17" s="6"/>
      <c r="G17" s="6"/>
      <c r="H17" s="18" t="str">
        <f t="shared" si="0"/>
        <v/>
      </c>
      <c r="I17" s="432"/>
      <c r="J17" s="6"/>
      <c r="K17" s="2" t="str">
        <f t="shared" si="1"/>
        <v/>
      </c>
    </row>
    <row r="18" spans="1:11" x14ac:dyDescent="0.25">
      <c r="A18" s="6"/>
      <c r="B18" s="6"/>
      <c r="C18" s="7"/>
      <c r="D18" s="6"/>
      <c r="E18" s="7"/>
      <c r="F18" s="6"/>
      <c r="G18" s="6"/>
      <c r="H18" s="18" t="str">
        <f t="shared" si="0"/>
        <v/>
      </c>
      <c r="I18" s="432"/>
      <c r="J18" s="6"/>
      <c r="K18" s="2" t="str">
        <f t="shared" si="1"/>
        <v/>
      </c>
    </row>
    <row r="19" spans="1:11" x14ac:dyDescent="0.25">
      <c r="A19" s="6"/>
      <c r="B19" s="6"/>
      <c r="C19" s="7"/>
      <c r="D19" s="6"/>
      <c r="E19" s="7"/>
      <c r="F19" s="6"/>
      <c r="G19" s="6"/>
      <c r="H19" s="18" t="str">
        <f t="shared" si="0"/>
        <v/>
      </c>
      <c r="I19" s="432"/>
      <c r="J19" s="6"/>
      <c r="K19" s="2" t="str">
        <f t="shared" si="1"/>
        <v/>
      </c>
    </row>
    <row r="20" spans="1:11" x14ac:dyDescent="0.25">
      <c r="A20" s="6"/>
      <c r="B20" s="6"/>
      <c r="C20" s="7"/>
      <c r="D20" s="6"/>
      <c r="E20" s="7"/>
      <c r="F20" s="6"/>
      <c r="G20" s="6"/>
      <c r="H20" s="18" t="str">
        <f t="shared" si="0"/>
        <v/>
      </c>
      <c r="I20" s="432"/>
      <c r="J20" s="6"/>
      <c r="K20" s="2" t="str">
        <f t="shared" si="1"/>
        <v/>
      </c>
    </row>
    <row r="21" spans="1:11" x14ac:dyDescent="0.25">
      <c r="A21" s="6"/>
      <c r="B21" s="6"/>
      <c r="C21" s="7"/>
      <c r="D21" s="6"/>
      <c r="E21" s="7"/>
      <c r="F21" s="6"/>
      <c r="G21" s="6"/>
      <c r="H21" s="18" t="str">
        <f t="shared" si="0"/>
        <v/>
      </c>
      <c r="I21" s="432"/>
      <c r="J21" s="6"/>
      <c r="K21" s="2" t="str">
        <f t="shared" si="1"/>
        <v/>
      </c>
    </row>
    <row r="22" spans="1:11" x14ac:dyDescent="0.25">
      <c r="A22" s="6"/>
      <c r="B22" s="6"/>
      <c r="C22" s="7"/>
      <c r="D22" s="6"/>
      <c r="E22" s="7"/>
      <c r="F22" s="6"/>
      <c r="G22" s="6"/>
      <c r="H22" s="18" t="str">
        <f t="shared" si="0"/>
        <v/>
      </c>
      <c r="I22" s="432"/>
      <c r="J22" s="6"/>
      <c r="K22" s="2" t="str">
        <f t="shared" si="1"/>
        <v/>
      </c>
    </row>
    <row r="23" spans="1:11" x14ac:dyDescent="0.25">
      <c r="A23" s="6"/>
      <c r="B23" s="6"/>
      <c r="C23" s="7"/>
      <c r="D23" s="6"/>
      <c r="E23" s="7"/>
      <c r="F23" s="6"/>
      <c r="G23" s="6"/>
      <c r="H23" s="18" t="str">
        <f t="shared" si="0"/>
        <v/>
      </c>
      <c r="I23" s="432"/>
      <c r="J23" s="6"/>
      <c r="K23" s="2" t="str">
        <f t="shared" si="1"/>
        <v/>
      </c>
    </row>
    <row r="24" spans="1:11" x14ac:dyDescent="0.25">
      <c r="A24" s="6"/>
      <c r="B24" s="6"/>
      <c r="C24" s="7"/>
      <c r="D24" s="6"/>
      <c r="E24" s="7"/>
      <c r="F24" s="6"/>
      <c r="G24" s="6"/>
      <c r="H24" s="18" t="str">
        <f t="shared" si="0"/>
        <v/>
      </c>
      <c r="I24" s="432"/>
      <c r="J24" s="6"/>
      <c r="K24" s="2" t="str">
        <f t="shared" si="1"/>
        <v/>
      </c>
    </row>
    <row r="25" spans="1:11" x14ac:dyDescent="0.25">
      <c r="A25" s="6"/>
      <c r="B25" s="6"/>
      <c r="C25" s="7"/>
      <c r="D25" s="6"/>
      <c r="E25" s="7"/>
      <c r="F25" s="6"/>
      <c r="G25" s="6"/>
      <c r="H25" s="18" t="str">
        <f t="shared" si="0"/>
        <v/>
      </c>
      <c r="I25" s="432"/>
      <c r="J25" s="6"/>
      <c r="K25" s="2" t="str">
        <f t="shared" si="1"/>
        <v/>
      </c>
    </row>
    <row r="26" spans="1:11" x14ac:dyDescent="0.25">
      <c r="A26" s="6"/>
      <c r="B26" s="6"/>
      <c r="C26" s="7"/>
      <c r="D26" s="6"/>
      <c r="E26" s="7"/>
      <c r="F26" s="6"/>
      <c r="G26" s="6"/>
      <c r="H26" s="18" t="str">
        <f t="shared" si="0"/>
        <v/>
      </c>
      <c r="I26" s="432"/>
      <c r="J26" s="6"/>
      <c r="K26" s="2" t="str">
        <f t="shared" si="1"/>
        <v/>
      </c>
    </row>
    <row r="27" spans="1:11" x14ac:dyDescent="0.25">
      <c r="A27" s="6"/>
      <c r="B27" s="6"/>
      <c r="C27" s="7"/>
      <c r="D27" s="6"/>
      <c r="E27" s="7"/>
      <c r="F27" s="6"/>
      <c r="G27" s="6"/>
      <c r="H27" s="18" t="str">
        <f t="shared" si="0"/>
        <v/>
      </c>
      <c r="I27" s="432"/>
      <c r="J27" s="6"/>
      <c r="K27" s="2" t="str">
        <f t="shared" si="1"/>
        <v/>
      </c>
    </row>
    <row r="28" spans="1:11" x14ac:dyDescent="0.25">
      <c r="A28" s="6"/>
      <c r="B28" s="6"/>
      <c r="C28" s="7"/>
      <c r="D28" s="6"/>
      <c r="E28" s="7"/>
      <c r="F28" s="6"/>
      <c r="G28" s="6"/>
      <c r="H28" s="18" t="str">
        <f t="shared" si="0"/>
        <v/>
      </c>
      <c r="I28" s="432"/>
      <c r="J28" s="6"/>
      <c r="K28" s="2" t="str">
        <f t="shared" si="1"/>
        <v/>
      </c>
    </row>
    <row r="29" spans="1:11" x14ac:dyDescent="0.25">
      <c r="A29" s="6"/>
      <c r="B29" s="6"/>
      <c r="C29" s="7"/>
      <c r="D29" s="6"/>
      <c r="E29" s="7"/>
      <c r="F29" s="6"/>
      <c r="G29" s="6"/>
      <c r="H29" s="18" t="str">
        <f t="shared" si="0"/>
        <v/>
      </c>
      <c r="I29" s="432"/>
      <c r="J29" s="6"/>
      <c r="K29" s="2" t="str">
        <f t="shared" si="1"/>
        <v/>
      </c>
    </row>
    <row r="30" spans="1:11" x14ac:dyDescent="0.25">
      <c r="A30" s="6"/>
      <c r="B30" s="6"/>
      <c r="C30" s="7"/>
      <c r="D30" s="6"/>
      <c r="E30" s="7"/>
      <c r="F30" s="6"/>
      <c r="G30" s="6"/>
      <c r="H30" s="18" t="str">
        <f t="shared" si="0"/>
        <v/>
      </c>
      <c r="I30" s="432"/>
      <c r="J30" s="6"/>
      <c r="K30" s="2" t="str">
        <f t="shared" si="1"/>
        <v/>
      </c>
    </row>
    <row r="31" spans="1:11" x14ac:dyDescent="0.25">
      <c r="A31" s="6"/>
      <c r="B31" s="6"/>
      <c r="C31" s="7"/>
      <c r="D31" s="6"/>
      <c r="E31" s="7"/>
      <c r="F31" s="6"/>
      <c r="G31" s="6"/>
      <c r="H31" s="18" t="str">
        <f t="shared" si="0"/>
        <v/>
      </c>
      <c r="I31" s="432"/>
      <c r="J31" s="6"/>
      <c r="K31" s="2" t="str">
        <f t="shared" si="1"/>
        <v/>
      </c>
    </row>
    <row r="32" spans="1:11" x14ac:dyDescent="0.25">
      <c r="A32" s="6"/>
      <c r="B32" s="6"/>
      <c r="C32" s="7"/>
      <c r="D32" s="6"/>
      <c r="E32" s="7"/>
      <c r="F32" s="6"/>
      <c r="G32" s="6"/>
      <c r="H32" s="18" t="str">
        <f t="shared" si="0"/>
        <v/>
      </c>
      <c r="I32" s="432"/>
      <c r="J32" s="6"/>
      <c r="K32" s="2" t="str">
        <f t="shared" si="1"/>
        <v/>
      </c>
    </row>
    <row r="33" spans="1:11" x14ac:dyDescent="0.25">
      <c r="A33" s="6"/>
      <c r="B33" s="6"/>
      <c r="C33" s="7"/>
      <c r="D33" s="6"/>
      <c r="E33" s="7"/>
      <c r="F33" s="6"/>
      <c r="G33" s="6"/>
      <c r="H33" s="18" t="str">
        <f t="shared" si="0"/>
        <v/>
      </c>
      <c r="I33" s="432"/>
      <c r="J33" s="6"/>
      <c r="K33" s="2" t="str">
        <f t="shared" si="1"/>
        <v/>
      </c>
    </row>
    <row r="34" spans="1:11" x14ac:dyDescent="0.25">
      <c r="A34" s="6"/>
      <c r="B34" s="6"/>
      <c r="C34" s="7"/>
      <c r="D34" s="6"/>
      <c r="E34" s="7"/>
      <c r="F34" s="6"/>
      <c r="G34" s="6"/>
      <c r="H34" s="18" t="str">
        <f t="shared" si="0"/>
        <v/>
      </c>
      <c r="I34" s="432"/>
      <c r="J34" s="6"/>
      <c r="K34" s="2" t="str">
        <f t="shared" si="1"/>
        <v/>
      </c>
    </row>
    <row r="35" spans="1:11" x14ac:dyDescent="0.25">
      <c r="A35" s="6"/>
      <c r="B35" s="6"/>
      <c r="C35" s="7"/>
      <c r="D35" s="6"/>
      <c r="E35" s="7"/>
      <c r="F35" s="6"/>
      <c r="G35" s="6"/>
      <c r="H35" s="18" t="str">
        <f t="shared" si="0"/>
        <v/>
      </c>
      <c r="I35" s="432"/>
      <c r="J35" s="6"/>
      <c r="K35" s="2" t="str">
        <f t="shared" si="1"/>
        <v/>
      </c>
    </row>
    <row r="36" spans="1:11" x14ac:dyDescent="0.25">
      <c r="A36" s="6"/>
      <c r="B36" s="6"/>
      <c r="C36" s="7"/>
      <c r="D36" s="6"/>
      <c r="E36" s="7"/>
      <c r="F36" s="6"/>
      <c r="G36" s="6"/>
      <c r="H36" s="18" t="str">
        <f t="shared" si="0"/>
        <v/>
      </c>
      <c r="I36" s="432"/>
      <c r="J36" s="6"/>
      <c r="K36" s="2" t="str">
        <f t="shared" si="1"/>
        <v/>
      </c>
    </row>
    <row r="37" spans="1:11" x14ac:dyDescent="0.25">
      <c r="A37" s="9"/>
      <c r="B37" s="9"/>
      <c r="C37" s="9"/>
      <c r="D37" s="9"/>
      <c r="E37" s="9"/>
      <c r="F37" s="9"/>
      <c r="G37" s="9"/>
      <c r="H37" s="9"/>
      <c r="I37" s="9"/>
      <c r="J37" s="383"/>
    </row>
    <row r="38" spans="1:11" x14ac:dyDescent="0.25">
      <c r="A38" s="10" t="s">
        <v>157</v>
      </c>
      <c r="B38" s="9"/>
      <c r="C38" s="9"/>
      <c r="D38" s="9"/>
      <c r="E38" s="9"/>
      <c r="F38" s="9"/>
      <c r="G38" s="9"/>
      <c r="H38" s="9"/>
      <c r="I38" s="9"/>
      <c r="J38" s="383"/>
    </row>
    <row r="39" spans="1:11" x14ac:dyDescent="0.25">
      <c r="A39" s="431" t="s">
        <v>550</v>
      </c>
      <c r="B39" s="9"/>
      <c r="C39" s="9"/>
      <c r="D39" s="9"/>
      <c r="E39" s="9"/>
      <c r="F39" s="9"/>
      <c r="G39" s="9"/>
      <c r="H39" s="9"/>
      <c r="I39" s="9"/>
      <c r="J39" s="383"/>
    </row>
    <row r="40" spans="1:11" x14ac:dyDescent="0.25">
      <c r="A40" s="431"/>
      <c r="B40" s="9"/>
      <c r="C40" s="9"/>
      <c r="D40" s="9"/>
      <c r="E40" s="9"/>
      <c r="F40" s="9"/>
      <c r="G40" s="9"/>
      <c r="H40" s="9"/>
      <c r="I40" s="9"/>
      <c r="J40" s="383"/>
    </row>
    <row r="41" spans="1:11" x14ac:dyDescent="0.25">
      <c r="A41" s="677">
        <f>inputHearing!B14</f>
        <v>0</v>
      </c>
      <c r="B41" s="696"/>
      <c r="C41" s="9"/>
      <c r="D41" s="9"/>
      <c r="E41" s="9"/>
      <c r="F41" s="9"/>
      <c r="G41" s="9"/>
      <c r="H41" s="9"/>
      <c r="I41" s="9"/>
      <c r="J41" s="383"/>
    </row>
    <row r="42" spans="1:11" x14ac:dyDescent="0.25">
      <c r="A42" s="697">
        <f>inputHearing!B16</f>
        <v>0</v>
      </c>
      <c r="B42" s="698"/>
      <c r="C42" s="9"/>
      <c r="D42" s="9" t="s">
        <v>146</v>
      </c>
      <c r="E42" s="369"/>
      <c r="F42" s="9"/>
      <c r="G42" s="9"/>
      <c r="H42" s="9"/>
      <c r="I42" s="9"/>
      <c r="J42" s="383"/>
    </row>
    <row r="44" spans="1:11" x14ac:dyDescent="0.25">
      <c r="A44" s="1"/>
      <c r="B44" s="1"/>
      <c r="C44" s="1"/>
      <c r="D44" s="1"/>
      <c r="E44" s="1"/>
      <c r="F44" s="1"/>
      <c r="G44" s="1"/>
      <c r="H44" s="1"/>
      <c r="I44" s="1"/>
      <c r="J44" s="1"/>
    </row>
    <row r="45" spans="1:11" x14ac:dyDescent="0.25">
      <c r="A45" s="4"/>
      <c r="B45" s="1"/>
      <c r="C45" s="1"/>
      <c r="D45" s="1"/>
      <c r="E45" s="1"/>
      <c r="F45" s="1"/>
      <c r="G45" s="1"/>
      <c r="H45" s="1"/>
      <c r="I45" s="1"/>
      <c r="J45" s="1"/>
    </row>
    <row r="46" spans="1:11" x14ac:dyDescent="0.25">
      <c r="A46" s="4"/>
      <c r="B46" s="5"/>
      <c r="C46" s="1"/>
      <c r="D46" s="5"/>
      <c r="E46" s="1"/>
      <c r="F46" s="5"/>
      <c r="G46" s="1"/>
      <c r="H46" s="1"/>
      <c r="I46" s="1"/>
      <c r="J46" s="1"/>
    </row>
    <row r="47" spans="1:11" x14ac:dyDescent="0.25">
      <c r="A47" s="4"/>
      <c r="B47" s="4"/>
      <c r="C47" s="1"/>
      <c r="D47" s="4"/>
      <c r="E47" s="1"/>
      <c r="F47" s="4"/>
      <c r="G47" s="1"/>
      <c r="H47" s="1"/>
      <c r="I47" s="1"/>
      <c r="J47" s="1"/>
    </row>
    <row r="48" spans="1:11" x14ac:dyDescent="0.25">
      <c r="A48" s="4"/>
      <c r="B48" s="4"/>
      <c r="C48" s="1"/>
      <c r="D48" s="4"/>
      <c r="E48" s="1"/>
      <c r="F48" s="4"/>
      <c r="G48" s="1"/>
      <c r="H48" s="1"/>
      <c r="I48" s="1"/>
      <c r="J48" s="1"/>
    </row>
    <row r="49" spans="1:10" x14ac:dyDescent="0.25">
      <c r="A49" s="4"/>
      <c r="B49" s="4"/>
      <c r="C49" s="1"/>
      <c r="D49" s="4"/>
      <c r="E49" s="1"/>
      <c r="F49" s="4"/>
      <c r="G49" s="1"/>
      <c r="H49" s="1"/>
      <c r="I49" s="1"/>
      <c r="J49" s="1"/>
    </row>
    <row r="50" spans="1:10" x14ac:dyDescent="0.25">
      <c r="A50" s="4"/>
      <c r="B50" s="4"/>
      <c r="C50" s="1"/>
      <c r="D50" s="4"/>
      <c r="E50" s="1"/>
      <c r="F50" s="4"/>
      <c r="G50" s="1"/>
      <c r="H50" s="1"/>
      <c r="I50" s="1"/>
      <c r="J50" s="1"/>
    </row>
    <row r="51" spans="1:10" x14ac:dyDescent="0.25">
      <c r="A51" s="4"/>
      <c r="B51" s="4"/>
      <c r="C51" s="1"/>
      <c r="D51" s="4"/>
      <c r="E51" s="1"/>
      <c r="F51" s="4"/>
      <c r="G51" s="1"/>
      <c r="H51" s="1"/>
      <c r="I51" s="1"/>
      <c r="J51" s="1"/>
    </row>
    <row r="52" spans="1:10" x14ac:dyDescent="0.25">
      <c r="B52" s="1"/>
      <c r="C52" s="1"/>
      <c r="D52" s="1"/>
      <c r="E52" s="1"/>
      <c r="F52" s="1"/>
      <c r="G52" s="1"/>
      <c r="H52" s="1"/>
      <c r="I52" s="1"/>
      <c r="J52" s="1"/>
    </row>
    <row r="53" spans="1:10" x14ac:dyDescent="0.25">
      <c r="B53" s="1"/>
      <c r="C53" s="1"/>
      <c r="D53" s="1"/>
      <c r="E53" s="1"/>
      <c r="F53" s="1"/>
      <c r="G53" s="1"/>
      <c r="H53" s="1"/>
      <c r="I53" s="1"/>
      <c r="J53" s="1"/>
    </row>
    <row r="54" spans="1:10" x14ac:dyDescent="0.25">
      <c r="B54" s="518"/>
      <c r="C54" s="1"/>
      <c r="D54" s="1"/>
      <c r="E54" s="1"/>
      <c r="F54" s="1"/>
      <c r="G54" s="1"/>
      <c r="H54" s="1"/>
      <c r="I54" s="1"/>
      <c r="J54" s="1"/>
    </row>
    <row r="55" spans="1:10" x14ac:dyDescent="0.25">
      <c r="B55" s="519"/>
      <c r="C55" s="1"/>
      <c r="D55" s="1"/>
      <c r="E55" s="1"/>
      <c r="F55" s="1"/>
      <c r="G55" s="1"/>
      <c r="H55" s="1"/>
      <c r="I55" s="1"/>
      <c r="J55" s="1"/>
    </row>
    <row r="56" spans="1:10" x14ac:dyDescent="0.25">
      <c r="A56" s="1"/>
      <c r="B56" s="1"/>
      <c r="C56" s="1"/>
      <c r="D56" s="1"/>
      <c r="E56" s="1"/>
      <c r="F56" s="1"/>
      <c r="G56" s="1"/>
      <c r="H56" s="1"/>
      <c r="I56" s="1"/>
      <c r="J56" s="1"/>
    </row>
    <row r="57" spans="1:10" x14ac:dyDescent="0.25">
      <c r="A57" s="1"/>
      <c r="B57" s="1"/>
      <c r="C57" s="1"/>
      <c r="D57" s="1"/>
      <c r="E57" s="1"/>
      <c r="F57" s="1"/>
      <c r="G57" s="1"/>
      <c r="H57" s="1"/>
      <c r="I57" s="1"/>
      <c r="J57" s="1"/>
    </row>
  </sheetData>
  <sheetProtection sheet="1" objects="1" scenarios="1"/>
  <mergeCells count="16">
    <mergeCell ref="A3:J3"/>
    <mergeCell ref="A41:B41"/>
    <mergeCell ref="A42:B42"/>
    <mergeCell ref="A5:A7"/>
    <mergeCell ref="B5:C5"/>
    <mergeCell ref="D5:E5"/>
    <mergeCell ref="B6:B7"/>
    <mergeCell ref="C6:C7"/>
    <mergeCell ref="D6:D7"/>
    <mergeCell ref="E6:E7"/>
    <mergeCell ref="G6:G7"/>
    <mergeCell ref="J6:J7"/>
    <mergeCell ref="F5:J5"/>
    <mergeCell ref="I6:I7"/>
    <mergeCell ref="F6:F7"/>
    <mergeCell ref="H6:H7"/>
  </mergeCells>
  <phoneticPr fontId="0" type="noConversion"/>
  <conditionalFormatting sqref="K8:K36">
    <cfRule type="notContainsBlanks" dxfId="2" priority="2">
      <formula>LEN(TRIM(K8))&gt;0</formula>
    </cfRule>
  </conditionalFormatting>
  <pageMargins left="1.1200000000000001" right="0.5" top="0.74" bottom="0.34" header="0.5" footer="0"/>
  <pageSetup scale="51" orientation="portrait" blackAndWhite="1" horizontalDpi="120" r:id="rId1"/>
  <headerFooter alignWithMargins="0">
    <oddHeader xml:space="preserve">&amp;RState of Kansas
County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D8EE2-1BB9-4700-BF0C-8C7E3B846F70}">
  <sheetPr codeName="Sheet44">
    <tabColor rgb="FF00B0F0"/>
    <pageSetUpPr fitToPage="1"/>
  </sheetPr>
  <dimension ref="A1:M82"/>
  <sheetViews>
    <sheetView zoomScale="90" zoomScaleNormal="90" workbookViewId="0">
      <selection activeCell="B14" sqref="B14:B15"/>
    </sheetView>
  </sheetViews>
  <sheetFormatPr defaultRowHeight="15.75" x14ac:dyDescent="0.2"/>
  <cols>
    <col min="1" max="1" width="19.109375" style="23" customWidth="1"/>
    <col min="2" max="2" width="15.6640625" style="23" customWidth="1"/>
    <col min="3" max="3" width="9.44140625" style="23" customWidth="1"/>
    <col min="4" max="4" width="16.77734375" style="23" customWidth="1"/>
    <col min="5" max="5" width="9.77734375" style="23" customWidth="1"/>
    <col min="6" max="6" width="15.77734375" style="23" customWidth="1"/>
    <col min="7" max="7" width="13.6640625" style="23" customWidth="1"/>
    <col min="8" max="8" width="9.77734375" style="23" customWidth="1"/>
    <col min="9" max="9" width="8.88671875" style="23"/>
    <col min="10" max="10" width="12.44140625" style="23" customWidth="1"/>
    <col min="11" max="11" width="12.33203125" style="23" customWidth="1"/>
    <col min="12" max="12" width="10.5546875" style="23" customWidth="1"/>
    <col min="13" max="13" width="12.109375" style="23" customWidth="1"/>
    <col min="14" max="16384" width="8.88671875" style="23"/>
  </cols>
  <sheetData>
    <row r="1" spans="1:9" x14ac:dyDescent="0.2">
      <c r="A1" s="26">
        <f>inputPrYr!C3</f>
        <v>0</v>
      </c>
      <c r="B1" s="26"/>
      <c r="C1" s="26"/>
      <c r="D1" s="26"/>
      <c r="E1" s="26"/>
      <c r="F1" s="26"/>
      <c r="G1" s="26"/>
      <c r="H1" s="125">
        <f>inputPrYr!C5</f>
        <v>2025</v>
      </c>
    </row>
    <row r="2" spans="1:9" x14ac:dyDescent="0.2">
      <c r="A2" s="610" t="s">
        <v>556</v>
      </c>
      <c r="B2" s="610"/>
      <c r="C2" s="610"/>
      <c r="D2" s="610"/>
      <c r="E2" s="610"/>
      <c r="F2" s="610"/>
      <c r="G2" s="610"/>
      <c r="H2" s="610"/>
      <c r="I2" s="199"/>
    </row>
    <row r="3" spans="1:9" x14ac:dyDescent="0.2">
      <c r="A3" s="589"/>
      <c r="B3" s="589"/>
      <c r="C3" s="589"/>
      <c r="D3" s="589"/>
      <c r="E3" s="589"/>
      <c r="F3" s="589"/>
      <c r="G3" s="589"/>
      <c r="H3" s="589"/>
    </row>
    <row r="4" spans="1:9" x14ac:dyDescent="0.2">
      <c r="A4" s="606" t="s">
        <v>191</v>
      </c>
      <c r="B4" s="606"/>
      <c r="C4" s="606"/>
      <c r="D4" s="606"/>
      <c r="E4" s="606"/>
      <c r="F4" s="606"/>
      <c r="G4" s="606"/>
      <c r="H4" s="606"/>
    </row>
    <row r="5" spans="1:9" x14ac:dyDescent="0.2">
      <c r="A5" s="604">
        <f>inputPrYr!C3</f>
        <v>0</v>
      </c>
      <c r="B5" s="604"/>
      <c r="C5" s="604"/>
      <c r="D5" s="604"/>
      <c r="E5" s="604"/>
      <c r="F5" s="604"/>
      <c r="G5" s="604"/>
      <c r="H5" s="604"/>
    </row>
    <row r="6" spans="1:9" x14ac:dyDescent="0.2">
      <c r="A6" s="691" t="str">
        <f>CONCATENATE("will meet on ",inputHearing!B32," at ",inputHearing!B34," at ",inputHearing!B36," for the purpose of hearing and")</f>
        <v>will meet on  at  at  for the purpose of hearing and</v>
      </c>
      <c r="B6" s="691"/>
      <c r="C6" s="691"/>
      <c r="D6" s="691"/>
      <c r="E6" s="691"/>
      <c r="F6" s="691"/>
      <c r="G6" s="691"/>
      <c r="H6" s="691"/>
    </row>
    <row r="7" spans="1:9" x14ac:dyDescent="0.2">
      <c r="A7" s="606" t="s">
        <v>557</v>
      </c>
      <c r="B7" s="606"/>
      <c r="C7" s="606"/>
      <c r="D7" s="606"/>
      <c r="E7" s="606"/>
      <c r="F7" s="606"/>
      <c r="G7" s="606"/>
      <c r="H7" s="606"/>
    </row>
    <row r="8" spans="1:9" x14ac:dyDescent="0.2">
      <c r="A8" s="691" t="str">
        <f>CONCATENATE("Detailed budget information is available at ",inputHearing!B38," and will be available at this hearing.")</f>
        <v>Detailed budget information is available at  and will be available at this hearing.</v>
      </c>
      <c r="B8" s="691"/>
      <c r="C8" s="691"/>
      <c r="D8" s="691"/>
      <c r="E8" s="691"/>
      <c r="F8" s="691"/>
      <c r="G8" s="691"/>
      <c r="H8" s="691"/>
    </row>
    <row r="9" spans="1:9" x14ac:dyDescent="0.2">
      <c r="A9" s="603" t="s">
        <v>180</v>
      </c>
      <c r="B9" s="603"/>
      <c r="C9" s="603"/>
      <c r="D9" s="603"/>
      <c r="E9" s="603"/>
      <c r="F9" s="603"/>
      <c r="G9" s="603"/>
      <c r="H9" s="603"/>
    </row>
    <row r="10" spans="1:9" x14ac:dyDescent="0.2">
      <c r="A10" s="606" t="str">
        <f>CONCATENATE("Proposed Budget ",H1," Expenditures and Amount of ",H1-1," Ad Valorem Tax establish the maximum limits of the ",H1," budget.")</f>
        <v>Proposed Budget 2025 Expenditures and Amount of 2024 Ad Valorem Tax establish the maximum limits of the 2025 budget.</v>
      </c>
      <c r="B10" s="606"/>
      <c r="C10" s="606"/>
      <c r="D10" s="606"/>
      <c r="E10" s="606"/>
      <c r="F10" s="606"/>
      <c r="G10" s="606"/>
      <c r="H10" s="606"/>
    </row>
    <row r="11" spans="1:9" x14ac:dyDescent="0.2">
      <c r="A11" s="606" t="s">
        <v>201</v>
      </c>
      <c r="B11" s="606"/>
      <c r="C11" s="606"/>
      <c r="D11" s="606"/>
      <c r="E11" s="606"/>
      <c r="F11" s="606"/>
      <c r="G11" s="606"/>
      <c r="H11" s="606"/>
    </row>
    <row r="12" spans="1:9" x14ac:dyDescent="0.2">
      <c r="A12" s="26"/>
      <c r="B12" s="26"/>
      <c r="C12" s="26"/>
      <c r="D12" s="26"/>
      <c r="E12" s="26"/>
      <c r="F12" s="26"/>
      <c r="G12" s="26"/>
      <c r="H12" s="26"/>
      <c r="I12" s="56"/>
    </row>
    <row r="13" spans="1:9" x14ac:dyDescent="0.2">
      <c r="A13" s="26"/>
      <c r="B13" s="670" t="str">
        <f>CONCATENATE("Prior Year Actual for ",H1-2,"")</f>
        <v>Prior Year Actual for 2023</v>
      </c>
      <c r="C13" s="671"/>
      <c r="D13" s="692" t="str">
        <f>CONCATENATE("Current Year Estimate for ",H1-1,"")</f>
        <v>Current Year Estimate for 2024</v>
      </c>
      <c r="E13" s="693"/>
      <c r="F13" s="596" t="str">
        <f>CONCATENATE("Proposed Budget Year for ",H1,"")</f>
        <v>Proposed Budget Year for 2025</v>
      </c>
      <c r="G13" s="597"/>
      <c r="H13" s="598"/>
    </row>
    <row r="14" spans="1:9" ht="24.95" customHeight="1" x14ac:dyDescent="0.2">
      <c r="A14" s="25"/>
      <c r="B14" s="622" t="s">
        <v>60</v>
      </c>
      <c r="C14" s="601" t="s">
        <v>551</v>
      </c>
      <c r="D14" s="622" t="s">
        <v>552</v>
      </c>
      <c r="E14" s="601" t="s">
        <v>551</v>
      </c>
      <c r="F14" s="689" t="s">
        <v>538</v>
      </c>
      <c r="G14" s="601" t="str">
        <f>CONCATENATE("Amount of ",H1-1,"       Ad Valorem Tax")</f>
        <v>Amount of 2024       Ad Valorem Tax</v>
      </c>
      <c r="H14" s="601" t="s">
        <v>553</v>
      </c>
    </row>
    <row r="15" spans="1:9" ht="24.95" customHeight="1" x14ac:dyDescent="0.2">
      <c r="A15" s="43" t="s">
        <v>147</v>
      </c>
      <c r="B15" s="624"/>
      <c r="C15" s="602"/>
      <c r="D15" s="624"/>
      <c r="E15" s="602"/>
      <c r="F15" s="690"/>
      <c r="G15" s="573"/>
      <c r="H15" s="602"/>
    </row>
    <row r="16" spans="1:9" x14ac:dyDescent="0.2">
      <c r="A16" s="50" t="str">
        <f>inputPrYr!B17</f>
        <v>General</v>
      </c>
      <c r="B16" s="50" t="str">
        <f>IF(General!$C$105&lt;&gt;0,General!$C$105,"  ")</f>
        <v xml:space="preserve">  </v>
      </c>
      <c r="C16" s="200" t="str">
        <f>IF(inputPrYr!D91&lt;&gt;0,inputPrYr!D91,"  ")</f>
        <v xml:space="preserve">  </v>
      </c>
      <c r="D16" s="50" t="str">
        <f>IF(General!$D$105&lt;&gt;0,General!$D$105,"  ")</f>
        <v xml:space="preserve">  </v>
      </c>
      <c r="E16" s="200" t="str">
        <f>IF(inputPrYr!F17&lt;&gt;0,inputPrYr!F17,"  ")</f>
        <v xml:space="preserve">  </v>
      </c>
      <c r="F16" s="50" t="str">
        <f>IF(General!$E$105&lt;&gt;0,General!$E$105,"  ")</f>
        <v xml:space="preserve">  </v>
      </c>
      <c r="G16" s="50" t="str">
        <f>IF(General!$E$112&lt;&gt;0,General!$E$112,"  ")</f>
        <v xml:space="preserve">  </v>
      </c>
      <c r="H16" s="200" t="str">
        <f>IF(General!E112&lt;&gt;0,ROUND(G16/$F$66*1000,3),"  ")</f>
        <v xml:space="preserve">  </v>
      </c>
    </row>
    <row r="17" spans="1:8" x14ac:dyDescent="0.2">
      <c r="A17" s="50" t="str">
        <f>inputPrYr!B18</f>
        <v>Debt Service</v>
      </c>
      <c r="B17" s="50" t="str">
        <f>IF('Debt Service'!$C$52&lt;&gt;0,'Debt Service'!$C$52,"  ")</f>
        <v xml:space="preserve">  </v>
      </c>
      <c r="C17" s="200" t="str">
        <f>IF(inputPrYr!D92&lt;&gt;0,inputPrYr!D92,"  ")</f>
        <v xml:space="preserve">  </v>
      </c>
      <c r="D17" s="50" t="str">
        <f>IF('Debt Service'!$D$52&lt;&gt;0,'Debt Service'!$D$52,"  ")</f>
        <v xml:space="preserve">  </v>
      </c>
      <c r="E17" s="200" t="str">
        <f>IF(inputPrYr!F18&lt;&gt;0,inputPrYr!F18,"  ")</f>
        <v xml:space="preserve">  </v>
      </c>
      <c r="F17" s="50" t="str">
        <f>IF('Debt Service'!$E$52&lt;&gt;0,'Debt Service'!$E$52,"  ")</f>
        <v xml:space="preserve">  </v>
      </c>
      <c r="G17" s="50" t="str">
        <f>IF('Debt Service'!$E$59&lt;&gt;0,'Debt Service'!$E$59,"  ")</f>
        <v xml:space="preserve">  </v>
      </c>
      <c r="H17" s="200" t="str">
        <f>IF('Debt Service'!E59&lt;&gt;0,ROUND(G17/$F$66*1000,3),"  ")</f>
        <v xml:space="preserve">  </v>
      </c>
    </row>
    <row r="18" spans="1:8" x14ac:dyDescent="0.2">
      <c r="A18" s="50" t="str">
        <f>inputPrYr!B19</f>
        <v>Road &amp; Bridge</v>
      </c>
      <c r="B18" s="50" t="str">
        <f>IF('Road &amp; Bridge'!$C$103&lt;&gt;0,'Road &amp; Bridge'!$C$103,"  ")</f>
        <v xml:space="preserve">  </v>
      </c>
      <c r="C18" s="200" t="str">
        <f>IF(inputPrYr!D93&lt;&gt;0,inputPrYr!D93,"  ")</f>
        <v xml:space="preserve">  </v>
      </c>
      <c r="D18" s="50" t="str">
        <f>IF('Road &amp; Bridge'!$D$103&lt;&gt;0,'Road &amp; Bridge'!$D$103,"  ")</f>
        <v xml:space="preserve">  </v>
      </c>
      <c r="E18" s="200" t="str">
        <f>IF(inputPrYr!F19&lt;&gt;0,inputPrYr!F19,"  ")</f>
        <v xml:space="preserve">  </v>
      </c>
      <c r="F18" s="50" t="str">
        <f>IF('Road &amp; Bridge'!$E$103&lt;&gt;0,'Road &amp; Bridge'!$E$103,"  ")</f>
        <v xml:space="preserve">  </v>
      </c>
      <c r="G18" s="50" t="str">
        <f>IF('Road &amp; Bridge'!$E$110&lt;&gt;0,'Road &amp; Bridge'!$E$110,"  ")</f>
        <v xml:space="preserve">  </v>
      </c>
      <c r="H18" s="200" t="str">
        <f>IF('Road &amp; Bridge'!E110&lt;&gt;0,ROUND(G18/$F$66*1000,3),"  ")</f>
        <v xml:space="preserve">  </v>
      </c>
    </row>
    <row r="19" spans="1:8" x14ac:dyDescent="0.2">
      <c r="A19" s="50" t="str">
        <f>IF((inputPrYr!$B20&gt;" "),(inputPrYr!$B20),"  ")</f>
        <v xml:space="preserve">  </v>
      </c>
      <c r="B19" s="50" t="str">
        <f>IF('Levy Page 10'!$C$35&lt;&gt;0,'Levy Page 10'!$C$35,"  ")</f>
        <v xml:space="preserve">  </v>
      </c>
      <c r="C19" s="200" t="str">
        <f>IF(inputPrYr!D94&lt;&gt;0,inputPrYr!D94,"  ")</f>
        <v xml:space="preserve">  </v>
      </c>
      <c r="D19" s="50" t="str">
        <f>IF('Levy Page 10'!$D$35&lt;&gt;0,'Levy Page 10'!$D$35,"  ")</f>
        <v xml:space="preserve">  </v>
      </c>
      <c r="E19" s="200" t="str">
        <f>IF(inputPrYr!F20&lt;&gt;0,inputPrYr!F20,"  ")</f>
        <v xml:space="preserve">  </v>
      </c>
      <c r="F19" s="50" t="str">
        <f>IF('Levy Page 10'!$E$35&lt;&gt;0,'Levy Page 10'!$E$35,"  ")</f>
        <v xml:space="preserve">  </v>
      </c>
      <c r="G19" s="50" t="str">
        <f>IF('Levy Page 10'!$E$42&lt;&gt;0,'Levy Page 10'!$E$42,"  ")</f>
        <v xml:space="preserve">  </v>
      </c>
      <c r="H19" s="200" t="str">
        <f>IF('Levy Page 10'!E42&lt;&gt;0,ROUND(G19/$F$66*1000,3),"  ")</f>
        <v xml:space="preserve">  </v>
      </c>
    </row>
    <row r="20" spans="1:8" x14ac:dyDescent="0.2">
      <c r="A20" s="50" t="str">
        <f>IF((inputPrYr!$B21&gt;" "),(inputPrYr!$B21),"  ")</f>
        <v xml:space="preserve">  </v>
      </c>
      <c r="B20" s="50" t="str">
        <f>IF('Levy Page 10'!$C$74&lt;&gt;0,'Levy Page 10'!$C$74,"  ")</f>
        <v xml:space="preserve">  </v>
      </c>
      <c r="C20" s="200" t="str">
        <f>IF(inputPrYr!D95&lt;&gt;0,inputPrYr!D95,"  ")</f>
        <v xml:space="preserve">  </v>
      </c>
      <c r="D20" s="50" t="str">
        <f>IF('Levy Page 10'!$D$74&lt;&gt;0,'Levy Page 10'!$D$74,"  ")</f>
        <v xml:space="preserve">  </v>
      </c>
      <c r="E20" s="200" t="str">
        <f>IF(inputPrYr!F21&lt;&gt;0,inputPrYr!F21,"  ")</f>
        <v xml:space="preserve">  </v>
      </c>
      <c r="F20" s="50" t="str">
        <f>IF('Levy Page 10'!$E$74&lt;&gt;0,'Levy Page 10'!$E$74,"  ")</f>
        <v xml:space="preserve">  </v>
      </c>
      <c r="G20" s="50" t="str">
        <f>IF('Levy Page 10'!$E$81&lt;&gt;0,'Levy Page 10'!$E$81,"  ")</f>
        <v xml:space="preserve">  </v>
      </c>
      <c r="H20" s="200" t="str">
        <f>IF('Levy Page 10'!E81&lt;&gt;0,ROUND(G20/$F$66*1000,3),"  ")</f>
        <v xml:space="preserve">  </v>
      </c>
    </row>
    <row r="21" spans="1:8" x14ac:dyDescent="0.2">
      <c r="A21" s="50" t="str">
        <f>IF((inputPrYr!$B22&gt;" "),(inputPrYr!$B22),"  ")</f>
        <v xml:space="preserve">  </v>
      </c>
      <c r="B21" s="50" t="str">
        <f>IF('Levy Page 11'!$C$35&lt;&gt;0,'Levy Page 11'!$C$35,"  ")</f>
        <v xml:space="preserve">  </v>
      </c>
      <c r="C21" s="200" t="str">
        <f>IF(inputPrYr!D96&lt;&gt;0,inputPrYr!D96,"  ")</f>
        <v xml:space="preserve">  </v>
      </c>
      <c r="D21" s="50" t="str">
        <f>IF('Levy Page 11'!$D$35&lt;&gt;0,'Levy Page 11'!$D$35,"  ")</f>
        <v xml:space="preserve">  </v>
      </c>
      <c r="E21" s="200" t="str">
        <f>IF(inputPrYr!F22&lt;&gt;0,inputPrYr!F22,"  ")</f>
        <v xml:space="preserve">  </v>
      </c>
      <c r="F21" s="50" t="str">
        <f>IF('Levy Page 11'!$E$35&lt;&gt;0,'Levy Page 11'!$E$35,"  ")</f>
        <v xml:space="preserve">  </v>
      </c>
      <c r="G21" s="50" t="str">
        <f>IF('Levy Page 11'!$E$42&lt;&gt;0,'Levy Page 11'!$E$42,"  ")</f>
        <v xml:space="preserve">  </v>
      </c>
      <c r="H21" s="200" t="str">
        <f>IF('Levy Page 11'!$E$42&lt;&gt;0,ROUND(G21/$F$66*1000,3),"  ")</f>
        <v xml:space="preserve">  </v>
      </c>
    </row>
    <row r="22" spans="1:8" x14ac:dyDescent="0.2">
      <c r="A22" s="50" t="str">
        <f>IF((inputPrYr!$B23&gt;" "),(inputPrYr!$B23),"  ")</f>
        <v xml:space="preserve">  </v>
      </c>
      <c r="B22" s="50" t="str">
        <f>IF('Levy Page 11'!$C$76&lt;&gt;0,'Levy Page 11'!$C$76,"  ")</f>
        <v xml:space="preserve">  </v>
      </c>
      <c r="C22" s="200" t="str">
        <f>IF(inputPrYr!D97&lt;&gt;0,inputPrYr!D97,"  ")</f>
        <v xml:space="preserve">  </v>
      </c>
      <c r="D22" s="50" t="str">
        <f>IF('Levy Page 11'!$D$76&lt;&gt;0,'Levy Page 11'!$D$76,"  ")</f>
        <v xml:space="preserve">  </v>
      </c>
      <c r="E22" s="200" t="str">
        <f>IF(inputPrYr!F23&lt;&gt;0,inputPrYr!F23,"  ")</f>
        <v xml:space="preserve">  </v>
      </c>
      <c r="F22" s="50" t="str">
        <f>IF('Levy Page 11'!$E$76&lt;&gt;0,'Levy Page 11'!$E$76,"  ")</f>
        <v xml:space="preserve">  </v>
      </c>
      <c r="G22" s="50" t="str">
        <f>IF('Levy Page 11'!$E$83&lt;&gt;0,'Levy Page 11'!$E$83,"  ")</f>
        <v xml:space="preserve">  </v>
      </c>
      <c r="H22" s="200" t="str">
        <f>IF('Levy Page 11'!$E$83&lt;&gt;0,ROUND(G22/$F$66*1000,3),"  ")</f>
        <v xml:space="preserve">  </v>
      </c>
    </row>
    <row r="23" spans="1:8" x14ac:dyDescent="0.2">
      <c r="A23" s="50" t="str">
        <f>IF((inputPrYr!$B24&gt;" "),(inputPrYr!$B24),"  ")</f>
        <v xml:space="preserve">  </v>
      </c>
      <c r="B23" s="50" t="str">
        <f>IF('Levy Page 12'!$C$34&lt;&gt;0,'Levy Page 12'!$C$34,"  ")</f>
        <v xml:space="preserve">  </v>
      </c>
      <c r="C23" s="200" t="str">
        <f>IF(inputPrYr!D98&lt;&gt;0,inputPrYr!D98,"  ")</f>
        <v xml:space="preserve">  </v>
      </c>
      <c r="D23" s="50" t="str">
        <f>IF('Levy Page 12'!$D$34&lt;&gt;0,'Levy Page 12'!$D$34,"  ")</f>
        <v xml:space="preserve">  </v>
      </c>
      <c r="E23" s="200" t="str">
        <f>IF(inputPrYr!F24&lt;&gt;0,inputPrYr!F24,"  ")</f>
        <v xml:space="preserve">  </v>
      </c>
      <c r="F23" s="50" t="str">
        <f>IF('Levy Page 12'!$E$34&lt;&gt;0,'Levy Page 12'!$E$34,"  ")</f>
        <v xml:space="preserve">  </v>
      </c>
      <c r="G23" s="50" t="str">
        <f>IF('Levy Page 12'!$E$41&lt;&gt;0,'Levy Page 12'!$E$41,"  ")</f>
        <v xml:space="preserve">  </v>
      </c>
      <c r="H23" s="200" t="str">
        <f>IF('Levy Page 12'!$E$41&lt;&gt;0,ROUND(G23/$F$66*1000,3),"  ")</f>
        <v xml:space="preserve">  </v>
      </c>
    </row>
    <row r="24" spans="1:8" x14ac:dyDescent="0.2">
      <c r="A24" s="50" t="str">
        <f>IF((inputPrYr!$B25&gt;" "),(inputPrYr!$B25),"  ")</f>
        <v xml:space="preserve">  </v>
      </c>
      <c r="B24" s="50" t="str">
        <f>IF('Levy Page 12'!$C$75&lt;&gt;0,'Levy Page 12'!$C$75,"  ")</f>
        <v xml:space="preserve">  </v>
      </c>
      <c r="C24" s="200" t="str">
        <f>IF(inputPrYr!D99&lt;&gt;0,inputPrYr!D99,"  ")</f>
        <v xml:space="preserve">  </v>
      </c>
      <c r="D24" s="50" t="str">
        <f>IF('Levy Page 12'!$D$75&lt;&gt;0,'Levy Page 12'!$D$75,"  ")</f>
        <v xml:space="preserve">  </v>
      </c>
      <c r="E24" s="200" t="str">
        <f>IF(inputPrYr!F25&lt;&gt;0,inputPrYr!F25,"  ")</f>
        <v xml:space="preserve">  </v>
      </c>
      <c r="F24" s="50" t="str">
        <f>IF('Levy Page 12'!$E$75&lt;&gt;0,'Levy Page 12'!$E$75,"  ")</f>
        <v xml:space="preserve">  </v>
      </c>
      <c r="G24" s="50" t="str">
        <f>IF('Levy Page 12'!$E$82&lt;&gt;0,'Levy Page 12'!$E$82,"  ")</f>
        <v xml:space="preserve">  </v>
      </c>
      <c r="H24" s="200" t="str">
        <f>IF('Levy Page 12'!$E$82&lt;&gt;0,ROUND(G24/$F$66*1000,3),"  ")</f>
        <v xml:space="preserve">  </v>
      </c>
    </row>
    <row r="25" spans="1:8" x14ac:dyDescent="0.2">
      <c r="A25" s="50" t="str">
        <f>IF((inputPrYr!$B26&gt;" "),(inputPrYr!$B26),"  ")</f>
        <v xml:space="preserve">  </v>
      </c>
      <c r="B25" s="50" t="str">
        <f>IF('Levy Page 13'!$C$34&lt;&gt;0,'Levy Page 13'!$C$34,"  ")</f>
        <v xml:space="preserve">  </v>
      </c>
      <c r="C25" s="200" t="str">
        <f>IF(inputPrYr!D100&lt;&gt;0,inputPrYr!D100,"  ")</f>
        <v xml:space="preserve">  </v>
      </c>
      <c r="D25" s="50" t="str">
        <f>IF('Levy Page 13'!$D$34&lt;&gt;0,'Levy Page 13'!$D$34,"  ")</f>
        <v xml:space="preserve">  </v>
      </c>
      <c r="E25" s="200" t="str">
        <f>IF(inputPrYr!F26&lt;&gt;0,inputPrYr!F26,"  ")</f>
        <v xml:space="preserve">  </v>
      </c>
      <c r="F25" s="50" t="str">
        <f>IF('Levy Page 13'!$E$34&lt;&gt;0,'Levy Page 13'!$E$34,"  ")</f>
        <v xml:space="preserve">  </v>
      </c>
      <c r="G25" s="50" t="str">
        <f>IF('Levy Page 13'!$E$41&lt;&gt;0,'Levy Page 13'!$E$41,"  ")</f>
        <v xml:space="preserve">  </v>
      </c>
      <c r="H25" s="200" t="str">
        <f>IF('Levy Page 13'!$E$41&lt;&gt;0,ROUND(G25/$F$66*1000,3),"  ")</f>
        <v xml:space="preserve">  </v>
      </c>
    </row>
    <row r="26" spans="1:8" x14ac:dyDescent="0.2">
      <c r="A26" s="50" t="str">
        <f>IF((inputPrYr!$B27&gt;" "),(inputPrYr!$B27),"  ")</f>
        <v xml:space="preserve">  </v>
      </c>
      <c r="B26" s="50" t="str">
        <f>IF('Levy Page 13'!$C$74&lt;&gt;0,'Levy Page 13'!$C$74,"  ")</f>
        <v xml:space="preserve">  </v>
      </c>
      <c r="C26" s="200" t="str">
        <f>IF(inputPrYr!D101&lt;&gt;0,inputPrYr!D101,"  ")</f>
        <v xml:space="preserve">  </v>
      </c>
      <c r="D26" s="50" t="str">
        <f>IF('Levy Page 13'!$D$74&lt;&gt;0,'Levy Page 13'!$D$74,"  ")</f>
        <v xml:space="preserve">  </v>
      </c>
      <c r="E26" s="200" t="str">
        <f>IF(inputPrYr!F27&lt;&gt;0,inputPrYr!F27,"  ")</f>
        <v xml:space="preserve">  </v>
      </c>
      <c r="F26" s="50" t="str">
        <f>IF('Levy Page 13'!$E$74&lt;&gt;0,'Levy Page 13'!$E$74,"  ")</f>
        <v xml:space="preserve">  </v>
      </c>
      <c r="G26" s="50" t="str">
        <f>IF('Levy Page 13'!$E$81&lt;&gt;0,'Levy Page 13'!$E$81,"  ")</f>
        <v xml:space="preserve">  </v>
      </c>
      <c r="H26" s="200" t="str">
        <f>IF('Levy Page 13'!$E$81&lt;&gt;0,ROUND(G26/$F$66*1000,3),"  ")</f>
        <v xml:space="preserve">  </v>
      </c>
    </row>
    <row r="27" spans="1:8" x14ac:dyDescent="0.2">
      <c r="A27" s="50" t="str">
        <f>IF((inputPrYr!$B28&gt;" "),(inputPrYr!$B28),"  ")</f>
        <v xml:space="preserve">  </v>
      </c>
      <c r="B27" s="50" t="str">
        <f>IF('Levy Page 14'!$C$33&lt;&gt;0,'Levy Page 14'!$C$33,"  ")</f>
        <v xml:space="preserve">  </v>
      </c>
      <c r="C27" s="200" t="str">
        <f>IF(inputPrYr!D102&lt;&gt;0,inputPrYr!D102,"  ")</f>
        <v xml:space="preserve">  </v>
      </c>
      <c r="D27" s="50" t="str">
        <f>IF('Levy Page 14'!$D$33&lt;&gt;0,'Levy Page 14'!$D$33,"  ")</f>
        <v xml:space="preserve">  </v>
      </c>
      <c r="E27" s="200" t="str">
        <f>IF(inputPrYr!F28&lt;&gt;0,inputPrYr!F28,"  ")</f>
        <v xml:space="preserve">  </v>
      </c>
      <c r="F27" s="50" t="str">
        <f>IF('Levy Page 14'!$E$33&lt;&gt;0,'Levy Page 14'!$E$33,"  ")</f>
        <v xml:space="preserve">  </v>
      </c>
      <c r="G27" s="50" t="str">
        <f>IF('Levy Page 14'!$E$40&lt;&gt;0,'Levy Page 14'!$E$40,"  ")</f>
        <v xml:space="preserve">  </v>
      </c>
      <c r="H27" s="200" t="str">
        <f>IF('Levy Page 14'!$E$40&lt;&gt;0,ROUND(G27/$F$66*1000,3),"  ")</f>
        <v xml:space="preserve">  </v>
      </c>
    </row>
    <row r="28" spans="1:8" x14ac:dyDescent="0.2">
      <c r="A28" s="50" t="str">
        <f>IF((inputPrYr!$B29&gt;" "),(inputPrYr!$B29),"  ")</f>
        <v xml:space="preserve">  </v>
      </c>
      <c r="B28" s="50" t="str">
        <f>IF('Levy Page 14'!$C$73&lt;&gt;0,'Levy Page 14'!$C$73,"  ")</f>
        <v xml:space="preserve">  </v>
      </c>
      <c r="C28" s="200" t="str">
        <f>IF(inputPrYr!D103&lt;&gt;0,inputPrYr!D103,"  ")</f>
        <v xml:space="preserve">  </v>
      </c>
      <c r="D28" s="50" t="str">
        <f>IF('Levy Page 14'!$D$73&lt;&gt;0,'Levy Page 14'!$D$73,"  ")</f>
        <v xml:space="preserve">  </v>
      </c>
      <c r="E28" s="200" t="str">
        <f>IF(inputPrYr!F29&lt;&gt;0,inputPrYr!F29,"  ")</f>
        <v xml:space="preserve">  </v>
      </c>
      <c r="F28" s="50" t="str">
        <f>IF('Levy Page 14'!$E$73&lt;&gt;0,'Levy Page 14'!$E$73,"  ")</f>
        <v xml:space="preserve">  </v>
      </c>
      <c r="G28" s="50" t="str">
        <f>IF('Levy Page 14'!$E$80&lt;&gt;0,'Levy Page 14'!$E$80,"  ")</f>
        <v xml:space="preserve">  </v>
      </c>
      <c r="H28" s="200" t="str">
        <f>IF('Levy Page 14'!$E$80&lt;&gt;0,ROUND(G28/$F$66*1000,3),"  ")</f>
        <v xml:space="preserve">  </v>
      </c>
    </row>
    <row r="29" spans="1:8" x14ac:dyDescent="0.2">
      <c r="A29" s="50" t="str">
        <f>IF((inputPrYr!$B30&gt;" "),(inputPrYr!$B30),"  ")</f>
        <v xml:space="preserve">  </v>
      </c>
      <c r="B29" s="50" t="str">
        <f>IF('Levy Page 15'!$C$33&lt;&gt;0,'Levy Page 15'!$C$33,"  ")</f>
        <v xml:space="preserve">  </v>
      </c>
      <c r="C29" s="200" t="str">
        <f>IF(inputPrYr!D104&lt;&gt;0,inputPrYr!D104,"  ")</f>
        <v xml:space="preserve">  </v>
      </c>
      <c r="D29" s="50" t="str">
        <f>IF('Levy Page 15'!$D$33&lt;&gt;0,'Levy Page 15'!$D$33,"  ")</f>
        <v xml:space="preserve">  </v>
      </c>
      <c r="E29" s="200" t="str">
        <f>IF(inputPrYr!F30&lt;&gt;0,inputPrYr!F30,"  ")</f>
        <v xml:space="preserve">  </v>
      </c>
      <c r="F29" s="50" t="str">
        <f>IF('Levy Page 15'!$E$33&lt;&gt;0,'Levy Page 15'!$E$33,"  ")</f>
        <v xml:space="preserve">  </v>
      </c>
      <c r="G29" s="50" t="str">
        <f>IF('Levy Page 15'!$E$40&lt;&gt;0,'Levy Page 15'!$E$40,"  ")</f>
        <v xml:space="preserve">  </v>
      </c>
      <c r="H29" s="200" t="str">
        <f>IF('Levy Page 15'!$E$40&lt;&gt;0,ROUND(G29/$F$66*1000,3),"  ")</f>
        <v xml:space="preserve">  </v>
      </c>
    </row>
    <row r="30" spans="1:8" x14ac:dyDescent="0.2">
      <c r="A30" s="50" t="str">
        <f>IF((inputPrYr!$B31&gt;" "),(inputPrYr!$B31),"  ")</f>
        <v xml:space="preserve">  </v>
      </c>
      <c r="B30" s="50" t="str">
        <f>IF('Levy Page 15'!$C$74&lt;&gt;0,'Levy Page 15'!$C$74,"  ")</f>
        <v xml:space="preserve">  </v>
      </c>
      <c r="C30" s="200" t="str">
        <f>IF(inputPrYr!D105&lt;&gt;0,inputPrYr!D105,"  ")</f>
        <v xml:space="preserve">  </v>
      </c>
      <c r="D30" s="50" t="str">
        <f>IF('Levy Page 15'!$D$74&lt;&gt;0,'Levy Page 15'!$D$74,"  ")</f>
        <v xml:space="preserve">  </v>
      </c>
      <c r="E30" s="200" t="str">
        <f>IF(inputPrYr!F31&lt;&gt;0,inputPrYr!F31,"  ")</f>
        <v xml:space="preserve">  </v>
      </c>
      <c r="F30" s="50" t="str">
        <f>IF('Levy Page 15'!$E$74&lt;&gt;0,'Levy Page 15'!$E$74,"  ")</f>
        <v xml:space="preserve">  </v>
      </c>
      <c r="G30" s="50" t="str">
        <f>IF('Levy Page 15'!$E$81&lt;&gt;0,'Levy Page 15'!$E$81,"  ")</f>
        <v xml:space="preserve">  </v>
      </c>
      <c r="H30" s="200" t="str">
        <f>IF('Levy Page 15'!$E$81&lt;&gt;0,ROUND(G30/$F$66*1000,3),"  ")</f>
        <v xml:space="preserve">  </v>
      </c>
    </row>
    <row r="31" spans="1:8" x14ac:dyDescent="0.2">
      <c r="A31" s="50" t="str">
        <f>IF((inputPrYr!$B32&gt;" "),(inputPrYr!$B32),"  ")</f>
        <v xml:space="preserve">  </v>
      </c>
      <c r="B31" s="50" t="str">
        <f>IF('Levy Page 16'!$C$33&lt;&gt;0,'Levy Page 16'!$C$33,"  ")</f>
        <v xml:space="preserve">  </v>
      </c>
      <c r="C31" s="200" t="str">
        <f>IF(inputPrYr!D106&lt;&gt;0,inputPrYr!D106,"  ")</f>
        <v xml:space="preserve">  </v>
      </c>
      <c r="D31" s="50" t="str">
        <f>IF('Levy Page 16'!$D$33&lt;&gt;0,'Levy Page 16'!$D$33,"  ")</f>
        <v xml:space="preserve">  </v>
      </c>
      <c r="E31" s="200" t="str">
        <f>IF(inputPrYr!F32&lt;&gt;0,inputPrYr!F32,"  ")</f>
        <v xml:space="preserve">  </v>
      </c>
      <c r="F31" s="50" t="str">
        <f>IF('Levy Page 16'!$E$33&lt;&gt;0,'Levy Page 16'!$E$33,"  ")</f>
        <v xml:space="preserve">  </v>
      </c>
      <c r="G31" s="50" t="str">
        <f>IF('Levy Page 16'!$E$40&lt;&gt;0,'Levy Page 16'!$E$40,"  ")</f>
        <v xml:space="preserve">  </v>
      </c>
      <c r="H31" s="200" t="str">
        <f>IF('Levy Page 16'!$E$40&lt;&gt;0,ROUND(G31/$F$66*1000,3),"  ")</f>
        <v xml:space="preserve">  </v>
      </c>
    </row>
    <row r="32" spans="1:8" x14ac:dyDescent="0.2">
      <c r="A32" s="50" t="str">
        <f>IF((inputPrYr!$B33&gt;" "),(inputPrYr!$B33),"  ")</f>
        <v xml:space="preserve">  </v>
      </c>
      <c r="B32" s="50" t="str">
        <f>IF('Levy Page 16'!$C$73&lt;&gt;0,'Levy Page 16'!$C$73,"  ")</f>
        <v xml:space="preserve">  </v>
      </c>
      <c r="C32" s="200" t="str">
        <f>IF(inputPrYr!D107&lt;&gt;0,inputPrYr!D107,"  ")</f>
        <v xml:space="preserve">  </v>
      </c>
      <c r="D32" s="50" t="str">
        <f>IF('Levy Page 16'!$D$73&lt;&gt;0,'Levy Page 16'!$D$73,"  ")</f>
        <v xml:space="preserve">  </v>
      </c>
      <c r="E32" s="200" t="str">
        <f>IF(inputPrYr!F33&lt;&gt;0,inputPrYr!F33,"  ")</f>
        <v xml:space="preserve">  </v>
      </c>
      <c r="F32" s="50" t="str">
        <f>IF('Levy Page 16'!$E$73&lt;&gt;0,'Levy Page 16'!$E$73,"  ")</f>
        <v xml:space="preserve">  </v>
      </c>
      <c r="G32" s="50" t="str">
        <f>IF('Levy Page 16'!$E$80&lt;&gt;0,'Levy Page 16'!$E$80,"  ")</f>
        <v xml:space="preserve">  </v>
      </c>
      <c r="H32" s="200" t="str">
        <f>IF('Levy Page 16'!$E$80&lt;&gt;0,ROUND(G32/$F$66*1000,3),"  ")</f>
        <v xml:space="preserve">  </v>
      </c>
    </row>
    <row r="33" spans="1:13" x14ac:dyDescent="0.2">
      <c r="A33" s="50" t="str">
        <f>IF((inputPrYr!$B34&gt;" "),(inputPrYr!$B34),"  ")</f>
        <v xml:space="preserve">  </v>
      </c>
      <c r="B33" s="50" t="str">
        <f>IF('Levy Page 17'!$C$33&lt;&gt;0,'Levy Page 17'!$C$33,"  ")</f>
        <v xml:space="preserve">  </v>
      </c>
      <c r="C33" s="200" t="str">
        <f>IF(inputPrYr!D108&lt;&gt;0,inputPrYr!D108,"  ")</f>
        <v xml:space="preserve">  </v>
      </c>
      <c r="D33" s="50" t="str">
        <f>IF('Levy Page 17'!$D$33&lt;&gt;0,'Levy Page 17'!$D$33,"  ")</f>
        <v xml:space="preserve">  </v>
      </c>
      <c r="E33" s="200" t="str">
        <f>IF(inputPrYr!F34&lt;&gt;0,inputPrYr!F34,"  ")</f>
        <v xml:space="preserve">  </v>
      </c>
      <c r="F33" s="50" t="str">
        <f>IF('Levy Page 17'!$E$33&lt;&gt;0,'Levy Page 17'!$E$33,"  ")</f>
        <v xml:space="preserve">  </v>
      </c>
      <c r="G33" s="50" t="str">
        <f>IF('Levy Page 17'!$E$40&lt;&gt;0,'Levy Page 17'!$E$40,"  ")</f>
        <v xml:space="preserve">  </v>
      </c>
      <c r="H33" s="200" t="str">
        <f>IF('Levy Page 17'!$E$40&lt;&gt;0,ROUND(G33/$F$66*1000,3),"  ")</f>
        <v xml:space="preserve">  </v>
      </c>
    </row>
    <row r="34" spans="1:13" x14ac:dyDescent="0.2">
      <c r="A34" s="50" t="str">
        <f>IF((inputPrYr!$B35&gt;" "),(inputPrYr!$B35),"  ")</f>
        <v xml:space="preserve">  </v>
      </c>
      <c r="B34" s="50" t="str">
        <f>IF('Levy Page 17'!$C$73&lt;&gt;0,'Levy Page 17'!$C$73,"  ")</f>
        <v xml:space="preserve">  </v>
      </c>
      <c r="C34" s="200" t="str">
        <f>IF(inputPrYr!D109&lt;&gt;0,inputPrYr!D109,"  ")</f>
        <v xml:space="preserve">  </v>
      </c>
      <c r="D34" s="50" t="str">
        <f>IF('Levy Page 17'!$D$73&lt;&gt;0,'Levy Page 17'!$D$73,"  ")</f>
        <v xml:space="preserve">  </v>
      </c>
      <c r="E34" s="200" t="str">
        <f>IF(inputPrYr!F35&lt;&gt;0,inputPrYr!F35,"  ")</f>
        <v xml:space="preserve">  </v>
      </c>
      <c r="F34" s="50" t="str">
        <f>IF('Levy Page 17'!$E$73&lt;&gt;0,'Levy Page 17'!$E$73,"  ")</f>
        <v xml:space="preserve">  </v>
      </c>
      <c r="G34" s="50" t="str">
        <f>IF('Levy Page 17'!$E$80&lt;&gt;0,'Levy Page 17'!$E$80,"  ")</f>
        <v xml:space="preserve">  </v>
      </c>
      <c r="H34" s="200" t="str">
        <f>IF('Levy Page 17'!$E$80&lt;&gt;0,ROUND(G34/$F$66*1000,3),"  ")</f>
        <v xml:space="preserve">  </v>
      </c>
    </row>
    <row r="35" spans="1:13" x14ac:dyDescent="0.2">
      <c r="A35" s="50" t="str">
        <f>IF((inputPrYr!$B36&gt;" "),(inputPrYr!$B36),"  ")</f>
        <v xml:space="preserve">  </v>
      </c>
      <c r="B35" s="50" t="str">
        <f>IF('Levy Page 18'!$C$33&lt;&gt;0,'Levy Page 18'!$C$33,"  ")</f>
        <v xml:space="preserve">  </v>
      </c>
      <c r="C35" s="200" t="str">
        <f>IF(inputPrYr!D110&lt;&gt;0,inputPrYr!D110,"  ")</f>
        <v xml:space="preserve">  </v>
      </c>
      <c r="D35" s="50" t="str">
        <f>IF('Levy Page 18'!$D$33&lt;&gt;0,'Levy Page 18'!$D$33,"  ")</f>
        <v xml:space="preserve">  </v>
      </c>
      <c r="E35" s="200" t="str">
        <f>IF(inputPrYr!F36&lt;&gt;0,inputPrYr!F36,"  ")</f>
        <v xml:space="preserve">  </v>
      </c>
      <c r="F35" s="50" t="str">
        <f>IF('Levy Page 18'!$E$33&lt;&gt;0,'Levy Page 18'!$E$33,"  ")</f>
        <v xml:space="preserve">  </v>
      </c>
      <c r="G35" s="50" t="str">
        <f>IF('Levy Page 18'!$E$40&lt;&gt;0,'Levy Page 18'!$E$40,"  ")</f>
        <v xml:space="preserve">  </v>
      </c>
      <c r="H35" s="200" t="str">
        <f>IF('Levy Page 18'!$E$40&lt;&gt;0,ROUND(G35/$F$66*1000,3),"  ")</f>
        <v xml:space="preserve">  </v>
      </c>
    </row>
    <row r="36" spans="1:13" x14ac:dyDescent="0.2">
      <c r="A36" s="50" t="str">
        <f>IF((inputPrYr!$B37&gt;" "),(inputPrYr!$B37),"  ")</f>
        <v xml:space="preserve">  </v>
      </c>
      <c r="B36" s="50" t="str">
        <f>IF('Levy Page 18'!$C$74&lt;&gt;0,'Levy Page 18'!$C$74,"  ")</f>
        <v xml:space="preserve">  </v>
      </c>
      <c r="C36" s="200" t="str">
        <f>IF(inputPrYr!D111&lt;&gt;0,inputPrYr!D111,"  ")</f>
        <v xml:space="preserve">  </v>
      </c>
      <c r="D36" s="50" t="str">
        <f>IF('Levy Page 18'!$D$74&lt;&gt;0,'Levy Page 18'!$D$74,"  ")</f>
        <v xml:space="preserve">  </v>
      </c>
      <c r="E36" s="200" t="str">
        <f>IF(inputPrYr!F37&lt;&gt;0,inputPrYr!F37,"  ")</f>
        <v xml:space="preserve">  </v>
      </c>
      <c r="F36" s="50" t="str">
        <f>IF('Levy Page 18'!$E$74&lt;&gt;0,'Levy Page 18'!$E$74,"  ")</f>
        <v xml:space="preserve">  </v>
      </c>
      <c r="G36" s="50" t="str">
        <f>IF('Levy Page 18'!$E$81&lt;&gt;0,'Levy Page 18'!$E$81,"  ")</f>
        <v xml:space="preserve">  </v>
      </c>
      <c r="H36" s="200" t="str">
        <f>IF('Levy Page 18'!$E$81&lt;&gt;0,ROUND(G36/$F$66*1000,3),"  ")</f>
        <v xml:space="preserve">  </v>
      </c>
    </row>
    <row r="37" spans="1:13" x14ac:dyDescent="0.2">
      <c r="A37" s="50" t="str">
        <f>IF((inputPrYr!$B38&gt;" "),(inputPrYr!$B38),"  ")</f>
        <v xml:space="preserve">  </v>
      </c>
      <c r="B37" s="50" t="str">
        <f>IF('Levy Page 19'!C33&lt;&gt;0,'Levy Page 19'!C33,"  ")</f>
        <v xml:space="preserve">  </v>
      </c>
      <c r="C37" s="200" t="str">
        <f>IF(inputPrYr!D112&lt;&gt;0,inputPrYr!D112,"  ")</f>
        <v xml:space="preserve">  </v>
      </c>
      <c r="D37" s="50" t="str">
        <f>IF('Levy Page 19'!D33&lt;&gt;0,'Levy Page 19'!D33,"  ")</f>
        <v xml:space="preserve">  </v>
      </c>
      <c r="E37" s="200" t="str">
        <f>IF(inputPrYr!F38&lt;&gt;0,inputPrYr!F38,"  ")</f>
        <v xml:space="preserve">  </v>
      </c>
      <c r="F37" s="50" t="str">
        <f>IF('Levy Page 19'!E33&lt;&gt;0,'Levy Page 19'!E33,"  ")</f>
        <v xml:space="preserve">  </v>
      </c>
      <c r="G37" s="50" t="str">
        <f>IF('Levy Page 19'!E40&lt;&gt;0,'Levy Page 19'!E40,"  ")</f>
        <v xml:space="preserve">  </v>
      </c>
      <c r="H37" s="200" t="str">
        <f>IF('Levy Page 19'!E40&lt;&gt;0,ROUND(G37/$F$66*1000,3),"  ")</f>
        <v xml:space="preserve">  </v>
      </c>
    </row>
    <row r="38" spans="1:13" x14ac:dyDescent="0.2">
      <c r="A38" s="50" t="str">
        <f>IF((inputPrYr!$B39&gt;" "),(inputPrYr!$B39),"  ")</f>
        <v xml:space="preserve">  </v>
      </c>
      <c r="B38" s="50" t="str">
        <f>IF('Levy Page 19'!C74&lt;&gt;0,'Levy Page 19'!C74,"  ")</f>
        <v xml:space="preserve">  </v>
      </c>
      <c r="C38" s="200" t="str">
        <f>IF(inputPrYr!D113&lt;&gt;0,inputPrYr!D113,"  ")</f>
        <v xml:space="preserve">  </v>
      </c>
      <c r="D38" s="50" t="str">
        <f>IF('Levy Page 19'!D74&lt;&gt;0,'Levy Page 19'!D74,"  ")</f>
        <v xml:space="preserve">  </v>
      </c>
      <c r="E38" s="200" t="str">
        <f>IF(inputPrYr!F39&lt;&gt;0,inputPrYr!F39,"  ")</f>
        <v xml:space="preserve">  </v>
      </c>
      <c r="F38" s="50" t="str">
        <f>IF('Levy Page 19'!E74&lt;&gt;0,'Levy Page 19'!E74,"  ")</f>
        <v xml:space="preserve">  </v>
      </c>
      <c r="G38" s="50" t="str">
        <f>IF('Levy Page 19'!E81&lt;&gt;0,'Levy Page 19'!E81,"  ")</f>
        <v xml:space="preserve">  </v>
      </c>
      <c r="H38" s="200" t="str">
        <f>IF('Levy Page 19'!E81&lt;&gt;0,ROUND(G38/$F$66*1000,3),"  ")</f>
        <v xml:space="preserve">  </v>
      </c>
    </row>
    <row r="39" spans="1:13" x14ac:dyDescent="0.2">
      <c r="A39" s="50" t="str">
        <f>IF((inputPrYr!$B40&gt;" "),(inputPrYr!$B40),"  ")</f>
        <v xml:space="preserve">  </v>
      </c>
      <c r="B39" s="50" t="str">
        <f>IF('Levy Page 20'!$C$33&lt;&gt;0,'Levy Page 20'!$C$33,"  ")</f>
        <v xml:space="preserve">  </v>
      </c>
      <c r="C39" s="200" t="str">
        <f>IF(inputPrYr!D114&lt;&gt;0,inputPrYr!D114,"  ")</f>
        <v xml:space="preserve">  </v>
      </c>
      <c r="D39" s="50" t="str">
        <f>IF('Levy Page 20'!$D$33&lt;&gt;0,'Levy Page 20'!$D$33,"  ")</f>
        <v xml:space="preserve">  </v>
      </c>
      <c r="E39" s="200" t="str">
        <f>IF(inputPrYr!F40&lt;&gt;0,inputPrYr!F40,"  ")</f>
        <v xml:space="preserve">  </v>
      </c>
      <c r="F39" s="50" t="str">
        <f>IF('Levy Page 20'!$E$33&lt;&gt;0,'Levy Page 20'!$E$33,"  ")</f>
        <v xml:space="preserve">  </v>
      </c>
      <c r="G39" s="50" t="str">
        <f>IF('Levy Page 20'!$E$40&lt;&gt;0,'Levy Page 20'!$E$40,"  ")</f>
        <v xml:space="preserve">  </v>
      </c>
      <c r="H39" s="200" t="str">
        <f>IF('Levy Page 20'!$E$40&lt;&gt;0,ROUND(G39/$F$66*1000,3),"  ")</f>
        <v xml:space="preserve">  </v>
      </c>
    </row>
    <row r="40" spans="1:13" x14ac:dyDescent="0.2">
      <c r="A40" s="50" t="str">
        <f>IF((inputPrYr!$B41&gt;" "),(inputPrYr!$B41),"  ")</f>
        <v xml:space="preserve">  </v>
      </c>
      <c r="B40" s="50" t="str">
        <f>IF('Levy Page 20'!$C$74&lt;&gt;0,'Levy Page 20'!$C$74,"  ")</f>
        <v xml:space="preserve">  </v>
      </c>
      <c r="C40" s="200" t="str">
        <f>IF(inputPrYr!D115&lt;&gt;0,inputPrYr!D115,"  ")</f>
        <v xml:space="preserve">  </v>
      </c>
      <c r="D40" s="50" t="str">
        <f>IF('Levy Page 20'!$D$74&lt;&gt;0,'Levy Page 20'!$D$74,"  ")</f>
        <v xml:space="preserve">  </v>
      </c>
      <c r="E40" s="200" t="str">
        <f>IF(inputPrYr!F41&lt;&gt;0,inputPrYr!F41,"  ")</f>
        <v xml:space="preserve">  </v>
      </c>
      <c r="F40" s="50" t="str">
        <f>IF('Levy Page 20'!$E$74&lt;&gt;0,'Levy Page 20'!$E$74,"  ")</f>
        <v xml:space="preserve">  </v>
      </c>
      <c r="G40" s="50" t="str">
        <f>IF('Levy Page 20'!$E$81&lt;&gt;0,'Levy Page 20'!$E$81,"  ")</f>
        <v xml:space="preserve">  </v>
      </c>
      <c r="H40" s="200" t="str">
        <f>IF('Levy Page 20'!$E$81&lt;&gt;0,ROUND(G40/$F$66*1000,3),"  ")</f>
        <v xml:space="preserve">  </v>
      </c>
    </row>
    <row r="41" spans="1:13" x14ac:dyDescent="0.2">
      <c r="A41" s="50" t="str">
        <f>IF((inputPrYr!$B44&gt;" "),(inputPrYr!$B44),"  ")</f>
        <v xml:space="preserve">  </v>
      </c>
      <c r="B41" s="50" t="str">
        <f>IF('No Levy Page 21'!$C$27&lt;&gt;0,'No Levy Page 21'!$C$27,"  ")</f>
        <v xml:space="preserve">  </v>
      </c>
      <c r="C41" s="38"/>
      <c r="D41" s="50" t="str">
        <f>IF('No Levy Page 21'!$D$27&lt;&gt;0,'No Levy Page 21'!$D$27,"  ")</f>
        <v xml:space="preserve">  </v>
      </c>
      <c r="E41" s="38"/>
      <c r="F41" s="50" t="str">
        <f>IF('No Levy Page 21'!$E$27&lt;&gt;0,'No Levy Page 21'!$E$27,"  ")</f>
        <v xml:space="preserve">  </v>
      </c>
      <c r="G41" s="50"/>
      <c r="H41" s="35"/>
    </row>
    <row r="42" spans="1:13" x14ac:dyDescent="0.2">
      <c r="A42" s="50" t="str">
        <f>IF((inputPrYr!$B45&gt;" "),(inputPrYr!$B45),"  ")</f>
        <v xml:space="preserve">  </v>
      </c>
      <c r="B42" s="50" t="str">
        <f>IF('No Levy Page 21'!$C$56&lt;&gt;0,'No Levy Page 21'!$C$56,"  ")</f>
        <v xml:space="preserve">  </v>
      </c>
      <c r="C42" s="38"/>
      <c r="D42" s="50" t="str">
        <f>IF('No Levy Page 21'!$D$56&lt;&gt;0,'No Levy Page 21'!$D$56,"  ")</f>
        <v xml:space="preserve">  </v>
      </c>
      <c r="E42" s="38"/>
      <c r="F42" s="50" t="str">
        <f>IF('No Levy Page 21'!$E$56&lt;&gt;0,'No Levy Page 21'!$E$56,"  ")</f>
        <v xml:space="preserve">  </v>
      </c>
      <c r="G42" s="50"/>
      <c r="H42" s="35"/>
    </row>
    <row r="43" spans="1:13" x14ac:dyDescent="0.25">
      <c r="A43" s="50" t="str">
        <f>IF((inputPrYr!$B46&gt;" "),(inputPrYr!$B46),"  ")</f>
        <v xml:space="preserve">  </v>
      </c>
      <c r="B43" s="50" t="str">
        <f>IF('No Levy Page 22'!$C$27&lt;&gt;0,'No Levy Page 22'!$C$27,"  ")</f>
        <v xml:space="preserve">  </v>
      </c>
      <c r="C43" s="38"/>
      <c r="D43" s="50" t="str">
        <f>IF('No Levy Page 22'!$D$27&lt;&gt;0,'No Levy Page 22'!$D$27,"  ")</f>
        <v xml:space="preserve">  </v>
      </c>
      <c r="E43" s="38"/>
      <c r="F43" s="50" t="str">
        <f>IF('No Levy Page 22'!$E$27&lt;&gt;0,'No Levy Page 22'!$E$27,"  ")</f>
        <v xml:space="preserve">  </v>
      </c>
      <c r="G43" s="50"/>
      <c r="H43" s="35"/>
      <c r="J43" s="672" t="str">
        <f>CONCATENATE("Estimated Value Of One Mill For ",H1,"")</f>
        <v>Estimated Value Of One Mill For 2025</v>
      </c>
      <c r="K43" s="678"/>
      <c r="L43" s="678"/>
      <c r="M43" s="679"/>
    </row>
    <row r="44" spans="1:13" x14ac:dyDescent="0.25">
      <c r="A44" s="50" t="str">
        <f>IF((inputPrYr!$B47&gt;" "),(inputPrYr!$B47),"  ")</f>
        <v xml:space="preserve">  </v>
      </c>
      <c r="B44" s="50" t="str">
        <f>IF('No Levy Page 22'!$C$57&lt;&gt;0,'No Levy Page 22'!$C$57,"  ")</f>
        <v xml:space="preserve">  </v>
      </c>
      <c r="C44" s="38"/>
      <c r="D44" s="50" t="str">
        <f>IF('No Levy Page 22'!$D$57&lt;&gt;0,'No Levy Page 22'!$D$57,"  ")</f>
        <v xml:space="preserve">  </v>
      </c>
      <c r="E44" s="38"/>
      <c r="F44" s="50" t="str">
        <f>IF('No Levy Page 22'!$E$57&lt;&gt;0,'No Levy Page 22'!$E$57,"  ")</f>
        <v xml:space="preserve">  </v>
      </c>
      <c r="G44" s="50"/>
      <c r="H44" s="35"/>
      <c r="J44" s="272"/>
      <c r="K44" s="273"/>
      <c r="L44" s="273"/>
      <c r="M44" s="274"/>
    </row>
    <row r="45" spans="1:13" x14ac:dyDescent="0.25">
      <c r="A45" s="50" t="str">
        <f>IF((inputPrYr!$B48&gt;" "),(inputPrYr!$B48),"  ")</f>
        <v xml:space="preserve">  </v>
      </c>
      <c r="B45" s="50" t="str">
        <f>IF('No Levy Page 23'!$C$27&lt;&gt;0,'No Levy Page 23'!$C$27,"  ")</f>
        <v xml:space="preserve">  </v>
      </c>
      <c r="C45" s="38"/>
      <c r="D45" s="50" t="str">
        <f>IF('No Levy Page 23'!$D$27&lt;&gt;0,'No Levy Page 23'!$D$27,"  ")</f>
        <v xml:space="preserve">  </v>
      </c>
      <c r="E45" s="38"/>
      <c r="F45" s="50" t="str">
        <f>IF('No Levy Page 23'!$E$27&lt;&gt;0,'No Levy Page 23'!$E$27,"  ")</f>
        <v xml:space="preserve">  </v>
      </c>
      <c r="G45" s="50"/>
      <c r="H45" s="35"/>
      <c r="J45" s="275" t="s">
        <v>299</v>
      </c>
      <c r="K45" s="276"/>
      <c r="L45" s="276"/>
      <c r="M45" s="277">
        <f>ROUND(F66/1000,0)</f>
        <v>0</v>
      </c>
    </row>
    <row r="46" spans="1:13" x14ac:dyDescent="0.2">
      <c r="A46" s="50" t="str">
        <f>IF((inputPrYr!$B49&gt;" "),(inputPrYr!$B49),"  ")</f>
        <v xml:space="preserve">  </v>
      </c>
      <c r="B46" s="50" t="str">
        <f>IF('No Levy Page 23'!$C$56&lt;&gt;0,'No Levy Page 23'!$C$56,"  ")</f>
        <v xml:space="preserve">  </v>
      </c>
      <c r="C46" s="38"/>
      <c r="D46" s="50" t="str">
        <f>IF('No Levy Page 23'!$D$56&lt;&gt;0,'No Levy Page 23'!$D$56,"  ")</f>
        <v xml:space="preserve">  </v>
      </c>
      <c r="E46" s="38"/>
      <c r="F46" s="50" t="str">
        <f>IF('No Levy Page 23'!$E$56&lt;&gt;0,'No Levy Page 23'!$E$56,"  ")</f>
        <v xml:space="preserve">  </v>
      </c>
      <c r="G46" s="50"/>
      <c r="H46" s="35"/>
    </row>
    <row r="47" spans="1:13" x14ac:dyDescent="0.25">
      <c r="A47" s="50" t="str">
        <f>IF((inputPrYr!$B50&gt;" "),(inputPrYr!$B50),"  ")</f>
        <v xml:space="preserve">  </v>
      </c>
      <c r="B47" s="50" t="str">
        <f>IF('No Levy Page 24'!$C$27&lt;&gt;0,'No Levy Page 24'!$C$27,"  ")</f>
        <v xml:space="preserve">  </v>
      </c>
      <c r="C47" s="38"/>
      <c r="D47" s="50" t="str">
        <f>IF('No Levy Page 24'!$D$27&lt;&gt;0,'No Levy Page 24'!$D$27,"  ")</f>
        <v xml:space="preserve">  </v>
      </c>
      <c r="E47" s="38"/>
      <c r="F47" s="50" t="str">
        <f>IF('No Levy Page 24'!$E$27&lt;&gt;0,'No Levy Page 24'!$E$27,"  ")</f>
        <v xml:space="preserve">  </v>
      </c>
      <c r="G47" s="50"/>
      <c r="H47" s="35"/>
      <c r="J47" s="672" t="str">
        <f>CONCATENATE("Want The Mill Rate The Same As For ",H1-1,"?")</f>
        <v>Want The Mill Rate The Same As For 2024?</v>
      </c>
      <c r="K47" s="678"/>
      <c r="L47" s="678"/>
      <c r="M47" s="679"/>
    </row>
    <row r="48" spans="1:13" x14ac:dyDescent="0.25">
      <c r="A48" s="50" t="str">
        <f>IF((inputPrYr!$B51&gt;" "),(inputPrYr!$B51),"  ")</f>
        <v xml:space="preserve">  </v>
      </c>
      <c r="B48" s="50" t="str">
        <f>IF('No Levy Page 24'!$C$56&lt;&gt;0,'No Levy Page 24'!$C$56,"  ")</f>
        <v xml:space="preserve">  </v>
      </c>
      <c r="C48" s="38"/>
      <c r="D48" s="50" t="str">
        <f>IF('No Levy Page 24'!$D$56&lt;&gt;0,'No Levy Page 24'!$D$56,"  ")</f>
        <v xml:space="preserve">  </v>
      </c>
      <c r="E48" s="38"/>
      <c r="F48" s="50" t="str">
        <f>IF('No Levy Page 24'!$E$56&lt;&gt;0,'No Levy Page 24'!$E$56,"  ")</f>
        <v xml:space="preserve">  </v>
      </c>
      <c r="G48" s="50"/>
      <c r="H48" s="35"/>
      <c r="J48" s="279"/>
      <c r="K48" s="273"/>
      <c r="L48" s="273"/>
      <c r="M48" s="280"/>
    </row>
    <row r="49" spans="1:13" x14ac:dyDescent="0.25">
      <c r="A49" s="50" t="str">
        <f>IF((inputPrYr!$B52&gt;" "),(inputPrYr!$B52),"  ")</f>
        <v xml:space="preserve">  </v>
      </c>
      <c r="B49" s="50" t="str">
        <f>IF('No Levy Page 25'!$C$27&lt;&gt;0,'No Levy Page 25'!$C$27,"  ")</f>
        <v xml:space="preserve">  </v>
      </c>
      <c r="C49" s="38"/>
      <c r="D49" s="50" t="str">
        <f>IF('No Levy Page 25'!$D$27&lt;&gt;0,'No Levy Page 25'!$D$27,"  ")</f>
        <v xml:space="preserve">  </v>
      </c>
      <c r="E49" s="38"/>
      <c r="F49" s="50" t="str">
        <f>IF('No Levy Page 25'!$E$27&lt;&gt;0,'No Levy Page 25'!$E$27,"  ")</f>
        <v xml:space="preserve">  </v>
      </c>
      <c r="G49" s="50"/>
      <c r="H49" s="35"/>
      <c r="J49" s="279" t="str">
        <f>CONCATENATE("",H1-1," Mill Rate Was:")</f>
        <v>2024 Mill Rate Was:</v>
      </c>
      <c r="K49" s="273"/>
      <c r="L49" s="273"/>
      <c r="M49" s="281">
        <f>E61</f>
        <v>0</v>
      </c>
    </row>
    <row r="50" spans="1:13" x14ac:dyDescent="0.25">
      <c r="A50" s="50" t="str">
        <f>IF((inputPrYr!$B53&gt;" "),(inputPrYr!$B53),"  ")</f>
        <v xml:space="preserve">  </v>
      </c>
      <c r="B50" s="50" t="str">
        <f>IF('No Levy Page 25'!$C$57&lt;&gt;0,'No Levy Page 25'!$C$57,"  ")</f>
        <v xml:space="preserve">  </v>
      </c>
      <c r="C50" s="38"/>
      <c r="D50" s="50" t="str">
        <f>IF('No Levy Page 25'!$D$57&lt;&gt;0,'No Levy Page 25'!$D$57,"  ")</f>
        <v xml:space="preserve">  </v>
      </c>
      <c r="E50" s="38"/>
      <c r="F50" s="50" t="str">
        <f>IF('No Levy Page 25'!$E$57&lt;&gt;0,'No Levy Page 25'!$E$57,"  ")</f>
        <v xml:space="preserve">  </v>
      </c>
      <c r="G50" s="50"/>
      <c r="H50" s="35"/>
      <c r="J50" s="282" t="str">
        <f>CONCATENATE("",H1," Tax Levy Fund Expenditures Must Be")</f>
        <v>2025 Tax Levy Fund Expenditures Must Be</v>
      </c>
      <c r="K50" s="283"/>
      <c r="L50" s="283"/>
      <c r="M50" s="280"/>
    </row>
    <row r="51" spans="1:13" x14ac:dyDescent="0.25">
      <c r="A51" s="50" t="str">
        <f>IF((inputPrYr!$B54&gt;" "),(inputPrYr!$B54),"  ")</f>
        <v xml:space="preserve">  </v>
      </c>
      <c r="B51" s="50" t="str">
        <f>IF('No Levy Page 26'!$C$27&lt;&gt;0,'No Levy Page 26'!$C$27,"  ")</f>
        <v xml:space="preserve">  </v>
      </c>
      <c r="C51" s="38"/>
      <c r="D51" s="50" t="str">
        <f>IF('No Levy Page 26'!$D$27&lt;&gt;0,'No Levy Page 26'!$D$27,"  ")</f>
        <v xml:space="preserve">  </v>
      </c>
      <c r="E51" s="38"/>
      <c r="F51" s="50" t="str">
        <f>IF('No Levy Page 26'!$E$27&lt;&gt;0,'No Levy Page 26'!$E$27,"  ")</f>
        <v xml:space="preserve">  </v>
      </c>
      <c r="G51" s="50"/>
      <c r="H51" s="35"/>
      <c r="J51" s="282" t="str">
        <f>IF(M51&gt;0,"Increased By:","")</f>
        <v/>
      </c>
      <c r="K51" s="283"/>
      <c r="L51" s="283"/>
      <c r="M51" s="290">
        <f>IF(M58&lt;0,M58*-1,0)</f>
        <v>0</v>
      </c>
    </row>
    <row r="52" spans="1:13" x14ac:dyDescent="0.2">
      <c r="A52" s="50" t="str">
        <f>IF((inputPrYr!$B55&gt;" "),(inputPrYr!$B55),"  ")</f>
        <v xml:space="preserve">  </v>
      </c>
      <c r="B52" s="50" t="str">
        <f>IF('No Levy Page 26'!$C$57&lt;&gt;0,'No Levy Page 26'!$C$57,"  ")</f>
        <v xml:space="preserve">  </v>
      </c>
      <c r="C52" s="38"/>
      <c r="D52" s="50" t="str">
        <f>IF('No Levy Page 26'!$D$57&lt;&gt;0,'No Levy Page 26'!$D$57,"  ")</f>
        <v xml:space="preserve">  </v>
      </c>
      <c r="E52" s="38"/>
      <c r="F52" s="50" t="str">
        <f>IF('No Levy Page 26'!$E$57&lt;&gt;0,'No Levy Page 26'!$E$57,"  ")</f>
        <v xml:space="preserve">  </v>
      </c>
      <c r="G52" s="50"/>
      <c r="H52" s="35"/>
      <c r="J52" s="291" t="str">
        <f>IF(M52&lt;0,"Reduced By:","")</f>
        <v/>
      </c>
      <c r="K52" s="292"/>
      <c r="L52" s="292"/>
      <c r="M52" s="293">
        <f>IF(M58&gt;0,M58*-1,0)</f>
        <v>0</v>
      </c>
    </row>
    <row r="53" spans="1:13" x14ac:dyDescent="0.25">
      <c r="A53" s="50" t="str">
        <f>IF((inputPrYr!$B56&gt;" "),(inputPrYr!$B56),"  ")</f>
        <v xml:space="preserve">  </v>
      </c>
      <c r="B53" s="50" t="str">
        <f>IF('No Levy Page 27'!$C$27&lt;&gt;0,'No Levy Page 27'!$C$27,"  ")</f>
        <v xml:space="preserve">  </v>
      </c>
      <c r="C53" s="38"/>
      <c r="D53" s="50" t="str">
        <f>IF('No Levy Page 27'!$D$27&lt;&gt;0,'No Levy Page 27'!$D$27,"  ")</f>
        <v xml:space="preserve">  </v>
      </c>
      <c r="E53" s="38"/>
      <c r="F53" s="50" t="str">
        <f>IF('No Levy Page 27'!$E$27&lt;&gt;0,'No Levy Page 27'!$E$27,"  ")</f>
        <v xml:space="preserve">  </v>
      </c>
      <c r="G53" s="50"/>
      <c r="H53" s="35"/>
      <c r="J53" s="278"/>
      <c r="K53" s="278"/>
      <c r="L53" s="278"/>
      <c r="M53" s="278"/>
    </row>
    <row r="54" spans="1:13" x14ac:dyDescent="0.25">
      <c r="A54" s="50" t="str">
        <f>IF((inputPrYr!$B57&gt;" "),(inputPrYr!$B57),"  ")</f>
        <v xml:space="preserve">  </v>
      </c>
      <c r="B54" s="50" t="str">
        <f>IF('No Levy Page 27'!$C$57&lt;&gt;0,'No Levy Page 27'!$C$57,"  ")</f>
        <v xml:space="preserve">  </v>
      </c>
      <c r="C54" s="38"/>
      <c r="D54" s="50" t="str">
        <f>IF('No Levy Page 27'!$D$57&lt;&gt;0,'No Levy Page 27'!$D$57,"  ")</f>
        <v xml:space="preserve">  </v>
      </c>
      <c r="E54" s="38"/>
      <c r="F54" s="50" t="str">
        <f>IF('No Levy Page 27'!$E$57&lt;&gt;0,'No Levy Page 27'!$E$57,"  ")</f>
        <v xml:space="preserve">  </v>
      </c>
      <c r="G54" s="50"/>
      <c r="H54" s="35"/>
      <c r="J54" s="672" t="str">
        <f>CONCATENATE("Impact On Keeping The Same Mill Rate As For ",H1-1,"")</f>
        <v>Impact On Keeping The Same Mill Rate As For 2024</v>
      </c>
      <c r="K54" s="673"/>
      <c r="L54" s="673"/>
      <c r="M54" s="674"/>
    </row>
    <row r="55" spans="1:13" x14ac:dyDescent="0.25">
      <c r="A55" s="50" t="str">
        <f>IF((inputPrYr!$B58&gt;" "),(inputPrYr!$B58),"  ")</f>
        <v xml:space="preserve">  </v>
      </c>
      <c r="B55" s="50" t="str">
        <f>IF('No Levy Page 28'!$C$27&lt;&gt;0,'No Levy Page 28'!$C$27,"  ")</f>
        <v xml:space="preserve">  </v>
      </c>
      <c r="C55" s="38"/>
      <c r="D55" s="50" t="str">
        <f>IF('No Levy Page 28'!$D$27&lt;&gt;0,'No Levy Page 28'!$D$27,"  ")</f>
        <v xml:space="preserve">  </v>
      </c>
      <c r="E55" s="38"/>
      <c r="F55" s="50" t="str">
        <f>IF('No Levy Page 28'!$E$27&lt;&gt;0,'No Levy Page 28'!$E$27,"  ")</f>
        <v xml:space="preserve">  </v>
      </c>
      <c r="G55" s="50"/>
      <c r="H55" s="35"/>
      <c r="J55" s="279"/>
      <c r="K55" s="273"/>
      <c r="L55" s="273"/>
      <c r="M55" s="280"/>
    </row>
    <row r="56" spans="1:13" x14ac:dyDescent="0.25">
      <c r="A56" s="50" t="str">
        <f>IF((inputPrYr!$B59&gt;" "),(inputPrYr!$B59),"  ")</f>
        <v xml:space="preserve">  </v>
      </c>
      <c r="B56" s="50" t="str">
        <f>IF('No Levy Page 28'!$C$57&lt;&gt;0,'No Levy Page 28'!$C$57,"  ")</f>
        <v xml:space="preserve">  </v>
      </c>
      <c r="C56" s="38"/>
      <c r="D56" s="50" t="str">
        <f>IF('No Levy Page 28'!$D$57&lt;&gt;0,'No Levy Page 28'!$D$57,"  ")</f>
        <v xml:space="preserve">  </v>
      </c>
      <c r="E56" s="38"/>
      <c r="F56" s="50" t="str">
        <f>IF('No Levy Page 28'!$E$57&lt;&gt;0,'No Levy Page 28'!$E$57,"  ")</f>
        <v xml:space="preserve">  </v>
      </c>
      <c r="G56" s="50"/>
      <c r="H56" s="35"/>
      <c r="J56" s="279" t="str">
        <f>CONCATENATE("",H1," Ad Valorem Tax Revenue:")</f>
        <v>2025 Ad Valorem Tax Revenue:</v>
      </c>
      <c r="K56" s="273"/>
      <c r="L56" s="273"/>
      <c r="M56" s="274">
        <f>G61</f>
        <v>0</v>
      </c>
    </row>
    <row r="57" spans="1:13" x14ac:dyDescent="0.25">
      <c r="A57" s="76" t="str">
        <f>IF((inputPrYr!$B63&gt;"  "),('Non-Budgeted Funds A'!$A3),"  ")</f>
        <v xml:space="preserve">  </v>
      </c>
      <c r="B57" s="50" t="str">
        <f>IF('Non-Budgeted Funds A'!$K$28&lt;&gt;0,'Non-Budgeted Funds A'!$K$28,"  ")</f>
        <v xml:space="preserve">  </v>
      </c>
      <c r="C57" s="38"/>
      <c r="D57" s="50"/>
      <c r="E57" s="38"/>
      <c r="F57" s="50"/>
      <c r="G57" s="50"/>
      <c r="H57" s="35"/>
      <c r="J57" s="279" t="str">
        <f>CONCATENATE("",H1-1," Ad Valorem Tax Revenue:")</f>
        <v>2024 Ad Valorem Tax Revenue:</v>
      </c>
      <c r="K57" s="273"/>
      <c r="L57" s="273"/>
      <c r="M57" s="286">
        <f>ROUND(F66*M49/1000,0)</f>
        <v>0</v>
      </c>
    </row>
    <row r="58" spans="1:13" x14ac:dyDescent="0.25">
      <c r="A58" s="76" t="str">
        <f>IF((inputPrYr!$B69&gt;"  "),('Non-Budgeted Funds B'!$A3),"  ")</f>
        <v xml:space="preserve">  </v>
      </c>
      <c r="B58" s="50" t="str">
        <f>IF('Non-Budgeted Funds B'!$K$28&lt;&gt;0,'Non-Budgeted Funds B'!$K$28,"  ")</f>
        <v xml:space="preserve">  </v>
      </c>
      <c r="C58" s="38"/>
      <c r="D58" s="50"/>
      <c r="E58" s="38"/>
      <c r="F58" s="50"/>
      <c r="G58" s="50"/>
      <c r="H58" s="35"/>
      <c r="J58" s="284" t="s">
        <v>300</v>
      </c>
      <c r="K58" s="285"/>
      <c r="L58" s="285"/>
      <c r="M58" s="277">
        <f>SUM(M56-M57)</f>
        <v>0</v>
      </c>
    </row>
    <row r="59" spans="1:13" x14ac:dyDescent="0.25">
      <c r="A59" s="76" t="str">
        <f>IF((inputPrYr!$B75&gt;"  "),('Non-Budgeted Funds C'!$A3),"  ")</f>
        <v xml:space="preserve">  </v>
      </c>
      <c r="B59" s="50" t="str">
        <f>IF('Non-Budgeted Funds C'!$K$28&lt;&gt;0,'Non-Budgeted Funds C'!$K$28,"  ")</f>
        <v xml:space="preserve">  </v>
      </c>
      <c r="C59" s="38"/>
      <c r="D59" s="50"/>
      <c r="E59" s="38"/>
      <c r="F59" s="50"/>
      <c r="G59" s="50"/>
      <c r="H59" s="35"/>
      <c r="J59" s="278"/>
      <c r="K59" s="278"/>
      <c r="L59" s="278"/>
      <c r="M59" s="278"/>
    </row>
    <row r="60" spans="1:13" x14ac:dyDescent="0.25">
      <c r="A60" s="501" t="str">
        <f>IF((inputPrYr!$B81&gt;"  "),('Non-Budgeted Funds D'!$A3),"  ")</f>
        <v xml:space="preserve">  </v>
      </c>
      <c r="B60" s="502" t="str">
        <f>IF('Non-Budgeted Funds D'!$K$28&lt;&gt;0,'Non-Budgeted Funds D'!$K$28,"  ")</f>
        <v xml:space="preserve">  </v>
      </c>
      <c r="C60" s="127"/>
      <c r="D60" s="502"/>
      <c r="E60" s="127"/>
      <c r="F60" s="502"/>
      <c r="G60" s="502"/>
      <c r="H60" s="503"/>
      <c r="J60" s="672" t="s">
        <v>301</v>
      </c>
      <c r="K60" s="675"/>
      <c r="L60" s="675"/>
      <c r="M60" s="676"/>
    </row>
    <row r="61" spans="1:13" ht="16.5" thickBot="1" x14ac:dyDescent="0.3">
      <c r="A61" s="505" t="s">
        <v>77</v>
      </c>
      <c r="B61" s="203">
        <f>SUM(B16:B60)</f>
        <v>0</v>
      </c>
      <c r="C61" s="506">
        <f>SUM(C16:C40)</f>
        <v>0</v>
      </c>
      <c r="D61" s="203">
        <f>SUM(D16:D60)</f>
        <v>0</v>
      </c>
      <c r="E61" s="506">
        <f>SUM(E16:E40)</f>
        <v>0</v>
      </c>
      <c r="F61" s="203">
        <f>SUM(F16:F60)</f>
        <v>0</v>
      </c>
      <c r="G61" s="507">
        <f>SUM(G16:G60)</f>
        <v>0</v>
      </c>
      <c r="H61" s="506">
        <f>SUM(H16:H40)</f>
        <v>0</v>
      </c>
      <c r="J61" s="279"/>
      <c r="K61" s="273"/>
      <c r="L61" s="273"/>
      <c r="M61" s="280"/>
    </row>
    <row r="62" spans="1:13" ht="16.5" thickTop="1" x14ac:dyDescent="0.25">
      <c r="A62" s="686" t="s">
        <v>371</v>
      </c>
      <c r="B62" s="687"/>
      <c r="C62" s="687"/>
      <c r="D62" s="687"/>
      <c r="E62" s="687"/>
      <c r="F62" s="687"/>
      <c r="G62" s="688"/>
      <c r="H62" s="504">
        <f>inputOth!E15</f>
        <v>0</v>
      </c>
      <c r="J62" s="279" t="str">
        <f>CONCATENATE("Current ",H1," Estimated Mill Rate:")</f>
        <v>Current 2025 Estimated Mill Rate:</v>
      </c>
      <c r="K62" s="273"/>
      <c r="L62" s="273"/>
      <c r="M62" s="281">
        <f>H61</f>
        <v>0</v>
      </c>
    </row>
    <row r="63" spans="1:13" x14ac:dyDescent="0.25">
      <c r="A63" s="25" t="s">
        <v>148</v>
      </c>
      <c r="B63" s="427">
        <f>Transfers!C27</f>
        <v>0</v>
      </c>
      <c r="C63" s="201"/>
      <c r="D63" s="427">
        <f>Transfers!D27</f>
        <v>0</v>
      </c>
      <c r="E63" s="161"/>
      <c r="F63" s="427">
        <f>Transfers!E27</f>
        <v>0</v>
      </c>
      <c r="G63" s="26"/>
      <c r="H63" s="26"/>
      <c r="J63" s="279" t="str">
        <f>CONCATENATE("Desired ",H1," Mill Rate:")</f>
        <v>Desired 2025 Mill Rate:</v>
      </c>
      <c r="K63" s="273"/>
      <c r="L63" s="273"/>
      <c r="M63" s="287">
        <v>45</v>
      </c>
    </row>
    <row r="64" spans="1:13" ht="16.5" thickBot="1" x14ac:dyDescent="0.3">
      <c r="A64" s="25" t="s">
        <v>149</v>
      </c>
      <c r="B64" s="203">
        <f>B61-B63</f>
        <v>0</v>
      </c>
      <c r="C64" s="26"/>
      <c r="D64" s="203">
        <f>D61-D63</f>
        <v>0</v>
      </c>
      <c r="E64" s="201"/>
      <c r="F64" s="203">
        <f>F61-F63</f>
        <v>0</v>
      </c>
      <c r="G64" s="26"/>
      <c r="H64" s="26"/>
      <c r="J64" s="279" t="str">
        <f>CONCATENATE("",H1," Ad Valorem Tax:")</f>
        <v>2025 Ad Valorem Tax:</v>
      </c>
      <c r="K64" s="273"/>
      <c r="L64" s="273"/>
      <c r="M64" s="286">
        <f>ROUND(F66*M63/1000,0)</f>
        <v>0</v>
      </c>
    </row>
    <row r="65" spans="1:13" ht="16.5" thickTop="1" x14ac:dyDescent="0.25">
      <c r="A65" s="25" t="s">
        <v>150</v>
      </c>
      <c r="B65" s="72">
        <f>inputPrYr!F118</f>
        <v>0</v>
      </c>
      <c r="C65" s="26"/>
      <c r="D65" s="72">
        <f>inputPrYr!E42</f>
        <v>0</v>
      </c>
      <c r="E65" s="26"/>
      <c r="F65" s="267" t="s">
        <v>33</v>
      </c>
      <c r="G65" s="26"/>
      <c r="H65" s="26"/>
      <c r="J65" s="284" t="str">
        <f>CONCATENATE("",H1," Tax Levy Fund Exp. Changed By:")</f>
        <v>2025 Tax Levy Fund Exp. Changed By:</v>
      </c>
      <c r="K65" s="285"/>
      <c r="L65" s="285"/>
      <c r="M65" s="277">
        <f>IF(M63=0,0,(M64-G61))</f>
        <v>0</v>
      </c>
    </row>
    <row r="66" spans="1:13" x14ac:dyDescent="0.2">
      <c r="A66" s="25" t="s">
        <v>151</v>
      </c>
      <c r="B66" s="50">
        <f>inputPrYr!F119</f>
        <v>0</v>
      </c>
      <c r="C66" s="26"/>
      <c r="D66" s="50">
        <f>inputPrYr!F86</f>
        <v>0</v>
      </c>
      <c r="E66" s="26"/>
      <c r="F66" s="50">
        <f>inputOth!E6</f>
        <v>0</v>
      </c>
      <c r="G66" s="26"/>
      <c r="H66" s="26"/>
    </row>
    <row r="67" spans="1:13" x14ac:dyDescent="0.2">
      <c r="A67" s="26"/>
      <c r="B67" s="26"/>
      <c r="C67" s="26"/>
      <c r="D67" s="26"/>
      <c r="E67" s="26"/>
      <c r="F67" s="26"/>
      <c r="G67" s="26"/>
      <c r="H67" s="26"/>
      <c r="J67" s="680" t="s">
        <v>549</v>
      </c>
      <c r="K67" s="681"/>
      <c r="L67" s="681"/>
      <c r="M67" s="684" t="str">
        <f>IF(H61&gt;H62, "Yes", "No")</f>
        <v>No</v>
      </c>
    </row>
    <row r="68" spans="1:13" x14ac:dyDescent="0.2">
      <c r="A68" s="25" t="s">
        <v>152</v>
      </c>
      <c r="B68" s="26"/>
      <c r="C68" s="26"/>
      <c r="D68" s="26"/>
      <c r="E68" s="26"/>
      <c r="F68" s="26"/>
      <c r="G68" s="26"/>
      <c r="H68" s="53"/>
      <c r="J68" s="682"/>
      <c r="K68" s="683"/>
      <c r="L68" s="683"/>
      <c r="M68" s="685"/>
    </row>
    <row r="69" spans="1:13" x14ac:dyDescent="0.2">
      <c r="A69" s="25" t="s">
        <v>153</v>
      </c>
      <c r="B69" s="202">
        <f>H1-3</f>
        <v>2022</v>
      </c>
      <c r="C69" s="26"/>
      <c r="D69" s="202">
        <f>H1-2</f>
        <v>2023</v>
      </c>
      <c r="E69" s="26"/>
      <c r="F69" s="202">
        <f>H1-1</f>
        <v>2024</v>
      </c>
      <c r="G69" s="26"/>
      <c r="H69" s="53"/>
      <c r="J69" s="661" t="str">
        <f>IF(M67="Yes", "Follow procedure prescirbed by KSA 79-2988 to exceed the Revenue Neutral Rate.", " ")</f>
        <v xml:space="preserve"> </v>
      </c>
      <c r="K69" s="661"/>
      <c r="L69" s="661"/>
      <c r="M69" s="661"/>
    </row>
    <row r="70" spans="1:13" x14ac:dyDescent="0.2">
      <c r="A70" s="25" t="s">
        <v>154</v>
      </c>
      <c r="B70" s="50">
        <f>inputPrYr!D123</f>
        <v>0</v>
      </c>
      <c r="C70" s="26"/>
      <c r="D70" s="50">
        <f>inputPrYr!E123</f>
        <v>0</v>
      </c>
      <c r="E70" s="26"/>
      <c r="F70" s="50">
        <f>Debt!F19</f>
        <v>0</v>
      </c>
      <c r="G70" s="26"/>
      <c r="H70" s="53"/>
      <c r="J70" s="662"/>
      <c r="K70" s="662"/>
      <c r="L70" s="662"/>
      <c r="M70" s="662"/>
    </row>
    <row r="71" spans="1:13" x14ac:dyDescent="0.2">
      <c r="A71" s="25" t="s">
        <v>155</v>
      </c>
      <c r="B71" s="50">
        <f>inputPrYr!D124</f>
        <v>0</v>
      </c>
      <c r="C71" s="26"/>
      <c r="D71" s="50">
        <f>inputPrYr!E124</f>
        <v>0</v>
      </c>
      <c r="E71" s="26"/>
      <c r="F71" s="50">
        <f>Debt!F27</f>
        <v>0</v>
      </c>
      <c r="G71" s="26"/>
      <c r="H71" s="53"/>
      <c r="J71" s="662"/>
      <c r="K71" s="662"/>
      <c r="L71" s="662"/>
      <c r="M71" s="662"/>
    </row>
    <row r="72" spans="1:13" x14ac:dyDescent="0.2">
      <c r="A72" s="25" t="s">
        <v>145</v>
      </c>
      <c r="B72" s="50">
        <f>inputPrYr!D125</f>
        <v>0</v>
      </c>
      <c r="C72" s="26"/>
      <c r="D72" s="50">
        <f>inputPrYr!E125</f>
        <v>0</v>
      </c>
      <c r="E72" s="26"/>
      <c r="F72" s="50">
        <f>Debt!F36</f>
        <v>0</v>
      </c>
      <c r="G72" s="26"/>
      <c r="H72" s="53"/>
    </row>
    <row r="73" spans="1:13" x14ac:dyDescent="0.2">
      <c r="A73" s="25" t="s">
        <v>202</v>
      </c>
      <c r="B73" s="50">
        <f>inputPrYr!D126</f>
        <v>0</v>
      </c>
      <c r="C73" s="26"/>
      <c r="D73" s="50">
        <f>inputPrYr!E126</f>
        <v>0</v>
      </c>
      <c r="E73" s="26"/>
      <c r="F73" s="50">
        <f>'LP Form'!F37</f>
        <v>0</v>
      </c>
      <c r="G73" s="26"/>
      <c r="H73" s="53"/>
    </row>
    <row r="74" spans="1:13" ht="16.5" customHeight="1" thickBot="1" x14ac:dyDescent="0.25">
      <c r="A74" s="25" t="s">
        <v>156</v>
      </c>
      <c r="B74" s="203">
        <f>SUM(B70:B73)</f>
        <v>0</v>
      </c>
      <c r="C74" s="26"/>
      <c r="D74" s="203">
        <f>SUM(D70:D73)</f>
        <v>0</v>
      </c>
      <c r="E74" s="26"/>
      <c r="F74" s="203">
        <f>SUM(F70:F73)</f>
        <v>0</v>
      </c>
      <c r="G74" s="26"/>
      <c r="H74" s="53"/>
    </row>
    <row r="75" spans="1:13" ht="16.5" customHeight="1" thickTop="1" x14ac:dyDescent="0.2">
      <c r="A75" s="25"/>
      <c r="B75" s="57"/>
      <c r="C75" s="26"/>
      <c r="D75" s="57"/>
      <c r="E75" s="26"/>
      <c r="F75" s="57"/>
      <c r="G75" s="26"/>
      <c r="H75" s="53"/>
    </row>
    <row r="76" spans="1:13" ht="16.5" customHeight="1" x14ac:dyDescent="0.2">
      <c r="A76" s="25" t="s">
        <v>157</v>
      </c>
      <c r="B76" s="26"/>
      <c r="C76" s="26"/>
      <c r="D76" s="26"/>
      <c r="E76" s="26"/>
      <c r="F76" s="26"/>
      <c r="G76" s="26"/>
      <c r="H76" s="53"/>
    </row>
    <row r="77" spans="1:13" x14ac:dyDescent="0.2">
      <c r="A77" s="431" t="s">
        <v>550</v>
      </c>
      <c r="B77" s="26"/>
      <c r="C77" s="26"/>
      <c r="D77" s="26"/>
      <c r="E77" s="26"/>
      <c r="F77" s="26"/>
      <c r="G77" s="26"/>
      <c r="H77" s="53"/>
    </row>
    <row r="78" spans="1:13" x14ac:dyDescent="0.2">
      <c r="A78" s="26"/>
      <c r="B78" s="26"/>
      <c r="C78" s="26"/>
      <c r="D78" s="26"/>
      <c r="E78" s="26"/>
      <c r="F78" s="26"/>
      <c r="G78" s="26"/>
      <c r="H78" s="53"/>
    </row>
    <row r="79" spans="1:13" x14ac:dyDescent="0.2">
      <c r="A79" s="677">
        <f>inputHearing!B28</f>
        <v>0</v>
      </c>
      <c r="B79" s="677"/>
      <c r="C79" s="26"/>
      <c r="D79" s="26"/>
      <c r="E79" s="26"/>
      <c r="F79" s="26"/>
      <c r="G79" s="26"/>
      <c r="H79" s="53"/>
    </row>
    <row r="80" spans="1:13" x14ac:dyDescent="0.2">
      <c r="A80" s="694">
        <f>inputHearing!B30</f>
        <v>0</v>
      </c>
      <c r="B80" s="694"/>
      <c r="C80" s="26"/>
      <c r="D80" s="26"/>
      <c r="E80" s="26"/>
      <c r="F80" s="26"/>
      <c r="G80" s="26"/>
      <c r="H80" s="53"/>
    </row>
    <row r="81" spans="1:8" x14ac:dyDescent="0.2">
      <c r="A81" s="26"/>
      <c r="B81" s="26"/>
      <c r="C81" s="26"/>
      <c r="D81" s="125" t="s">
        <v>91</v>
      </c>
      <c r="E81" s="368"/>
      <c r="F81" s="26"/>
      <c r="G81" s="26"/>
      <c r="H81" s="53"/>
    </row>
    <row r="82" spans="1:8" x14ac:dyDescent="0.2">
      <c r="A82" s="56"/>
      <c r="D82" s="56"/>
      <c r="E82" s="56"/>
      <c r="F82" s="56"/>
      <c r="G82" s="56"/>
      <c r="H82" s="56"/>
    </row>
  </sheetData>
  <sheetProtection sheet="1"/>
  <mergeCells count="30">
    <mergeCell ref="A80:B80"/>
    <mergeCell ref="A8:H8"/>
    <mergeCell ref="J67:L68"/>
    <mergeCell ref="M67:M68"/>
    <mergeCell ref="J69:M71"/>
    <mergeCell ref="A79:B79"/>
    <mergeCell ref="A9:H9"/>
    <mergeCell ref="A10:H10"/>
    <mergeCell ref="A11:H11"/>
    <mergeCell ref="B13:C13"/>
    <mergeCell ref="D13:E13"/>
    <mergeCell ref="F13:H13"/>
    <mergeCell ref="J60:M60"/>
    <mergeCell ref="A62:G62"/>
    <mergeCell ref="B14:B15"/>
    <mergeCell ref="C14:C15"/>
    <mergeCell ref="J43:M43"/>
    <mergeCell ref="J47:M47"/>
    <mergeCell ref="J54:M54"/>
    <mergeCell ref="A2:H2"/>
    <mergeCell ref="A4:H4"/>
    <mergeCell ref="A5:H5"/>
    <mergeCell ref="A6:H6"/>
    <mergeCell ref="A7:H7"/>
    <mergeCell ref="A3:H3"/>
    <mergeCell ref="D14:D15"/>
    <mergeCell ref="E14:E15"/>
    <mergeCell ref="F14:F15"/>
    <mergeCell ref="G14:G15"/>
    <mergeCell ref="H14:H15"/>
  </mergeCells>
  <conditionalFormatting sqref="M67:M68">
    <cfRule type="containsText" dxfId="1" priority="1" operator="containsText" text="Yes">
      <formula>NOT(ISERROR(SEARCH("Yes",M67)))</formula>
    </cfRule>
  </conditionalFormatting>
  <pageMargins left="1.1200000000000001" right="0.5" top="0.74" bottom="0.34" header="0.5" footer="0"/>
  <pageSetup scale="62" orientation="portrait" blackAndWhite="1" horizontalDpi="120" verticalDpi="144" r:id="rId1"/>
  <headerFooter alignWithMargins="0">
    <oddHeader xml:space="preserve">&amp;RState of Kansas
County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88196-F59E-45C4-A6B0-298572F74BDF}">
  <sheetPr codeName="Sheet45">
    <tabColor rgb="FF00B0F0"/>
    <pageSetUpPr fitToPage="1"/>
  </sheetPr>
  <dimension ref="A1:K57"/>
  <sheetViews>
    <sheetView zoomScale="75" workbookViewId="0">
      <selection activeCell="B15" sqref="B15"/>
    </sheetView>
  </sheetViews>
  <sheetFormatPr defaultRowHeight="15.75" x14ac:dyDescent="0.25"/>
  <cols>
    <col min="1" max="1" width="21.88671875" style="2" customWidth="1"/>
    <col min="2" max="2" width="12.77734375" style="2" customWidth="1"/>
    <col min="3" max="3" width="10.33203125" style="2" customWidth="1"/>
    <col min="4" max="4" width="12.88671875" style="2" customWidth="1"/>
    <col min="5" max="5" width="10.21875" style="2" customWidth="1"/>
    <col min="6" max="6" width="15" style="2" customWidth="1"/>
    <col min="7" max="7" width="12.77734375" style="2" customWidth="1"/>
    <col min="8" max="8" width="15.33203125" style="2" customWidth="1"/>
    <col min="9" max="9" width="9.77734375" style="2" customWidth="1"/>
    <col min="10" max="10" width="12.44140625" style="2" customWidth="1"/>
    <col min="11" max="16384" width="8.88671875" style="2"/>
  </cols>
  <sheetData>
    <row r="1" spans="1:11" x14ac:dyDescent="0.25">
      <c r="A1" s="15">
        <f>inputPrYr!C3</f>
        <v>0</v>
      </c>
      <c r="B1" s="9"/>
      <c r="C1" s="9"/>
      <c r="D1" s="9"/>
      <c r="E1" s="9"/>
      <c r="F1" s="9"/>
      <c r="G1" s="9"/>
      <c r="H1" s="9"/>
      <c r="I1" s="9"/>
      <c r="J1" s="17">
        <f>inputPrYr!C5</f>
        <v>2025</v>
      </c>
    </row>
    <row r="2" spans="1:11" x14ac:dyDescent="0.25">
      <c r="A2" s="9"/>
      <c r="B2" s="9"/>
      <c r="C2" s="9"/>
      <c r="D2" s="9"/>
      <c r="E2" s="9"/>
      <c r="F2" s="9"/>
      <c r="G2" s="9"/>
      <c r="H2" s="9"/>
      <c r="I2" s="8"/>
      <c r="J2" s="8"/>
    </row>
    <row r="3" spans="1:11" x14ac:dyDescent="0.25">
      <c r="A3" s="603" t="s">
        <v>556</v>
      </c>
      <c r="B3" s="603"/>
      <c r="C3" s="603"/>
      <c r="D3" s="603"/>
      <c r="E3" s="603"/>
      <c r="F3" s="603"/>
      <c r="G3" s="603"/>
      <c r="H3" s="603"/>
      <c r="I3" s="603"/>
      <c r="J3" s="603"/>
      <c r="K3" s="3"/>
    </row>
    <row r="4" spans="1:11" x14ac:dyDescent="0.25">
      <c r="A4" s="9"/>
      <c r="B4" s="13"/>
      <c r="C4" s="13"/>
      <c r="D4" s="13"/>
      <c r="E4" s="13"/>
      <c r="F4" s="13"/>
      <c r="G4" s="13"/>
      <c r="H4" s="13"/>
      <c r="I4" s="13"/>
      <c r="J4" s="13"/>
    </row>
    <row r="5" spans="1:11" ht="16.5" customHeight="1" x14ac:dyDescent="0.25">
      <c r="A5" s="699" t="s">
        <v>9</v>
      </c>
      <c r="B5" s="702" t="str">
        <f>CONCATENATE("Prior Year Actual for ",J1-2,"")</f>
        <v>Prior Year Actual for 2023</v>
      </c>
      <c r="C5" s="703"/>
      <c r="D5" s="704" t="str">
        <f>CONCATENATE("Current Year Estimate for ",J1-1,"")</f>
        <v>Current Year Estimate for 2024</v>
      </c>
      <c r="E5" s="705"/>
      <c r="F5" s="707" t="str">
        <f>CONCATENATE("Proposed Budget Year for ",J1,"")</f>
        <v>Proposed Budget Year for 2025</v>
      </c>
      <c r="G5" s="708"/>
      <c r="H5" s="708"/>
      <c r="I5" s="708"/>
      <c r="J5" s="709"/>
    </row>
    <row r="6" spans="1:11" ht="27" customHeight="1" x14ac:dyDescent="0.25">
      <c r="A6" s="700"/>
      <c r="B6" s="622" t="s">
        <v>60</v>
      </c>
      <c r="C6" s="601" t="s">
        <v>551</v>
      </c>
      <c r="D6" s="622" t="s">
        <v>60</v>
      </c>
      <c r="E6" s="601" t="s">
        <v>551</v>
      </c>
      <c r="F6" s="689" t="s">
        <v>538</v>
      </c>
      <c r="G6" s="706" t="str">
        <f>CONCATENATE("Amount of ",J1-1," Ad Valorem Tax")</f>
        <v>Amount of 2024 Ad Valorem Tax</v>
      </c>
      <c r="H6" s="601" t="s">
        <v>554</v>
      </c>
      <c r="I6" s="710" t="s">
        <v>555</v>
      </c>
      <c r="J6" s="706" t="str">
        <f>CONCATENATE("July 1, ",J1-1," Estimated Valuation")</f>
        <v>July 1, 2024 Estimated Valuation</v>
      </c>
    </row>
    <row r="7" spans="1:11" ht="27" customHeight="1" x14ac:dyDescent="0.25">
      <c r="A7" s="701"/>
      <c r="B7" s="624"/>
      <c r="C7" s="602"/>
      <c r="D7" s="624"/>
      <c r="E7" s="602"/>
      <c r="F7" s="690"/>
      <c r="G7" s="573"/>
      <c r="H7" s="602"/>
      <c r="I7" s="710"/>
      <c r="J7" s="573"/>
    </row>
    <row r="8" spans="1:11" x14ac:dyDescent="0.25">
      <c r="A8" s="6"/>
      <c r="B8" s="6"/>
      <c r="C8" s="7"/>
      <c r="D8" s="6"/>
      <c r="E8" s="7"/>
      <c r="F8" s="6"/>
      <c r="G8" s="6"/>
      <c r="H8" s="18" t="str">
        <f>IF(J8&lt;&gt;0,ROUND(G8/J8*1000,3),"")</f>
        <v/>
      </c>
      <c r="I8" s="432"/>
      <c r="J8" s="6"/>
      <c r="K8" s="2" t="str">
        <f>IF(H8&gt;I8, "Follow procedure in KSA 79-2988 to exceed RNR", "")</f>
        <v/>
      </c>
    </row>
    <row r="9" spans="1:11" x14ac:dyDescent="0.25">
      <c r="A9" s="6"/>
      <c r="B9" s="6"/>
      <c r="C9" s="7"/>
      <c r="D9" s="6"/>
      <c r="E9" s="7"/>
      <c r="F9" s="6"/>
      <c r="G9" s="6"/>
      <c r="H9" s="18" t="str">
        <f t="shared" ref="H9:H36" si="0">IF(J9&lt;&gt;0,ROUND(G9/J9*1000,3),"")</f>
        <v/>
      </c>
      <c r="I9" s="432"/>
      <c r="J9" s="6"/>
      <c r="K9" s="2" t="str">
        <f t="shared" ref="K9:K36" si="1">IF(H9&gt;I9, "Follow procedure in KSA 79-2988 to exceed RNR", "")</f>
        <v/>
      </c>
    </row>
    <row r="10" spans="1:11" x14ac:dyDescent="0.25">
      <c r="A10" s="6"/>
      <c r="B10" s="6"/>
      <c r="C10" s="7"/>
      <c r="D10" s="6"/>
      <c r="E10" s="7"/>
      <c r="F10" s="6"/>
      <c r="G10" s="6"/>
      <c r="H10" s="18" t="str">
        <f t="shared" si="0"/>
        <v/>
      </c>
      <c r="I10" s="432"/>
      <c r="J10" s="6"/>
      <c r="K10" s="2" t="str">
        <f t="shared" si="1"/>
        <v/>
      </c>
    </row>
    <row r="11" spans="1:11" x14ac:dyDescent="0.25">
      <c r="A11" s="6"/>
      <c r="B11" s="6"/>
      <c r="C11" s="7"/>
      <c r="D11" s="6"/>
      <c r="E11" s="7"/>
      <c r="F11" s="6"/>
      <c r="G11" s="6"/>
      <c r="H11" s="18" t="str">
        <f t="shared" si="0"/>
        <v/>
      </c>
      <c r="I11" s="432"/>
      <c r="J11" s="6"/>
      <c r="K11" s="2" t="str">
        <f t="shared" si="1"/>
        <v/>
      </c>
    </row>
    <row r="12" spans="1:11" x14ac:dyDescent="0.25">
      <c r="A12" s="6"/>
      <c r="B12" s="6"/>
      <c r="C12" s="7"/>
      <c r="D12" s="6"/>
      <c r="E12" s="7"/>
      <c r="F12" s="6"/>
      <c r="G12" s="6"/>
      <c r="H12" s="18" t="str">
        <f t="shared" si="0"/>
        <v/>
      </c>
      <c r="I12" s="432"/>
      <c r="J12" s="6"/>
      <c r="K12" s="2" t="str">
        <f t="shared" si="1"/>
        <v/>
      </c>
    </row>
    <row r="13" spans="1:11" x14ac:dyDescent="0.25">
      <c r="A13" s="6"/>
      <c r="B13" s="6"/>
      <c r="C13" s="7"/>
      <c r="D13" s="6"/>
      <c r="E13" s="7"/>
      <c r="F13" s="6"/>
      <c r="G13" s="6"/>
      <c r="H13" s="18" t="str">
        <f t="shared" si="0"/>
        <v/>
      </c>
      <c r="I13" s="432"/>
      <c r="J13" s="6"/>
      <c r="K13" s="2" t="str">
        <f t="shared" si="1"/>
        <v/>
      </c>
    </row>
    <row r="14" spans="1:11" x14ac:dyDescent="0.25">
      <c r="A14" s="6"/>
      <c r="B14" s="6"/>
      <c r="C14" s="7"/>
      <c r="D14" s="6"/>
      <c r="E14" s="7"/>
      <c r="F14" s="6"/>
      <c r="G14" s="6"/>
      <c r="H14" s="18" t="str">
        <f t="shared" si="0"/>
        <v/>
      </c>
      <c r="I14" s="432"/>
      <c r="J14" s="6"/>
      <c r="K14" s="2" t="str">
        <f t="shared" si="1"/>
        <v/>
      </c>
    </row>
    <row r="15" spans="1:11" x14ac:dyDescent="0.25">
      <c r="A15" s="6"/>
      <c r="B15" s="6"/>
      <c r="C15" s="7"/>
      <c r="D15" s="6"/>
      <c r="E15" s="7"/>
      <c r="F15" s="6"/>
      <c r="G15" s="6"/>
      <c r="H15" s="18" t="str">
        <f t="shared" si="0"/>
        <v/>
      </c>
      <c r="I15" s="432"/>
      <c r="J15" s="6"/>
      <c r="K15" s="2" t="str">
        <f t="shared" si="1"/>
        <v/>
      </c>
    </row>
    <row r="16" spans="1:11" x14ac:dyDescent="0.25">
      <c r="A16" s="6"/>
      <c r="B16" s="6"/>
      <c r="C16" s="7"/>
      <c r="D16" s="6"/>
      <c r="E16" s="7"/>
      <c r="F16" s="6"/>
      <c r="G16" s="6"/>
      <c r="H16" s="18" t="str">
        <f t="shared" si="0"/>
        <v/>
      </c>
      <c r="I16" s="432"/>
      <c r="J16" s="6"/>
      <c r="K16" s="2" t="str">
        <f t="shared" si="1"/>
        <v/>
      </c>
    </row>
    <row r="17" spans="1:11" x14ac:dyDescent="0.25">
      <c r="A17" s="6"/>
      <c r="B17" s="6"/>
      <c r="C17" s="7"/>
      <c r="D17" s="6"/>
      <c r="E17" s="7"/>
      <c r="F17" s="6"/>
      <c r="G17" s="6"/>
      <c r="H17" s="18" t="str">
        <f t="shared" si="0"/>
        <v/>
      </c>
      <c r="I17" s="432"/>
      <c r="J17" s="6"/>
      <c r="K17" s="2" t="str">
        <f t="shared" si="1"/>
        <v/>
      </c>
    </row>
    <row r="18" spans="1:11" x14ac:dyDescent="0.25">
      <c r="A18" s="6"/>
      <c r="B18" s="6"/>
      <c r="C18" s="7"/>
      <c r="D18" s="6"/>
      <c r="E18" s="7"/>
      <c r="F18" s="6"/>
      <c r="G18" s="6"/>
      <c r="H18" s="18" t="str">
        <f t="shared" si="0"/>
        <v/>
      </c>
      <c r="I18" s="432"/>
      <c r="J18" s="6"/>
      <c r="K18" s="2" t="str">
        <f t="shared" si="1"/>
        <v/>
      </c>
    </row>
    <row r="19" spans="1:11" x14ac:dyDescent="0.25">
      <c r="A19" s="6"/>
      <c r="B19" s="6"/>
      <c r="C19" s="7"/>
      <c r="D19" s="6"/>
      <c r="E19" s="7"/>
      <c r="F19" s="6"/>
      <c r="G19" s="6"/>
      <c r="H19" s="18" t="str">
        <f t="shared" si="0"/>
        <v/>
      </c>
      <c r="I19" s="432"/>
      <c r="J19" s="6"/>
      <c r="K19" s="2" t="str">
        <f t="shared" si="1"/>
        <v/>
      </c>
    </row>
    <row r="20" spans="1:11" x14ac:dyDescent="0.25">
      <c r="A20" s="6"/>
      <c r="B20" s="6"/>
      <c r="C20" s="7"/>
      <c r="D20" s="6"/>
      <c r="E20" s="7"/>
      <c r="F20" s="6"/>
      <c r="G20" s="6"/>
      <c r="H20" s="18" t="str">
        <f t="shared" si="0"/>
        <v/>
      </c>
      <c r="I20" s="432"/>
      <c r="J20" s="6"/>
      <c r="K20" s="2" t="str">
        <f t="shared" si="1"/>
        <v/>
      </c>
    </row>
    <row r="21" spans="1:11" x14ac:dyDescent="0.25">
      <c r="A21" s="6"/>
      <c r="B21" s="6"/>
      <c r="C21" s="7"/>
      <c r="D21" s="6"/>
      <c r="E21" s="7"/>
      <c r="F21" s="6"/>
      <c r="G21" s="6"/>
      <c r="H21" s="18" t="str">
        <f t="shared" si="0"/>
        <v/>
      </c>
      <c r="I21" s="432"/>
      <c r="J21" s="6"/>
      <c r="K21" s="2" t="str">
        <f t="shared" si="1"/>
        <v/>
      </c>
    </row>
    <row r="22" spans="1:11" x14ac:dyDescent="0.25">
      <c r="A22" s="6"/>
      <c r="B22" s="6"/>
      <c r="C22" s="7"/>
      <c r="D22" s="6"/>
      <c r="E22" s="7"/>
      <c r="F22" s="6"/>
      <c r="G22" s="6"/>
      <c r="H22" s="18" t="str">
        <f t="shared" si="0"/>
        <v/>
      </c>
      <c r="I22" s="432"/>
      <c r="J22" s="6"/>
      <c r="K22" s="2" t="str">
        <f t="shared" si="1"/>
        <v/>
      </c>
    </row>
    <row r="23" spans="1:11" x14ac:dyDescent="0.25">
      <c r="A23" s="6"/>
      <c r="B23" s="6"/>
      <c r="C23" s="7"/>
      <c r="D23" s="6"/>
      <c r="E23" s="7"/>
      <c r="F23" s="6"/>
      <c r="G23" s="6"/>
      <c r="H23" s="18" t="str">
        <f t="shared" si="0"/>
        <v/>
      </c>
      <c r="I23" s="432"/>
      <c r="J23" s="6"/>
      <c r="K23" s="2" t="str">
        <f t="shared" si="1"/>
        <v/>
      </c>
    </row>
    <row r="24" spans="1:11" x14ac:dyDescent="0.25">
      <c r="A24" s="6"/>
      <c r="B24" s="6"/>
      <c r="C24" s="7"/>
      <c r="D24" s="6"/>
      <c r="E24" s="7"/>
      <c r="F24" s="6"/>
      <c r="G24" s="6"/>
      <c r="H24" s="18" t="str">
        <f t="shared" si="0"/>
        <v/>
      </c>
      <c r="I24" s="432"/>
      <c r="J24" s="6"/>
      <c r="K24" s="2" t="str">
        <f t="shared" si="1"/>
        <v/>
      </c>
    </row>
    <row r="25" spans="1:11" x14ac:dyDescent="0.25">
      <c r="A25" s="6"/>
      <c r="B25" s="6"/>
      <c r="C25" s="7"/>
      <c r="D25" s="6"/>
      <c r="E25" s="7"/>
      <c r="F25" s="6"/>
      <c r="G25" s="6"/>
      <c r="H25" s="18" t="str">
        <f t="shared" si="0"/>
        <v/>
      </c>
      <c r="I25" s="432"/>
      <c r="J25" s="6"/>
      <c r="K25" s="2" t="str">
        <f t="shared" si="1"/>
        <v/>
      </c>
    </row>
    <row r="26" spans="1:11" x14ac:dyDescent="0.25">
      <c r="A26" s="6"/>
      <c r="B26" s="6"/>
      <c r="C26" s="7"/>
      <c r="D26" s="6"/>
      <c r="E26" s="7"/>
      <c r="F26" s="6"/>
      <c r="G26" s="6"/>
      <c r="H26" s="18" t="str">
        <f t="shared" si="0"/>
        <v/>
      </c>
      <c r="I26" s="432"/>
      <c r="J26" s="6"/>
      <c r="K26" s="2" t="str">
        <f t="shared" si="1"/>
        <v/>
      </c>
    </row>
    <row r="27" spans="1:11" x14ac:dyDescent="0.25">
      <c r="A27" s="6"/>
      <c r="B27" s="6"/>
      <c r="C27" s="7"/>
      <c r="D27" s="6"/>
      <c r="E27" s="7"/>
      <c r="F27" s="6"/>
      <c r="G27" s="6"/>
      <c r="H27" s="18" t="str">
        <f t="shared" si="0"/>
        <v/>
      </c>
      <c r="I27" s="432"/>
      <c r="J27" s="6"/>
      <c r="K27" s="2" t="str">
        <f t="shared" si="1"/>
        <v/>
      </c>
    </row>
    <row r="28" spans="1:11" x14ac:dyDescent="0.25">
      <c r="A28" s="6"/>
      <c r="B28" s="6"/>
      <c r="C28" s="7"/>
      <c r="D28" s="6"/>
      <c r="E28" s="7"/>
      <c r="F28" s="6"/>
      <c r="G28" s="6"/>
      <c r="H28" s="18" t="str">
        <f t="shared" si="0"/>
        <v/>
      </c>
      <c r="I28" s="432"/>
      <c r="J28" s="6"/>
      <c r="K28" s="2" t="str">
        <f t="shared" si="1"/>
        <v/>
      </c>
    </row>
    <row r="29" spans="1:11" x14ac:dyDescent="0.25">
      <c r="A29" s="6"/>
      <c r="B29" s="6"/>
      <c r="C29" s="7"/>
      <c r="D29" s="6"/>
      <c r="E29" s="7"/>
      <c r="F29" s="6"/>
      <c r="G29" s="6"/>
      <c r="H29" s="18" t="str">
        <f t="shared" si="0"/>
        <v/>
      </c>
      <c r="I29" s="432"/>
      <c r="J29" s="6"/>
      <c r="K29" s="2" t="str">
        <f t="shared" si="1"/>
        <v/>
      </c>
    </row>
    <row r="30" spans="1:11" x14ac:dyDescent="0.25">
      <c r="A30" s="6"/>
      <c r="B30" s="6"/>
      <c r="C30" s="7"/>
      <c r="D30" s="6"/>
      <c r="E30" s="7"/>
      <c r="F30" s="6"/>
      <c r="G30" s="6"/>
      <c r="H30" s="18" t="str">
        <f t="shared" si="0"/>
        <v/>
      </c>
      <c r="I30" s="432"/>
      <c r="J30" s="6"/>
      <c r="K30" s="2" t="str">
        <f t="shared" si="1"/>
        <v/>
      </c>
    </row>
    <row r="31" spans="1:11" x14ac:dyDescent="0.25">
      <c r="A31" s="6"/>
      <c r="B31" s="6"/>
      <c r="C31" s="7"/>
      <c r="D31" s="6"/>
      <c r="E31" s="7"/>
      <c r="F31" s="6"/>
      <c r="G31" s="6"/>
      <c r="H31" s="18" t="str">
        <f t="shared" si="0"/>
        <v/>
      </c>
      <c r="I31" s="432"/>
      <c r="J31" s="6"/>
      <c r="K31" s="2" t="str">
        <f t="shared" si="1"/>
        <v/>
      </c>
    </row>
    <row r="32" spans="1:11" x14ac:dyDescent="0.25">
      <c r="A32" s="6"/>
      <c r="B32" s="6"/>
      <c r="C32" s="7"/>
      <c r="D32" s="6"/>
      <c r="E32" s="7"/>
      <c r="F32" s="6"/>
      <c r="G32" s="6"/>
      <c r="H32" s="18" t="str">
        <f t="shared" si="0"/>
        <v/>
      </c>
      <c r="I32" s="432"/>
      <c r="J32" s="6"/>
      <c r="K32" s="2" t="str">
        <f t="shared" si="1"/>
        <v/>
      </c>
    </row>
    <row r="33" spans="1:11" x14ac:dyDescent="0.25">
      <c r="A33" s="6"/>
      <c r="B33" s="6"/>
      <c r="C33" s="7"/>
      <c r="D33" s="6"/>
      <c r="E33" s="7"/>
      <c r="F33" s="6"/>
      <c r="G33" s="6"/>
      <c r="H33" s="18" t="str">
        <f t="shared" si="0"/>
        <v/>
      </c>
      <c r="I33" s="432"/>
      <c r="J33" s="6"/>
      <c r="K33" s="2" t="str">
        <f t="shared" si="1"/>
        <v/>
      </c>
    </row>
    <row r="34" spans="1:11" x14ac:dyDescent="0.25">
      <c r="A34" s="6"/>
      <c r="B34" s="6"/>
      <c r="C34" s="7"/>
      <c r="D34" s="6"/>
      <c r="E34" s="7"/>
      <c r="F34" s="6"/>
      <c r="G34" s="6"/>
      <c r="H34" s="18" t="str">
        <f t="shared" si="0"/>
        <v/>
      </c>
      <c r="I34" s="432"/>
      <c r="J34" s="6"/>
      <c r="K34" s="2" t="str">
        <f t="shared" si="1"/>
        <v/>
      </c>
    </row>
    <row r="35" spans="1:11" x14ac:dyDescent="0.25">
      <c r="A35" s="6"/>
      <c r="B35" s="6"/>
      <c r="C35" s="7"/>
      <c r="D35" s="6"/>
      <c r="E35" s="7"/>
      <c r="F35" s="6"/>
      <c r="G35" s="6"/>
      <c r="H35" s="18" t="str">
        <f t="shared" si="0"/>
        <v/>
      </c>
      <c r="I35" s="432"/>
      <c r="J35" s="6"/>
      <c r="K35" s="2" t="str">
        <f t="shared" si="1"/>
        <v/>
      </c>
    </row>
    <row r="36" spans="1:11" x14ac:dyDescent="0.25">
      <c r="A36" s="6"/>
      <c r="B36" s="6"/>
      <c r="C36" s="7"/>
      <c r="D36" s="6"/>
      <c r="E36" s="7"/>
      <c r="F36" s="6"/>
      <c r="G36" s="6"/>
      <c r="H36" s="18" t="str">
        <f t="shared" si="0"/>
        <v/>
      </c>
      <c r="I36" s="432"/>
      <c r="J36" s="6"/>
      <c r="K36" s="2" t="str">
        <f t="shared" si="1"/>
        <v/>
      </c>
    </row>
    <row r="37" spans="1:11" x14ac:dyDescent="0.25">
      <c r="A37" s="9"/>
      <c r="B37" s="9"/>
      <c r="C37" s="9"/>
      <c r="D37" s="9"/>
      <c r="E37" s="9"/>
      <c r="F37" s="9"/>
      <c r="G37" s="9"/>
      <c r="H37" s="9"/>
      <c r="I37" s="430"/>
      <c r="J37" s="15"/>
    </row>
    <row r="38" spans="1:11" x14ac:dyDescent="0.25">
      <c r="A38" s="10" t="s">
        <v>157</v>
      </c>
      <c r="B38" s="9"/>
      <c r="C38" s="9"/>
      <c r="D38" s="9"/>
      <c r="E38" s="9"/>
      <c r="F38" s="9"/>
      <c r="G38" s="9"/>
      <c r="H38" s="9"/>
      <c r="I38" s="9"/>
      <c r="J38" s="383"/>
    </row>
    <row r="39" spans="1:11" x14ac:dyDescent="0.25">
      <c r="A39" s="431" t="s">
        <v>550</v>
      </c>
      <c r="B39" s="9"/>
      <c r="C39" s="9"/>
      <c r="D39" s="9"/>
      <c r="E39" s="9"/>
      <c r="F39" s="9"/>
      <c r="G39" s="9"/>
      <c r="H39" s="9"/>
      <c r="I39" s="9"/>
      <c r="J39" s="383"/>
    </row>
    <row r="40" spans="1:11" x14ac:dyDescent="0.25">
      <c r="A40" s="431"/>
      <c r="B40" s="9"/>
      <c r="C40" s="9"/>
      <c r="D40" s="9"/>
      <c r="E40" s="9"/>
      <c r="F40" s="9"/>
      <c r="G40" s="9"/>
      <c r="H40" s="9"/>
      <c r="I40" s="9"/>
      <c r="J40" s="383"/>
    </row>
    <row r="41" spans="1:11" x14ac:dyDescent="0.25">
      <c r="A41" s="677">
        <f>inputHearing!B28</f>
        <v>0</v>
      </c>
      <c r="B41" s="696"/>
      <c r="C41" s="9"/>
      <c r="D41" s="9"/>
      <c r="E41" s="9"/>
      <c r="F41" s="9"/>
      <c r="G41" s="9"/>
      <c r="H41" s="9"/>
      <c r="I41" s="9"/>
      <c r="J41" s="383"/>
    </row>
    <row r="42" spans="1:11" x14ac:dyDescent="0.25">
      <c r="A42" s="697">
        <f>inputHearing!B30</f>
        <v>0</v>
      </c>
      <c r="B42" s="698"/>
      <c r="C42" s="9"/>
      <c r="D42" s="9" t="s">
        <v>146</v>
      </c>
      <c r="E42" s="369"/>
      <c r="F42" s="9"/>
      <c r="G42" s="9"/>
      <c r="H42" s="9"/>
      <c r="I42" s="9"/>
      <c r="J42" s="383"/>
    </row>
    <row r="44" spans="1:11" x14ac:dyDescent="0.25">
      <c r="A44" s="1"/>
      <c r="B44" s="1"/>
      <c r="C44" s="1"/>
      <c r="D44" s="1"/>
      <c r="E44" s="1"/>
      <c r="F44" s="1"/>
      <c r="G44" s="1"/>
      <c r="H44" s="1"/>
      <c r="I44" s="1"/>
      <c r="J44" s="1"/>
    </row>
    <row r="45" spans="1:11" x14ac:dyDescent="0.25">
      <c r="A45" s="4"/>
      <c r="B45" s="1"/>
      <c r="C45" s="1"/>
      <c r="D45" s="1"/>
      <c r="E45" s="1"/>
      <c r="F45" s="1"/>
      <c r="G45" s="1"/>
      <c r="H45" s="1"/>
      <c r="I45" s="1"/>
      <c r="J45" s="1"/>
    </row>
    <row r="46" spans="1:11" x14ac:dyDescent="0.25">
      <c r="A46" s="4"/>
      <c r="B46" s="5"/>
      <c r="C46" s="1"/>
      <c r="D46" s="5"/>
      <c r="E46" s="1"/>
      <c r="F46" s="5"/>
      <c r="G46" s="1"/>
      <c r="H46" s="1"/>
      <c r="I46" s="1"/>
      <c r="J46" s="1"/>
    </row>
    <row r="47" spans="1:11" x14ac:dyDescent="0.25">
      <c r="A47" s="4"/>
      <c r="B47" s="4"/>
      <c r="C47" s="1"/>
      <c r="D47" s="4"/>
      <c r="E47" s="1"/>
      <c r="F47" s="4"/>
      <c r="G47" s="1"/>
      <c r="H47" s="1"/>
      <c r="I47" s="1"/>
      <c r="J47" s="1"/>
    </row>
    <row r="48" spans="1:11" x14ac:dyDescent="0.25">
      <c r="A48" s="4"/>
      <c r="B48" s="4"/>
      <c r="C48" s="1"/>
      <c r="D48" s="4"/>
      <c r="E48" s="1"/>
      <c r="F48" s="4"/>
      <c r="G48" s="1"/>
      <c r="H48" s="1"/>
      <c r="I48" s="1"/>
      <c r="J48" s="1"/>
    </row>
    <row r="49" spans="1:10" x14ac:dyDescent="0.25">
      <c r="A49" s="4"/>
      <c r="B49" s="4"/>
      <c r="C49" s="1"/>
      <c r="D49" s="4"/>
      <c r="E49" s="1"/>
      <c r="F49" s="4"/>
      <c r="G49" s="1"/>
      <c r="H49" s="1"/>
      <c r="I49" s="1"/>
      <c r="J49" s="1"/>
    </row>
    <row r="50" spans="1:10" x14ac:dyDescent="0.25">
      <c r="A50" s="4"/>
      <c r="B50" s="4"/>
      <c r="C50" s="1"/>
      <c r="D50" s="4"/>
      <c r="E50" s="1"/>
      <c r="F50" s="4"/>
      <c r="G50" s="1"/>
      <c r="H50" s="1"/>
      <c r="I50" s="1"/>
      <c r="J50" s="1"/>
    </row>
    <row r="51" spans="1:10" x14ac:dyDescent="0.25">
      <c r="A51" s="4"/>
      <c r="B51" s="4"/>
      <c r="C51" s="1"/>
      <c r="D51" s="4"/>
      <c r="E51" s="1"/>
      <c r="F51" s="4"/>
      <c r="G51" s="1"/>
      <c r="H51" s="1"/>
      <c r="I51" s="1"/>
      <c r="J51" s="1"/>
    </row>
    <row r="52" spans="1:10" x14ac:dyDescent="0.25">
      <c r="B52" s="1"/>
      <c r="C52" s="1"/>
      <c r="D52" s="1"/>
      <c r="E52" s="1"/>
      <c r="F52" s="1"/>
      <c r="G52" s="1"/>
      <c r="H52" s="1"/>
      <c r="I52" s="1"/>
      <c r="J52" s="1"/>
    </row>
    <row r="53" spans="1:10" x14ac:dyDescent="0.25">
      <c r="B53" s="1"/>
      <c r="C53" s="1"/>
      <c r="D53" s="1"/>
      <c r="E53" s="1"/>
      <c r="F53" s="1"/>
      <c r="G53" s="1"/>
      <c r="H53" s="1"/>
      <c r="I53" s="1"/>
      <c r="J53" s="1"/>
    </row>
    <row r="54" spans="1:10" x14ac:dyDescent="0.25">
      <c r="B54" s="518"/>
      <c r="C54" s="1"/>
      <c r="D54" s="1"/>
      <c r="E54" s="1"/>
      <c r="F54" s="1"/>
      <c r="G54" s="1"/>
      <c r="H54" s="1"/>
      <c r="I54" s="1"/>
      <c r="J54" s="1"/>
    </row>
    <row r="55" spans="1:10" x14ac:dyDescent="0.25">
      <c r="B55" s="519"/>
      <c r="C55" s="1"/>
      <c r="D55" s="1"/>
      <c r="E55" s="1"/>
      <c r="F55" s="1"/>
      <c r="G55" s="1"/>
      <c r="H55" s="1"/>
      <c r="I55" s="1"/>
      <c r="J55" s="1"/>
    </row>
    <row r="56" spans="1:10" x14ac:dyDescent="0.25">
      <c r="A56" s="1"/>
      <c r="B56" s="1"/>
      <c r="C56" s="1"/>
      <c r="D56" s="1"/>
      <c r="E56" s="1"/>
      <c r="F56" s="1"/>
      <c r="G56" s="1"/>
      <c r="H56" s="1"/>
      <c r="I56" s="1"/>
      <c r="J56" s="1"/>
    </row>
    <row r="57" spans="1:10" x14ac:dyDescent="0.25">
      <c r="A57" s="1"/>
      <c r="B57" s="1"/>
      <c r="C57" s="1"/>
      <c r="D57" s="1"/>
      <c r="E57" s="1"/>
      <c r="F57" s="1"/>
      <c r="G57" s="1"/>
      <c r="H57" s="1"/>
      <c r="I57" s="1"/>
      <c r="J57" s="1"/>
    </row>
  </sheetData>
  <sheetProtection sheet="1" objects="1" scenarios="1"/>
  <mergeCells count="16">
    <mergeCell ref="A42:B42"/>
    <mergeCell ref="A3:J3"/>
    <mergeCell ref="A5:A7"/>
    <mergeCell ref="B5:C5"/>
    <mergeCell ref="D5:E5"/>
    <mergeCell ref="F5:J5"/>
    <mergeCell ref="B6:B7"/>
    <mergeCell ref="C6:C7"/>
    <mergeCell ref="D6:D7"/>
    <mergeCell ref="E6:E7"/>
    <mergeCell ref="F6:F7"/>
    <mergeCell ref="G6:G7"/>
    <mergeCell ref="J6:J7"/>
    <mergeCell ref="H6:H7"/>
    <mergeCell ref="I6:I7"/>
    <mergeCell ref="A41:B41"/>
  </mergeCells>
  <conditionalFormatting sqref="K8:K36">
    <cfRule type="notContainsBlanks" dxfId="0" priority="1">
      <formula>LEN(TRIM(K8))&gt;0</formula>
    </cfRule>
  </conditionalFormatting>
  <pageMargins left="1.1200000000000001" right="0.5" top="0.74" bottom="0.34" header="0.5" footer="0"/>
  <pageSetup scale="51" orientation="portrait" blackAndWhite="1" horizontalDpi="120" r:id="rId1"/>
  <headerFooter alignWithMargins="0">
    <oddHeader xml:space="preserve">&amp;RState of Kansas
County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DB107-461B-479A-A4A3-04D21623F99E}">
  <sheetPr codeName="Sheet46">
    <tabColor rgb="FF00B0F0"/>
    <pageSetUpPr fitToPage="1"/>
  </sheetPr>
  <dimension ref="A1:H34"/>
  <sheetViews>
    <sheetView workbookViewId="0">
      <selection activeCell="B15" sqref="B15"/>
    </sheetView>
  </sheetViews>
  <sheetFormatPr defaultRowHeight="15.75" x14ac:dyDescent="0.2"/>
  <cols>
    <col min="1" max="1" width="14.109375" style="23" customWidth="1"/>
    <col min="2" max="2" width="12.77734375" style="23" customWidth="1"/>
    <col min="3" max="3" width="8.77734375" style="23" customWidth="1"/>
    <col min="4" max="4" width="7.33203125" style="23" customWidth="1"/>
    <col min="5" max="5" width="8.5546875" style="23" customWidth="1"/>
    <col min="6" max="6" width="12.77734375" style="23" customWidth="1"/>
    <col min="7" max="7" width="11.88671875" style="23" customWidth="1"/>
    <col min="8" max="8" width="14.109375" style="23" customWidth="1"/>
    <col min="9" max="252" width="8.88671875" style="23"/>
    <col min="253" max="253" width="15.77734375" style="23" customWidth="1"/>
    <col min="254" max="254" width="12.77734375" style="23" customWidth="1"/>
    <col min="255" max="255" width="8.77734375" style="23" customWidth="1"/>
    <col min="256" max="256" width="13.77734375" style="23" customWidth="1"/>
    <col min="257" max="257" width="8.77734375" style="23" customWidth="1"/>
    <col min="258" max="258" width="12.77734375" style="23" customWidth="1"/>
    <col min="259" max="259" width="10.77734375" style="23" customWidth="1"/>
    <col min="260" max="260" width="8.77734375" style="23" customWidth="1"/>
    <col min="261" max="261" width="8.88671875" style="23"/>
    <col min="262" max="262" width="12.44140625" style="23" customWidth="1"/>
    <col min="263" max="263" width="12.33203125" style="23" customWidth="1"/>
    <col min="264" max="264" width="8.88671875" style="23"/>
    <col min="265" max="265" width="12.109375" style="23" customWidth="1"/>
    <col min="266" max="508" width="8.88671875" style="23"/>
    <col min="509" max="509" width="15.77734375" style="23" customWidth="1"/>
    <col min="510" max="510" width="12.77734375" style="23" customWidth="1"/>
    <col min="511" max="511" width="8.77734375" style="23" customWidth="1"/>
    <col min="512" max="512" width="13.77734375" style="23" customWidth="1"/>
    <col min="513" max="513" width="8.77734375" style="23" customWidth="1"/>
    <col min="514" max="514" width="12.77734375" style="23" customWidth="1"/>
    <col min="515" max="515" width="10.77734375" style="23" customWidth="1"/>
    <col min="516" max="516" width="8.77734375" style="23" customWidth="1"/>
    <col min="517" max="517" width="8.88671875" style="23"/>
    <col min="518" max="518" width="12.44140625" style="23" customWidth="1"/>
    <col min="519" max="519" width="12.33203125" style="23" customWidth="1"/>
    <col min="520" max="520" width="8.88671875" style="23"/>
    <col min="521" max="521" width="12.109375" style="23" customWidth="1"/>
    <col min="522" max="764" width="8.88671875" style="23"/>
    <col min="765" max="765" width="15.77734375" style="23" customWidth="1"/>
    <col min="766" max="766" width="12.77734375" style="23" customWidth="1"/>
    <col min="767" max="767" width="8.77734375" style="23" customWidth="1"/>
    <col min="768" max="768" width="13.77734375" style="23" customWidth="1"/>
    <col min="769" max="769" width="8.77734375" style="23" customWidth="1"/>
    <col min="770" max="770" width="12.77734375" style="23" customWidth="1"/>
    <col min="771" max="771" width="10.77734375" style="23" customWidth="1"/>
    <col min="772" max="772" width="8.77734375" style="23" customWidth="1"/>
    <col min="773" max="773" width="8.88671875" style="23"/>
    <col min="774" max="774" width="12.44140625" style="23" customWidth="1"/>
    <col min="775" max="775" width="12.33203125" style="23" customWidth="1"/>
    <col min="776" max="776" width="8.88671875" style="23"/>
    <col min="777" max="777" width="12.109375" style="23" customWidth="1"/>
    <col min="778" max="1020" width="8.88671875" style="23"/>
    <col min="1021" max="1021" width="15.77734375" style="23" customWidth="1"/>
    <col min="1022" max="1022" width="12.77734375" style="23" customWidth="1"/>
    <col min="1023" max="1023" width="8.77734375" style="23" customWidth="1"/>
    <col min="1024" max="1024" width="13.77734375" style="23" customWidth="1"/>
    <col min="1025" max="1025" width="8.77734375" style="23" customWidth="1"/>
    <col min="1026" max="1026" width="12.77734375" style="23" customWidth="1"/>
    <col min="1027" max="1027" width="10.77734375" style="23" customWidth="1"/>
    <col min="1028" max="1028" width="8.77734375" style="23" customWidth="1"/>
    <col min="1029" max="1029" width="8.88671875" style="23"/>
    <col min="1030" max="1030" width="12.44140625" style="23" customWidth="1"/>
    <col min="1031" max="1031" width="12.33203125" style="23" customWidth="1"/>
    <col min="1032" max="1032" width="8.88671875" style="23"/>
    <col min="1033" max="1033" width="12.109375" style="23" customWidth="1"/>
    <col min="1034" max="1276" width="8.88671875" style="23"/>
    <col min="1277" max="1277" width="15.77734375" style="23" customWidth="1"/>
    <col min="1278" max="1278" width="12.77734375" style="23" customWidth="1"/>
    <col min="1279" max="1279" width="8.77734375" style="23" customWidth="1"/>
    <col min="1280" max="1280" width="13.77734375" style="23" customWidth="1"/>
    <col min="1281" max="1281" width="8.77734375" style="23" customWidth="1"/>
    <col min="1282" max="1282" width="12.77734375" style="23" customWidth="1"/>
    <col min="1283" max="1283" width="10.77734375" style="23" customWidth="1"/>
    <col min="1284" max="1284" width="8.77734375" style="23" customWidth="1"/>
    <col min="1285" max="1285" width="8.88671875" style="23"/>
    <col min="1286" max="1286" width="12.44140625" style="23" customWidth="1"/>
    <col min="1287" max="1287" width="12.33203125" style="23" customWidth="1"/>
    <col min="1288" max="1288" width="8.88671875" style="23"/>
    <col min="1289" max="1289" width="12.109375" style="23" customWidth="1"/>
    <col min="1290" max="1532" width="8.88671875" style="23"/>
    <col min="1533" max="1533" width="15.77734375" style="23" customWidth="1"/>
    <col min="1534" max="1534" width="12.77734375" style="23" customWidth="1"/>
    <col min="1535" max="1535" width="8.77734375" style="23" customWidth="1"/>
    <col min="1536" max="1536" width="13.77734375" style="23" customWidth="1"/>
    <col min="1537" max="1537" width="8.77734375" style="23" customWidth="1"/>
    <col min="1538" max="1538" width="12.77734375" style="23" customWidth="1"/>
    <col min="1539" max="1539" width="10.77734375" style="23" customWidth="1"/>
    <col min="1540" max="1540" width="8.77734375" style="23" customWidth="1"/>
    <col min="1541" max="1541" width="8.88671875" style="23"/>
    <col min="1542" max="1542" width="12.44140625" style="23" customWidth="1"/>
    <col min="1543" max="1543" width="12.33203125" style="23" customWidth="1"/>
    <col min="1544" max="1544" width="8.88671875" style="23"/>
    <col min="1545" max="1545" width="12.109375" style="23" customWidth="1"/>
    <col min="1546" max="1788" width="8.88671875" style="23"/>
    <col min="1789" max="1789" width="15.77734375" style="23" customWidth="1"/>
    <col min="1790" max="1790" width="12.77734375" style="23" customWidth="1"/>
    <col min="1791" max="1791" width="8.77734375" style="23" customWidth="1"/>
    <col min="1792" max="1792" width="13.77734375" style="23" customWidth="1"/>
    <col min="1793" max="1793" width="8.77734375" style="23" customWidth="1"/>
    <col min="1794" max="1794" width="12.77734375" style="23" customWidth="1"/>
    <col min="1795" max="1795" width="10.77734375" style="23" customWidth="1"/>
    <col min="1796" max="1796" width="8.77734375" style="23" customWidth="1"/>
    <col min="1797" max="1797" width="8.88671875" style="23"/>
    <col min="1798" max="1798" width="12.44140625" style="23" customWidth="1"/>
    <col min="1799" max="1799" width="12.33203125" style="23" customWidth="1"/>
    <col min="1800" max="1800" width="8.88671875" style="23"/>
    <col min="1801" max="1801" width="12.109375" style="23" customWidth="1"/>
    <col min="1802" max="2044" width="8.88671875" style="23"/>
    <col min="2045" max="2045" width="15.77734375" style="23" customWidth="1"/>
    <col min="2046" max="2046" width="12.77734375" style="23" customWidth="1"/>
    <col min="2047" max="2047" width="8.77734375" style="23" customWidth="1"/>
    <col min="2048" max="2048" width="13.77734375" style="23" customWidth="1"/>
    <col min="2049" max="2049" width="8.77734375" style="23" customWidth="1"/>
    <col min="2050" max="2050" width="12.77734375" style="23" customWidth="1"/>
    <col min="2051" max="2051" width="10.77734375" style="23" customWidth="1"/>
    <col min="2052" max="2052" width="8.77734375" style="23" customWidth="1"/>
    <col min="2053" max="2053" width="8.88671875" style="23"/>
    <col min="2054" max="2054" width="12.44140625" style="23" customWidth="1"/>
    <col min="2055" max="2055" width="12.33203125" style="23" customWidth="1"/>
    <col min="2056" max="2056" width="8.88671875" style="23"/>
    <col min="2057" max="2057" width="12.109375" style="23" customWidth="1"/>
    <col min="2058" max="2300" width="8.88671875" style="23"/>
    <col min="2301" max="2301" width="15.77734375" style="23" customWidth="1"/>
    <col min="2302" max="2302" width="12.77734375" style="23" customWidth="1"/>
    <col min="2303" max="2303" width="8.77734375" style="23" customWidth="1"/>
    <col min="2304" max="2304" width="13.77734375" style="23" customWidth="1"/>
    <col min="2305" max="2305" width="8.77734375" style="23" customWidth="1"/>
    <col min="2306" max="2306" width="12.77734375" style="23" customWidth="1"/>
    <col min="2307" max="2307" width="10.77734375" style="23" customWidth="1"/>
    <col min="2308" max="2308" width="8.77734375" style="23" customWidth="1"/>
    <col min="2309" max="2309" width="8.88671875" style="23"/>
    <col min="2310" max="2310" width="12.44140625" style="23" customWidth="1"/>
    <col min="2311" max="2311" width="12.33203125" style="23" customWidth="1"/>
    <col min="2312" max="2312" width="8.88671875" style="23"/>
    <col min="2313" max="2313" width="12.109375" style="23" customWidth="1"/>
    <col min="2314" max="2556" width="8.88671875" style="23"/>
    <col min="2557" max="2557" width="15.77734375" style="23" customWidth="1"/>
    <col min="2558" max="2558" width="12.77734375" style="23" customWidth="1"/>
    <col min="2559" max="2559" width="8.77734375" style="23" customWidth="1"/>
    <col min="2560" max="2560" width="13.77734375" style="23" customWidth="1"/>
    <col min="2561" max="2561" width="8.77734375" style="23" customWidth="1"/>
    <col min="2562" max="2562" width="12.77734375" style="23" customWidth="1"/>
    <col min="2563" max="2563" width="10.77734375" style="23" customWidth="1"/>
    <col min="2564" max="2564" width="8.77734375" style="23" customWidth="1"/>
    <col min="2565" max="2565" width="8.88671875" style="23"/>
    <col min="2566" max="2566" width="12.44140625" style="23" customWidth="1"/>
    <col min="2567" max="2567" width="12.33203125" style="23" customWidth="1"/>
    <col min="2568" max="2568" width="8.88671875" style="23"/>
    <col min="2569" max="2569" width="12.109375" style="23" customWidth="1"/>
    <col min="2570" max="2812" width="8.88671875" style="23"/>
    <col min="2813" max="2813" width="15.77734375" style="23" customWidth="1"/>
    <col min="2814" max="2814" width="12.77734375" style="23" customWidth="1"/>
    <col min="2815" max="2815" width="8.77734375" style="23" customWidth="1"/>
    <col min="2816" max="2816" width="13.77734375" style="23" customWidth="1"/>
    <col min="2817" max="2817" width="8.77734375" style="23" customWidth="1"/>
    <col min="2818" max="2818" width="12.77734375" style="23" customWidth="1"/>
    <col min="2819" max="2819" width="10.77734375" style="23" customWidth="1"/>
    <col min="2820" max="2820" width="8.77734375" style="23" customWidth="1"/>
    <col min="2821" max="2821" width="8.88671875" style="23"/>
    <col min="2822" max="2822" width="12.44140625" style="23" customWidth="1"/>
    <col min="2823" max="2823" width="12.33203125" style="23" customWidth="1"/>
    <col min="2824" max="2824" width="8.88671875" style="23"/>
    <col min="2825" max="2825" width="12.109375" style="23" customWidth="1"/>
    <col min="2826" max="3068" width="8.88671875" style="23"/>
    <col min="3069" max="3069" width="15.77734375" style="23" customWidth="1"/>
    <col min="3070" max="3070" width="12.77734375" style="23" customWidth="1"/>
    <col min="3071" max="3071" width="8.77734375" style="23" customWidth="1"/>
    <col min="3072" max="3072" width="13.77734375" style="23" customWidth="1"/>
    <col min="3073" max="3073" width="8.77734375" style="23" customWidth="1"/>
    <col min="3074" max="3074" width="12.77734375" style="23" customWidth="1"/>
    <col min="3075" max="3075" width="10.77734375" style="23" customWidth="1"/>
    <col min="3076" max="3076" width="8.77734375" style="23" customWidth="1"/>
    <col min="3077" max="3077" width="8.88671875" style="23"/>
    <col min="3078" max="3078" width="12.44140625" style="23" customWidth="1"/>
    <col min="3079" max="3079" width="12.33203125" style="23" customWidth="1"/>
    <col min="3080" max="3080" width="8.88671875" style="23"/>
    <col min="3081" max="3081" width="12.109375" style="23" customWidth="1"/>
    <col min="3082" max="3324" width="8.88671875" style="23"/>
    <col min="3325" max="3325" width="15.77734375" style="23" customWidth="1"/>
    <col min="3326" max="3326" width="12.77734375" style="23" customWidth="1"/>
    <col min="3327" max="3327" width="8.77734375" style="23" customWidth="1"/>
    <col min="3328" max="3328" width="13.77734375" style="23" customWidth="1"/>
    <col min="3329" max="3329" width="8.77734375" style="23" customWidth="1"/>
    <col min="3330" max="3330" width="12.77734375" style="23" customWidth="1"/>
    <col min="3331" max="3331" width="10.77734375" style="23" customWidth="1"/>
    <col min="3332" max="3332" width="8.77734375" style="23" customWidth="1"/>
    <col min="3333" max="3333" width="8.88671875" style="23"/>
    <col min="3334" max="3334" width="12.44140625" style="23" customWidth="1"/>
    <col min="3335" max="3335" width="12.33203125" style="23" customWidth="1"/>
    <col min="3336" max="3336" width="8.88671875" style="23"/>
    <col min="3337" max="3337" width="12.109375" style="23" customWidth="1"/>
    <col min="3338" max="3580" width="8.88671875" style="23"/>
    <col min="3581" max="3581" width="15.77734375" style="23" customWidth="1"/>
    <col min="3582" max="3582" width="12.77734375" style="23" customWidth="1"/>
    <col min="3583" max="3583" width="8.77734375" style="23" customWidth="1"/>
    <col min="3584" max="3584" width="13.77734375" style="23" customWidth="1"/>
    <col min="3585" max="3585" width="8.77734375" style="23" customWidth="1"/>
    <col min="3586" max="3586" width="12.77734375" style="23" customWidth="1"/>
    <col min="3587" max="3587" width="10.77734375" style="23" customWidth="1"/>
    <col min="3588" max="3588" width="8.77734375" style="23" customWidth="1"/>
    <col min="3589" max="3589" width="8.88671875" style="23"/>
    <col min="3590" max="3590" width="12.44140625" style="23" customWidth="1"/>
    <col min="3591" max="3591" width="12.33203125" style="23" customWidth="1"/>
    <col min="3592" max="3592" width="8.88671875" style="23"/>
    <col min="3593" max="3593" width="12.109375" style="23" customWidth="1"/>
    <col min="3594" max="3836" width="8.88671875" style="23"/>
    <col min="3837" max="3837" width="15.77734375" style="23" customWidth="1"/>
    <col min="3838" max="3838" width="12.77734375" style="23" customWidth="1"/>
    <col min="3839" max="3839" width="8.77734375" style="23" customWidth="1"/>
    <col min="3840" max="3840" width="13.77734375" style="23" customWidth="1"/>
    <col min="3841" max="3841" width="8.77734375" style="23" customWidth="1"/>
    <col min="3842" max="3842" width="12.77734375" style="23" customWidth="1"/>
    <col min="3843" max="3843" width="10.77734375" style="23" customWidth="1"/>
    <col min="3844" max="3844" width="8.77734375" style="23" customWidth="1"/>
    <col min="3845" max="3845" width="8.88671875" style="23"/>
    <col min="3846" max="3846" width="12.44140625" style="23" customWidth="1"/>
    <col min="3847" max="3847" width="12.33203125" style="23" customWidth="1"/>
    <col min="3848" max="3848" width="8.88671875" style="23"/>
    <col min="3849" max="3849" width="12.109375" style="23" customWidth="1"/>
    <col min="3850" max="4092" width="8.88671875" style="23"/>
    <col min="4093" max="4093" width="15.77734375" style="23" customWidth="1"/>
    <col min="4094" max="4094" width="12.77734375" style="23" customWidth="1"/>
    <col min="4095" max="4095" width="8.77734375" style="23" customWidth="1"/>
    <col min="4096" max="4096" width="13.77734375" style="23" customWidth="1"/>
    <col min="4097" max="4097" width="8.77734375" style="23" customWidth="1"/>
    <col min="4098" max="4098" width="12.77734375" style="23" customWidth="1"/>
    <col min="4099" max="4099" width="10.77734375" style="23" customWidth="1"/>
    <col min="4100" max="4100" width="8.77734375" style="23" customWidth="1"/>
    <col min="4101" max="4101" width="8.88671875" style="23"/>
    <col min="4102" max="4102" width="12.44140625" style="23" customWidth="1"/>
    <col min="4103" max="4103" width="12.33203125" style="23" customWidth="1"/>
    <col min="4104" max="4104" width="8.88671875" style="23"/>
    <col min="4105" max="4105" width="12.109375" style="23" customWidth="1"/>
    <col min="4106" max="4348" width="8.88671875" style="23"/>
    <col min="4349" max="4349" width="15.77734375" style="23" customWidth="1"/>
    <col min="4350" max="4350" width="12.77734375" style="23" customWidth="1"/>
    <col min="4351" max="4351" width="8.77734375" style="23" customWidth="1"/>
    <col min="4352" max="4352" width="13.77734375" style="23" customWidth="1"/>
    <col min="4353" max="4353" width="8.77734375" style="23" customWidth="1"/>
    <col min="4354" max="4354" width="12.77734375" style="23" customWidth="1"/>
    <col min="4355" max="4355" width="10.77734375" style="23" customWidth="1"/>
    <col min="4356" max="4356" width="8.77734375" style="23" customWidth="1"/>
    <col min="4357" max="4357" width="8.88671875" style="23"/>
    <col min="4358" max="4358" width="12.44140625" style="23" customWidth="1"/>
    <col min="4359" max="4359" width="12.33203125" style="23" customWidth="1"/>
    <col min="4360" max="4360" width="8.88671875" style="23"/>
    <col min="4361" max="4361" width="12.109375" style="23" customWidth="1"/>
    <col min="4362" max="4604" width="8.88671875" style="23"/>
    <col min="4605" max="4605" width="15.77734375" style="23" customWidth="1"/>
    <col min="4606" max="4606" width="12.77734375" style="23" customWidth="1"/>
    <col min="4607" max="4607" width="8.77734375" style="23" customWidth="1"/>
    <col min="4608" max="4608" width="13.77734375" style="23" customWidth="1"/>
    <col min="4609" max="4609" width="8.77734375" style="23" customWidth="1"/>
    <col min="4610" max="4610" width="12.77734375" style="23" customWidth="1"/>
    <col min="4611" max="4611" width="10.77734375" style="23" customWidth="1"/>
    <col min="4612" max="4612" width="8.77734375" style="23" customWidth="1"/>
    <col min="4613" max="4613" width="8.88671875" style="23"/>
    <col min="4614" max="4614" width="12.44140625" style="23" customWidth="1"/>
    <col min="4615" max="4615" width="12.33203125" style="23" customWidth="1"/>
    <col min="4616" max="4616" width="8.88671875" style="23"/>
    <col min="4617" max="4617" width="12.109375" style="23" customWidth="1"/>
    <col min="4618" max="4860" width="8.88671875" style="23"/>
    <col min="4861" max="4861" width="15.77734375" style="23" customWidth="1"/>
    <col min="4862" max="4862" width="12.77734375" style="23" customWidth="1"/>
    <col min="4863" max="4863" width="8.77734375" style="23" customWidth="1"/>
    <col min="4864" max="4864" width="13.77734375" style="23" customWidth="1"/>
    <col min="4865" max="4865" width="8.77734375" style="23" customWidth="1"/>
    <col min="4866" max="4866" width="12.77734375" style="23" customWidth="1"/>
    <col min="4867" max="4867" width="10.77734375" style="23" customWidth="1"/>
    <col min="4868" max="4868" width="8.77734375" style="23" customWidth="1"/>
    <col min="4869" max="4869" width="8.88671875" style="23"/>
    <col min="4870" max="4870" width="12.44140625" style="23" customWidth="1"/>
    <col min="4871" max="4871" width="12.33203125" style="23" customWidth="1"/>
    <col min="4872" max="4872" width="8.88671875" style="23"/>
    <col min="4873" max="4873" width="12.109375" style="23" customWidth="1"/>
    <col min="4874" max="5116" width="8.88671875" style="23"/>
    <col min="5117" max="5117" width="15.77734375" style="23" customWidth="1"/>
    <col min="5118" max="5118" width="12.77734375" style="23" customWidth="1"/>
    <col min="5119" max="5119" width="8.77734375" style="23" customWidth="1"/>
    <col min="5120" max="5120" width="13.77734375" style="23" customWidth="1"/>
    <col min="5121" max="5121" width="8.77734375" style="23" customWidth="1"/>
    <col min="5122" max="5122" width="12.77734375" style="23" customWidth="1"/>
    <col min="5123" max="5123" width="10.77734375" style="23" customWidth="1"/>
    <col min="5124" max="5124" width="8.77734375" style="23" customWidth="1"/>
    <col min="5125" max="5125" width="8.88671875" style="23"/>
    <col min="5126" max="5126" width="12.44140625" style="23" customWidth="1"/>
    <col min="5127" max="5127" width="12.33203125" style="23" customWidth="1"/>
    <col min="5128" max="5128" width="8.88671875" style="23"/>
    <col min="5129" max="5129" width="12.109375" style="23" customWidth="1"/>
    <col min="5130" max="5372" width="8.88671875" style="23"/>
    <col min="5373" max="5373" width="15.77734375" style="23" customWidth="1"/>
    <col min="5374" max="5374" width="12.77734375" style="23" customWidth="1"/>
    <col min="5375" max="5375" width="8.77734375" style="23" customWidth="1"/>
    <col min="5376" max="5376" width="13.77734375" style="23" customWidth="1"/>
    <col min="5377" max="5377" width="8.77734375" style="23" customWidth="1"/>
    <col min="5378" max="5378" width="12.77734375" style="23" customWidth="1"/>
    <col min="5379" max="5379" width="10.77734375" style="23" customWidth="1"/>
    <col min="5380" max="5380" width="8.77734375" style="23" customWidth="1"/>
    <col min="5381" max="5381" width="8.88671875" style="23"/>
    <col min="5382" max="5382" width="12.44140625" style="23" customWidth="1"/>
    <col min="5383" max="5383" width="12.33203125" style="23" customWidth="1"/>
    <col min="5384" max="5384" width="8.88671875" style="23"/>
    <col min="5385" max="5385" width="12.109375" style="23" customWidth="1"/>
    <col min="5386" max="5628" width="8.88671875" style="23"/>
    <col min="5629" max="5629" width="15.77734375" style="23" customWidth="1"/>
    <col min="5630" max="5630" width="12.77734375" style="23" customWidth="1"/>
    <col min="5631" max="5631" width="8.77734375" style="23" customWidth="1"/>
    <col min="5632" max="5632" width="13.77734375" style="23" customWidth="1"/>
    <col min="5633" max="5633" width="8.77734375" style="23" customWidth="1"/>
    <col min="5634" max="5634" width="12.77734375" style="23" customWidth="1"/>
    <col min="5635" max="5635" width="10.77734375" style="23" customWidth="1"/>
    <col min="5636" max="5636" width="8.77734375" style="23" customWidth="1"/>
    <col min="5637" max="5637" width="8.88671875" style="23"/>
    <col min="5638" max="5638" width="12.44140625" style="23" customWidth="1"/>
    <col min="5639" max="5639" width="12.33203125" style="23" customWidth="1"/>
    <col min="5640" max="5640" width="8.88671875" style="23"/>
    <col min="5641" max="5641" width="12.109375" style="23" customWidth="1"/>
    <col min="5642" max="5884" width="8.88671875" style="23"/>
    <col min="5885" max="5885" width="15.77734375" style="23" customWidth="1"/>
    <col min="5886" max="5886" width="12.77734375" style="23" customWidth="1"/>
    <col min="5887" max="5887" width="8.77734375" style="23" customWidth="1"/>
    <col min="5888" max="5888" width="13.77734375" style="23" customWidth="1"/>
    <col min="5889" max="5889" width="8.77734375" style="23" customWidth="1"/>
    <col min="5890" max="5890" width="12.77734375" style="23" customWidth="1"/>
    <col min="5891" max="5891" width="10.77734375" style="23" customWidth="1"/>
    <col min="5892" max="5892" width="8.77734375" style="23" customWidth="1"/>
    <col min="5893" max="5893" width="8.88671875" style="23"/>
    <col min="5894" max="5894" width="12.44140625" style="23" customWidth="1"/>
    <col min="5895" max="5895" width="12.33203125" style="23" customWidth="1"/>
    <col min="5896" max="5896" width="8.88671875" style="23"/>
    <col min="5897" max="5897" width="12.109375" style="23" customWidth="1"/>
    <col min="5898" max="6140" width="8.88671875" style="23"/>
    <col min="6141" max="6141" width="15.77734375" style="23" customWidth="1"/>
    <col min="6142" max="6142" width="12.77734375" style="23" customWidth="1"/>
    <col min="6143" max="6143" width="8.77734375" style="23" customWidth="1"/>
    <col min="6144" max="6144" width="13.77734375" style="23" customWidth="1"/>
    <col min="6145" max="6145" width="8.77734375" style="23" customWidth="1"/>
    <col min="6146" max="6146" width="12.77734375" style="23" customWidth="1"/>
    <col min="6147" max="6147" width="10.77734375" style="23" customWidth="1"/>
    <col min="6148" max="6148" width="8.77734375" style="23" customWidth="1"/>
    <col min="6149" max="6149" width="8.88671875" style="23"/>
    <col min="6150" max="6150" width="12.44140625" style="23" customWidth="1"/>
    <col min="6151" max="6151" width="12.33203125" style="23" customWidth="1"/>
    <col min="6152" max="6152" width="8.88671875" style="23"/>
    <col min="6153" max="6153" width="12.109375" style="23" customWidth="1"/>
    <col min="6154" max="6396" width="8.88671875" style="23"/>
    <col min="6397" max="6397" width="15.77734375" style="23" customWidth="1"/>
    <col min="6398" max="6398" width="12.77734375" style="23" customWidth="1"/>
    <col min="6399" max="6399" width="8.77734375" style="23" customWidth="1"/>
    <col min="6400" max="6400" width="13.77734375" style="23" customWidth="1"/>
    <col min="6401" max="6401" width="8.77734375" style="23" customWidth="1"/>
    <col min="6402" max="6402" width="12.77734375" style="23" customWidth="1"/>
    <col min="6403" max="6403" width="10.77734375" style="23" customWidth="1"/>
    <col min="6404" max="6404" width="8.77734375" style="23" customWidth="1"/>
    <col min="6405" max="6405" width="8.88671875" style="23"/>
    <col min="6406" max="6406" width="12.44140625" style="23" customWidth="1"/>
    <col min="6407" max="6407" width="12.33203125" style="23" customWidth="1"/>
    <col min="6408" max="6408" width="8.88671875" style="23"/>
    <col min="6409" max="6409" width="12.109375" style="23" customWidth="1"/>
    <col min="6410" max="6652" width="8.88671875" style="23"/>
    <col min="6653" max="6653" width="15.77734375" style="23" customWidth="1"/>
    <col min="6654" max="6654" width="12.77734375" style="23" customWidth="1"/>
    <col min="6655" max="6655" width="8.77734375" style="23" customWidth="1"/>
    <col min="6656" max="6656" width="13.77734375" style="23" customWidth="1"/>
    <col min="6657" max="6657" width="8.77734375" style="23" customWidth="1"/>
    <col min="6658" max="6658" width="12.77734375" style="23" customWidth="1"/>
    <col min="6659" max="6659" width="10.77734375" style="23" customWidth="1"/>
    <col min="6660" max="6660" width="8.77734375" style="23" customWidth="1"/>
    <col min="6661" max="6661" width="8.88671875" style="23"/>
    <col min="6662" max="6662" width="12.44140625" style="23" customWidth="1"/>
    <col min="6663" max="6663" width="12.33203125" style="23" customWidth="1"/>
    <col min="6664" max="6664" width="8.88671875" style="23"/>
    <col min="6665" max="6665" width="12.109375" style="23" customWidth="1"/>
    <col min="6666" max="6908" width="8.88671875" style="23"/>
    <col min="6909" max="6909" width="15.77734375" style="23" customWidth="1"/>
    <col min="6910" max="6910" width="12.77734375" style="23" customWidth="1"/>
    <col min="6911" max="6911" width="8.77734375" style="23" customWidth="1"/>
    <col min="6912" max="6912" width="13.77734375" style="23" customWidth="1"/>
    <col min="6913" max="6913" width="8.77734375" style="23" customWidth="1"/>
    <col min="6914" max="6914" width="12.77734375" style="23" customWidth="1"/>
    <col min="6915" max="6915" width="10.77734375" style="23" customWidth="1"/>
    <col min="6916" max="6916" width="8.77734375" style="23" customWidth="1"/>
    <col min="6917" max="6917" width="8.88671875" style="23"/>
    <col min="6918" max="6918" width="12.44140625" style="23" customWidth="1"/>
    <col min="6919" max="6919" width="12.33203125" style="23" customWidth="1"/>
    <col min="6920" max="6920" width="8.88671875" style="23"/>
    <col min="6921" max="6921" width="12.109375" style="23" customWidth="1"/>
    <col min="6922" max="7164" width="8.88671875" style="23"/>
    <col min="7165" max="7165" width="15.77734375" style="23" customWidth="1"/>
    <col min="7166" max="7166" width="12.77734375" style="23" customWidth="1"/>
    <col min="7167" max="7167" width="8.77734375" style="23" customWidth="1"/>
    <col min="7168" max="7168" width="13.77734375" style="23" customWidth="1"/>
    <col min="7169" max="7169" width="8.77734375" style="23" customWidth="1"/>
    <col min="7170" max="7170" width="12.77734375" style="23" customWidth="1"/>
    <col min="7171" max="7171" width="10.77734375" style="23" customWidth="1"/>
    <col min="7172" max="7172" width="8.77734375" style="23" customWidth="1"/>
    <col min="7173" max="7173" width="8.88671875" style="23"/>
    <col min="7174" max="7174" width="12.44140625" style="23" customWidth="1"/>
    <col min="7175" max="7175" width="12.33203125" style="23" customWidth="1"/>
    <col min="7176" max="7176" width="8.88671875" style="23"/>
    <col min="7177" max="7177" width="12.109375" style="23" customWidth="1"/>
    <col min="7178" max="7420" width="8.88671875" style="23"/>
    <col min="7421" max="7421" width="15.77734375" style="23" customWidth="1"/>
    <col min="7422" max="7422" width="12.77734375" style="23" customWidth="1"/>
    <col min="7423" max="7423" width="8.77734375" style="23" customWidth="1"/>
    <col min="7424" max="7424" width="13.77734375" style="23" customWidth="1"/>
    <col min="7425" max="7425" width="8.77734375" style="23" customWidth="1"/>
    <col min="7426" max="7426" width="12.77734375" style="23" customWidth="1"/>
    <col min="7427" max="7427" width="10.77734375" style="23" customWidth="1"/>
    <col min="7428" max="7428" width="8.77734375" style="23" customWidth="1"/>
    <col min="7429" max="7429" width="8.88671875" style="23"/>
    <col min="7430" max="7430" width="12.44140625" style="23" customWidth="1"/>
    <col min="7431" max="7431" width="12.33203125" style="23" customWidth="1"/>
    <col min="7432" max="7432" width="8.88671875" style="23"/>
    <col min="7433" max="7433" width="12.109375" style="23" customWidth="1"/>
    <col min="7434" max="7676" width="8.88671875" style="23"/>
    <col min="7677" max="7677" width="15.77734375" style="23" customWidth="1"/>
    <col min="7678" max="7678" width="12.77734375" style="23" customWidth="1"/>
    <col min="7679" max="7679" width="8.77734375" style="23" customWidth="1"/>
    <col min="7680" max="7680" width="13.77734375" style="23" customWidth="1"/>
    <col min="7681" max="7681" width="8.77734375" style="23" customWidth="1"/>
    <col min="7682" max="7682" width="12.77734375" style="23" customWidth="1"/>
    <col min="7683" max="7683" width="10.77734375" style="23" customWidth="1"/>
    <col min="7684" max="7684" width="8.77734375" style="23" customWidth="1"/>
    <col min="7685" max="7685" width="8.88671875" style="23"/>
    <col min="7686" max="7686" width="12.44140625" style="23" customWidth="1"/>
    <col min="7687" max="7687" width="12.33203125" style="23" customWidth="1"/>
    <col min="7688" max="7688" width="8.88671875" style="23"/>
    <col min="7689" max="7689" width="12.109375" style="23" customWidth="1"/>
    <col min="7690" max="7932" width="8.88671875" style="23"/>
    <col min="7933" max="7933" width="15.77734375" style="23" customWidth="1"/>
    <col min="7934" max="7934" width="12.77734375" style="23" customWidth="1"/>
    <col min="7935" max="7935" width="8.77734375" style="23" customWidth="1"/>
    <col min="7936" max="7936" width="13.77734375" style="23" customWidth="1"/>
    <col min="7937" max="7937" width="8.77734375" style="23" customWidth="1"/>
    <col min="7938" max="7938" width="12.77734375" style="23" customWidth="1"/>
    <col min="7939" max="7939" width="10.77734375" style="23" customWidth="1"/>
    <col min="7940" max="7940" width="8.77734375" style="23" customWidth="1"/>
    <col min="7941" max="7941" width="8.88671875" style="23"/>
    <col min="7942" max="7942" width="12.44140625" style="23" customWidth="1"/>
    <col min="7943" max="7943" width="12.33203125" style="23" customWidth="1"/>
    <col min="7944" max="7944" width="8.88671875" style="23"/>
    <col min="7945" max="7945" width="12.109375" style="23" customWidth="1"/>
    <col min="7946" max="8188" width="8.88671875" style="23"/>
    <col min="8189" max="8189" width="15.77734375" style="23" customWidth="1"/>
    <col min="8190" max="8190" width="12.77734375" style="23" customWidth="1"/>
    <col min="8191" max="8191" width="8.77734375" style="23" customWidth="1"/>
    <col min="8192" max="8192" width="13.77734375" style="23" customWidth="1"/>
    <col min="8193" max="8193" width="8.77734375" style="23" customWidth="1"/>
    <col min="8194" max="8194" width="12.77734375" style="23" customWidth="1"/>
    <col min="8195" max="8195" width="10.77734375" style="23" customWidth="1"/>
    <col min="8196" max="8196" width="8.77734375" style="23" customWidth="1"/>
    <col min="8197" max="8197" width="8.88671875" style="23"/>
    <col min="8198" max="8198" width="12.44140625" style="23" customWidth="1"/>
    <col min="8199" max="8199" width="12.33203125" style="23" customWidth="1"/>
    <col min="8200" max="8200" width="8.88671875" style="23"/>
    <col min="8201" max="8201" width="12.109375" style="23" customWidth="1"/>
    <col min="8202" max="8444" width="8.88671875" style="23"/>
    <col min="8445" max="8445" width="15.77734375" style="23" customWidth="1"/>
    <col min="8446" max="8446" width="12.77734375" style="23" customWidth="1"/>
    <col min="8447" max="8447" width="8.77734375" style="23" customWidth="1"/>
    <col min="8448" max="8448" width="13.77734375" style="23" customWidth="1"/>
    <col min="8449" max="8449" width="8.77734375" style="23" customWidth="1"/>
    <col min="8450" max="8450" width="12.77734375" style="23" customWidth="1"/>
    <col min="8451" max="8451" width="10.77734375" style="23" customWidth="1"/>
    <col min="8452" max="8452" width="8.77734375" style="23" customWidth="1"/>
    <col min="8453" max="8453" width="8.88671875" style="23"/>
    <col min="8454" max="8454" width="12.44140625" style="23" customWidth="1"/>
    <col min="8455" max="8455" width="12.33203125" style="23" customWidth="1"/>
    <col min="8456" max="8456" width="8.88671875" style="23"/>
    <col min="8457" max="8457" width="12.109375" style="23" customWidth="1"/>
    <col min="8458" max="8700" width="8.88671875" style="23"/>
    <col min="8701" max="8701" width="15.77734375" style="23" customWidth="1"/>
    <col min="8702" max="8702" width="12.77734375" style="23" customWidth="1"/>
    <col min="8703" max="8703" width="8.77734375" style="23" customWidth="1"/>
    <col min="8704" max="8704" width="13.77734375" style="23" customWidth="1"/>
    <col min="8705" max="8705" width="8.77734375" style="23" customWidth="1"/>
    <col min="8706" max="8706" width="12.77734375" style="23" customWidth="1"/>
    <col min="8707" max="8707" width="10.77734375" style="23" customWidth="1"/>
    <col min="8708" max="8708" width="8.77734375" style="23" customWidth="1"/>
    <col min="8709" max="8709" width="8.88671875" style="23"/>
    <col min="8710" max="8710" width="12.44140625" style="23" customWidth="1"/>
    <col min="8711" max="8711" width="12.33203125" style="23" customWidth="1"/>
    <col min="8712" max="8712" width="8.88671875" style="23"/>
    <col min="8713" max="8713" width="12.109375" style="23" customWidth="1"/>
    <col min="8714" max="8956" width="8.88671875" style="23"/>
    <col min="8957" max="8957" width="15.77734375" style="23" customWidth="1"/>
    <col min="8958" max="8958" width="12.77734375" style="23" customWidth="1"/>
    <col min="8959" max="8959" width="8.77734375" style="23" customWidth="1"/>
    <col min="8960" max="8960" width="13.77734375" style="23" customWidth="1"/>
    <col min="8961" max="8961" width="8.77734375" style="23" customWidth="1"/>
    <col min="8962" max="8962" width="12.77734375" style="23" customWidth="1"/>
    <col min="8963" max="8963" width="10.77734375" style="23" customWidth="1"/>
    <col min="8964" max="8964" width="8.77734375" style="23" customWidth="1"/>
    <col min="8965" max="8965" width="8.88671875" style="23"/>
    <col min="8966" max="8966" width="12.44140625" style="23" customWidth="1"/>
    <col min="8967" max="8967" width="12.33203125" style="23" customWidth="1"/>
    <col min="8968" max="8968" width="8.88671875" style="23"/>
    <col min="8969" max="8969" width="12.109375" style="23" customWidth="1"/>
    <col min="8970" max="9212" width="8.88671875" style="23"/>
    <col min="9213" max="9213" width="15.77734375" style="23" customWidth="1"/>
    <col min="9214" max="9214" width="12.77734375" style="23" customWidth="1"/>
    <col min="9215" max="9215" width="8.77734375" style="23" customWidth="1"/>
    <col min="9216" max="9216" width="13.77734375" style="23" customWidth="1"/>
    <col min="9217" max="9217" width="8.77734375" style="23" customWidth="1"/>
    <col min="9218" max="9218" width="12.77734375" style="23" customWidth="1"/>
    <col min="9219" max="9219" width="10.77734375" style="23" customWidth="1"/>
    <col min="9220" max="9220" width="8.77734375" style="23" customWidth="1"/>
    <col min="9221" max="9221" width="8.88671875" style="23"/>
    <col min="9222" max="9222" width="12.44140625" style="23" customWidth="1"/>
    <col min="9223" max="9223" width="12.33203125" style="23" customWidth="1"/>
    <col min="9224" max="9224" width="8.88671875" style="23"/>
    <col min="9225" max="9225" width="12.109375" style="23" customWidth="1"/>
    <col min="9226" max="9468" width="8.88671875" style="23"/>
    <col min="9469" max="9469" width="15.77734375" style="23" customWidth="1"/>
    <col min="9470" max="9470" width="12.77734375" style="23" customWidth="1"/>
    <col min="9471" max="9471" width="8.77734375" style="23" customWidth="1"/>
    <col min="9472" max="9472" width="13.77734375" style="23" customWidth="1"/>
    <col min="9473" max="9473" width="8.77734375" style="23" customWidth="1"/>
    <col min="9474" max="9474" width="12.77734375" style="23" customWidth="1"/>
    <col min="9475" max="9475" width="10.77734375" style="23" customWidth="1"/>
    <col min="9476" max="9476" width="8.77734375" style="23" customWidth="1"/>
    <col min="9477" max="9477" width="8.88671875" style="23"/>
    <col min="9478" max="9478" width="12.44140625" style="23" customWidth="1"/>
    <col min="9479" max="9479" width="12.33203125" style="23" customWidth="1"/>
    <col min="9480" max="9480" width="8.88671875" style="23"/>
    <col min="9481" max="9481" width="12.109375" style="23" customWidth="1"/>
    <col min="9482" max="9724" width="8.88671875" style="23"/>
    <col min="9725" max="9725" width="15.77734375" style="23" customWidth="1"/>
    <col min="9726" max="9726" width="12.77734375" style="23" customWidth="1"/>
    <col min="9727" max="9727" width="8.77734375" style="23" customWidth="1"/>
    <col min="9728" max="9728" width="13.77734375" style="23" customWidth="1"/>
    <col min="9729" max="9729" width="8.77734375" style="23" customWidth="1"/>
    <col min="9730" max="9730" width="12.77734375" style="23" customWidth="1"/>
    <col min="9731" max="9731" width="10.77734375" style="23" customWidth="1"/>
    <col min="9732" max="9732" width="8.77734375" style="23" customWidth="1"/>
    <col min="9733" max="9733" width="8.88671875" style="23"/>
    <col min="9734" max="9734" width="12.44140625" style="23" customWidth="1"/>
    <col min="9735" max="9735" width="12.33203125" style="23" customWidth="1"/>
    <col min="9736" max="9736" width="8.88671875" style="23"/>
    <col min="9737" max="9737" width="12.109375" style="23" customWidth="1"/>
    <col min="9738" max="9980" width="8.88671875" style="23"/>
    <col min="9981" max="9981" width="15.77734375" style="23" customWidth="1"/>
    <col min="9982" max="9982" width="12.77734375" style="23" customWidth="1"/>
    <col min="9983" max="9983" width="8.77734375" style="23" customWidth="1"/>
    <col min="9984" max="9984" width="13.77734375" style="23" customWidth="1"/>
    <col min="9985" max="9985" width="8.77734375" style="23" customWidth="1"/>
    <col min="9986" max="9986" width="12.77734375" style="23" customWidth="1"/>
    <col min="9987" max="9987" width="10.77734375" style="23" customWidth="1"/>
    <col min="9988" max="9988" width="8.77734375" style="23" customWidth="1"/>
    <col min="9989" max="9989" width="8.88671875" style="23"/>
    <col min="9990" max="9990" width="12.44140625" style="23" customWidth="1"/>
    <col min="9991" max="9991" width="12.33203125" style="23" customWidth="1"/>
    <col min="9992" max="9992" width="8.88671875" style="23"/>
    <col min="9993" max="9993" width="12.109375" style="23" customWidth="1"/>
    <col min="9994" max="10236" width="8.88671875" style="23"/>
    <col min="10237" max="10237" width="15.77734375" style="23" customWidth="1"/>
    <col min="10238" max="10238" width="12.77734375" style="23" customWidth="1"/>
    <col min="10239" max="10239" width="8.77734375" style="23" customWidth="1"/>
    <col min="10240" max="10240" width="13.77734375" style="23" customWidth="1"/>
    <col min="10241" max="10241" width="8.77734375" style="23" customWidth="1"/>
    <col min="10242" max="10242" width="12.77734375" style="23" customWidth="1"/>
    <col min="10243" max="10243" width="10.77734375" style="23" customWidth="1"/>
    <col min="10244" max="10244" width="8.77734375" style="23" customWidth="1"/>
    <col min="10245" max="10245" width="8.88671875" style="23"/>
    <col min="10246" max="10246" width="12.44140625" style="23" customWidth="1"/>
    <col min="10247" max="10247" width="12.33203125" style="23" customWidth="1"/>
    <col min="10248" max="10248" width="8.88671875" style="23"/>
    <col min="10249" max="10249" width="12.109375" style="23" customWidth="1"/>
    <col min="10250" max="10492" width="8.88671875" style="23"/>
    <col min="10493" max="10493" width="15.77734375" style="23" customWidth="1"/>
    <col min="10494" max="10494" width="12.77734375" style="23" customWidth="1"/>
    <col min="10495" max="10495" width="8.77734375" style="23" customWidth="1"/>
    <col min="10496" max="10496" width="13.77734375" style="23" customWidth="1"/>
    <col min="10497" max="10497" width="8.77734375" style="23" customWidth="1"/>
    <col min="10498" max="10498" width="12.77734375" style="23" customWidth="1"/>
    <col min="10499" max="10499" width="10.77734375" style="23" customWidth="1"/>
    <col min="10500" max="10500" width="8.77734375" style="23" customWidth="1"/>
    <col min="10501" max="10501" width="8.88671875" style="23"/>
    <col min="10502" max="10502" width="12.44140625" style="23" customWidth="1"/>
    <col min="10503" max="10503" width="12.33203125" style="23" customWidth="1"/>
    <col min="10504" max="10504" width="8.88671875" style="23"/>
    <col min="10505" max="10505" width="12.109375" style="23" customWidth="1"/>
    <col min="10506" max="10748" width="8.88671875" style="23"/>
    <col min="10749" max="10749" width="15.77734375" style="23" customWidth="1"/>
    <col min="10750" max="10750" width="12.77734375" style="23" customWidth="1"/>
    <col min="10751" max="10751" width="8.77734375" style="23" customWidth="1"/>
    <col min="10752" max="10752" width="13.77734375" style="23" customWidth="1"/>
    <col min="10753" max="10753" width="8.77734375" style="23" customWidth="1"/>
    <col min="10754" max="10754" width="12.77734375" style="23" customWidth="1"/>
    <col min="10755" max="10755" width="10.77734375" style="23" customWidth="1"/>
    <col min="10756" max="10756" width="8.77734375" style="23" customWidth="1"/>
    <col min="10757" max="10757" width="8.88671875" style="23"/>
    <col min="10758" max="10758" width="12.44140625" style="23" customWidth="1"/>
    <col min="10759" max="10759" width="12.33203125" style="23" customWidth="1"/>
    <col min="10760" max="10760" width="8.88671875" style="23"/>
    <col min="10761" max="10761" width="12.109375" style="23" customWidth="1"/>
    <col min="10762" max="11004" width="8.88671875" style="23"/>
    <col min="11005" max="11005" width="15.77734375" style="23" customWidth="1"/>
    <col min="11006" max="11006" width="12.77734375" style="23" customWidth="1"/>
    <col min="11007" max="11007" width="8.77734375" style="23" customWidth="1"/>
    <col min="11008" max="11008" width="13.77734375" style="23" customWidth="1"/>
    <col min="11009" max="11009" width="8.77734375" style="23" customWidth="1"/>
    <col min="11010" max="11010" width="12.77734375" style="23" customWidth="1"/>
    <col min="11011" max="11011" width="10.77734375" style="23" customWidth="1"/>
    <col min="11012" max="11012" width="8.77734375" style="23" customWidth="1"/>
    <col min="11013" max="11013" width="8.88671875" style="23"/>
    <col min="11014" max="11014" width="12.44140625" style="23" customWidth="1"/>
    <col min="11015" max="11015" width="12.33203125" style="23" customWidth="1"/>
    <col min="11016" max="11016" width="8.88671875" style="23"/>
    <col min="11017" max="11017" width="12.109375" style="23" customWidth="1"/>
    <col min="11018" max="11260" width="8.88671875" style="23"/>
    <col min="11261" max="11261" width="15.77734375" style="23" customWidth="1"/>
    <col min="11262" max="11262" width="12.77734375" style="23" customWidth="1"/>
    <col min="11263" max="11263" width="8.77734375" style="23" customWidth="1"/>
    <col min="11264" max="11264" width="13.77734375" style="23" customWidth="1"/>
    <col min="11265" max="11265" width="8.77734375" style="23" customWidth="1"/>
    <col min="11266" max="11266" width="12.77734375" style="23" customWidth="1"/>
    <col min="11267" max="11267" width="10.77734375" style="23" customWidth="1"/>
    <col min="11268" max="11268" width="8.77734375" style="23" customWidth="1"/>
    <col min="11269" max="11269" width="8.88671875" style="23"/>
    <col min="11270" max="11270" width="12.44140625" style="23" customWidth="1"/>
    <col min="11271" max="11271" width="12.33203125" style="23" customWidth="1"/>
    <col min="11272" max="11272" width="8.88671875" style="23"/>
    <col min="11273" max="11273" width="12.109375" style="23" customWidth="1"/>
    <col min="11274" max="11516" width="8.88671875" style="23"/>
    <col min="11517" max="11517" width="15.77734375" style="23" customWidth="1"/>
    <col min="11518" max="11518" width="12.77734375" style="23" customWidth="1"/>
    <col min="11519" max="11519" width="8.77734375" style="23" customWidth="1"/>
    <col min="11520" max="11520" width="13.77734375" style="23" customWidth="1"/>
    <col min="11521" max="11521" width="8.77734375" style="23" customWidth="1"/>
    <col min="11522" max="11522" width="12.77734375" style="23" customWidth="1"/>
    <col min="11523" max="11523" width="10.77734375" style="23" customWidth="1"/>
    <col min="11524" max="11524" width="8.77734375" style="23" customWidth="1"/>
    <col min="11525" max="11525" width="8.88671875" style="23"/>
    <col min="11526" max="11526" width="12.44140625" style="23" customWidth="1"/>
    <col min="11527" max="11527" width="12.33203125" style="23" customWidth="1"/>
    <col min="11528" max="11528" width="8.88671875" style="23"/>
    <col min="11529" max="11529" width="12.109375" style="23" customWidth="1"/>
    <col min="11530" max="11772" width="8.88671875" style="23"/>
    <col min="11773" max="11773" width="15.77734375" style="23" customWidth="1"/>
    <col min="11774" max="11774" width="12.77734375" style="23" customWidth="1"/>
    <col min="11775" max="11775" width="8.77734375" style="23" customWidth="1"/>
    <col min="11776" max="11776" width="13.77734375" style="23" customWidth="1"/>
    <col min="11777" max="11777" width="8.77734375" style="23" customWidth="1"/>
    <col min="11778" max="11778" width="12.77734375" style="23" customWidth="1"/>
    <col min="11779" max="11779" width="10.77734375" style="23" customWidth="1"/>
    <col min="11780" max="11780" width="8.77734375" style="23" customWidth="1"/>
    <col min="11781" max="11781" width="8.88671875" style="23"/>
    <col min="11782" max="11782" width="12.44140625" style="23" customWidth="1"/>
    <col min="11783" max="11783" width="12.33203125" style="23" customWidth="1"/>
    <col min="11784" max="11784" width="8.88671875" style="23"/>
    <col min="11785" max="11785" width="12.109375" style="23" customWidth="1"/>
    <col min="11786" max="12028" width="8.88671875" style="23"/>
    <col min="12029" max="12029" width="15.77734375" style="23" customWidth="1"/>
    <col min="12030" max="12030" width="12.77734375" style="23" customWidth="1"/>
    <col min="12031" max="12031" width="8.77734375" style="23" customWidth="1"/>
    <col min="12032" max="12032" width="13.77734375" style="23" customWidth="1"/>
    <col min="12033" max="12033" width="8.77734375" style="23" customWidth="1"/>
    <col min="12034" max="12034" width="12.77734375" style="23" customWidth="1"/>
    <col min="12035" max="12035" width="10.77734375" style="23" customWidth="1"/>
    <col min="12036" max="12036" width="8.77734375" style="23" customWidth="1"/>
    <col min="12037" max="12037" width="8.88671875" style="23"/>
    <col min="12038" max="12038" width="12.44140625" style="23" customWidth="1"/>
    <col min="12039" max="12039" width="12.33203125" style="23" customWidth="1"/>
    <col min="12040" max="12040" width="8.88671875" style="23"/>
    <col min="12041" max="12041" width="12.109375" style="23" customWidth="1"/>
    <col min="12042" max="12284" width="8.88671875" style="23"/>
    <col min="12285" max="12285" width="15.77734375" style="23" customWidth="1"/>
    <col min="12286" max="12286" width="12.77734375" style="23" customWidth="1"/>
    <col min="12287" max="12287" width="8.77734375" style="23" customWidth="1"/>
    <col min="12288" max="12288" width="13.77734375" style="23" customWidth="1"/>
    <col min="12289" max="12289" width="8.77734375" style="23" customWidth="1"/>
    <col min="12290" max="12290" width="12.77734375" style="23" customWidth="1"/>
    <col min="12291" max="12291" width="10.77734375" style="23" customWidth="1"/>
    <col min="12292" max="12292" width="8.77734375" style="23" customWidth="1"/>
    <col min="12293" max="12293" width="8.88671875" style="23"/>
    <col min="12294" max="12294" width="12.44140625" style="23" customWidth="1"/>
    <col min="12295" max="12295" width="12.33203125" style="23" customWidth="1"/>
    <col min="12296" max="12296" width="8.88671875" style="23"/>
    <col min="12297" max="12297" width="12.109375" style="23" customWidth="1"/>
    <col min="12298" max="12540" width="8.88671875" style="23"/>
    <col min="12541" max="12541" width="15.77734375" style="23" customWidth="1"/>
    <col min="12542" max="12542" width="12.77734375" style="23" customWidth="1"/>
    <col min="12543" max="12543" width="8.77734375" style="23" customWidth="1"/>
    <col min="12544" max="12544" width="13.77734375" style="23" customWidth="1"/>
    <col min="12545" max="12545" width="8.77734375" style="23" customWidth="1"/>
    <col min="12546" max="12546" width="12.77734375" style="23" customWidth="1"/>
    <col min="12547" max="12547" width="10.77734375" style="23" customWidth="1"/>
    <col min="12548" max="12548" width="8.77734375" style="23" customWidth="1"/>
    <col min="12549" max="12549" width="8.88671875" style="23"/>
    <col min="12550" max="12550" width="12.44140625" style="23" customWidth="1"/>
    <col min="12551" max="12551" width="12.33203125" style="23" customWidth="1"/>
    <col min="12552" max="12552" width="8.88671875" style="23"/>
    <col min="12553" max="12553" width="12.109375" style="23" customWidth="1"/>
    <col min="12554" max="12796" width="8.88671875" style="23"/>
    <col min="12797" max="12797" width="15.77734375" style="23" customWidth="1"/>
    <col min="12798" max="12798" width="12.77734375" style="23" customWidth="1"/>
    <col min="12799" max="12799" width="8.77734375" style="23" customWidth="1"/>
    <col min="12800" max="12800" width="13.77734375" style="23" customWidth="1"/>
    <col min="12801" max="12801" width="8.77734375" style="23" customWidth="1"/>
    <col min="12802" max="12802" width="12.77734375" style="23" customWidth="1"/>
    <col min="12803" max="12803" width="10.77734375" style="23" customWidth="1"/>
    <col min="12804" max="12804" width="8.77734375" style="23" customWidth="1"/>
    <col min="12805" max="12805" width="8.88671875" style="23"/>
    <col min="12806" max="12806" width="12.44140625" style="23" customWidth="1"/>
    <col min="12807" max="12807" width="12.33203125" style="23" customWidth="1"/>
    <col min="12808" max="12808" width="8.88671875" style="23"/>
    <col min="12809" max="12809" width="12.109375" style="23" customWidth="1"/>
    <col min="12810" max="13052" width="8.88671875" style="23"/>
    <col min="13053" max="13053" width="15.77734375" style="23" customWidth="1"/>
    <col min="13054" max="13054" width="12.77734375" style="23" customWidth="1"/>
    <col min="13055" max="13055" width="8.77734375" style="23" customWidth="1"/>
    <col min="13056" max="13056" width="13.77734375" style="23" customWidth="1"/>
    <col min="13057" max="13057" width="8.77734375" style="23" customWidth="1"/>
    <col min="13058" max="13058" width="12.77734375" style="23" customWidth="1"/>
    <col min="13059" max="13059" width="10.77734375" style="23" customWidth="1"/>
    <col min="13060" max="13060" width="8.77734375" style="23" customWidth="1"/>
    <col min="13061" max="13061" width="8.88671875" style="23"/>
    <col min="13062" max="13062" width="12.44140625" style="23" customWidth="1"/>
    <col min="13063" max="13063" width="12.33203125" style="23" customWidth="1"/>
    <col min="13064" max="13064" width="8.88671875" style="23"/>
    <col min="13065" max="13065" width="12.109375" style="23" customWidth="1"/>
    <col min="13066" max="13308" width="8.88671875" style="23"/>
    <col min="13309" max="13309" width="15.77734375" style="23" customWidth="1"/>
    <col min="13310" max="13310" width="12.77734375" style="23" customWidth="1"/>
    <col min="13311" max="13311" width="8.77734375" style="23" customWidth="1"/>
    <col min="13312" max="13312" width="13.77734375" style="23" customWidth="1"/>
    <col min="13313" max="13313" width="8.77734375" style="23" customWidth="1"/>
    <col min="13314" max="13314" width="12.77734375" style="23" customWidth="1"/>
    <col min="13315" max="13315" width="10.77734375" style="23" customWidth="1"/>
    <col min="13316" max="13316" width="8.77734375" style="23" customWidth="1"/>
    <col min="13317" max="13317" width="8.88671875" style="23"/>
    <col min="13318" max="13318" width="12.44140625" style="23" customWidth="1"/>
    <col min="13319" max="13319" width="12.33203125" style="23" customWidth="1"/>
    <col min="13320" max="13320" width="8.88671875" style="23"/>
    <col min="13321" max="13321" width="12.109375" style="23" customWidth="1"/>
    <col min="13322" max="13564" width="8.88671875" style="23"/>
    <col min="13565" max="13565" width="15.77734375" style="23" customWidth="1"/>
    <col min="13566" max="13566" width="12.77734375" style="23" customWidth="1"/>
    <col min="13567" max="13567" width="8.77734375" style="23" customWidth="1"/>
    <col min="13568" max="13568" width="13.77734375" style="23" customWidth="1"/>
    <col min="13569" max="13569" width="8.77734375" style="23" customWidth="1"/>
    <col min="13570" max="13570" width="12.77734375" style="23" customWidth="1"/>
    <col min="13571" max="13571" width="10.77734375" style="23" customWidth="1"/>
    <col min="13572" max="13572" width="8.77734375" style="23" customWidth="1"/>
    <col min="13573" max="13573" width="8.88671875" style="23"/>
    <col min="13574" max="13574" width="12.44140625" style="23" customWidth="1"/>
    <col min="13575" max="13575" width="12.33203125" style="23" customWidth="1"/>
    <col min="13576" max="13576" width="8.88671875" style="23"/>
    <col min="13577" max="13577" width="12.109375" style="23" customWidth="1"/>
    <col min="13578" max="13820" width="8.88671875" style="23"/>
    <col min="13821" max="13821" width="15.77734375" style="23" customWidth="1"/>
    <col min="13822" max="13822" width="12.77734375" style="23" customWidth="1"/>
    <col min="13823" max="13823" width="8.77734375" style="23" customWidth="1"/>
    <col min="13824" max="13824" width="13.77734375" style="23" customWidth="1"/>
    <col min="13825" max="13825" width="8.77734375" style="23" customWidth="1"/>
    <col min="13826" max="13826" width="12.77734375" style="23" customWidth="1"/>
    <col min="13827" max="13827" width="10.77734375" style="23" customWidth="1"/>
    <col min="13828" max="13828" width="8.77734375" style="23" customWidth="1"/>
    <col min="13829" max="13829" width="8.88671875" style="23"/>
    <col min="13830" max="13830" width="12.44140625" style="23" customWidth="1"/>
    <col min="13831" max="13831" width="12.33203125" style="23" customWidth="1"/>
    <col min="13832" max="13832" width="8.88671875" style="23"/>
    <col min="13833" max="13833" width="12.109375" style="23" customWidth="1"/>
    <col min="13834" max="14076" width="8.88671875" style="23"/>
    <col min="14077" max="14077" width="15.77734375" style="23" customWidth="1"/>
    <col min="14078" max="14078" width="12.77734375" style="23" customWidth="1"/>
    <col min="14079" max="14079" width="8.77734375" style="23" customWidth="1"/>
    <col min="14080" max="14080" width="13.77734375" style="23" customWidth="1"/>
    <col min="14081" max="14081" width="8.77734375" style="23" customWidth="1"/>
    <col min="14082" max="14082" width="12.77734375" style="23" customWidth="1"/>
    <col min="14083" max="14083" width="10.77734375" style="23" customWidth="1"/>
    <col min="14084" max="14084" width="8.77734375" style="23" customWidth="1"/>
    <col min="14085" max="14085" width="8.88671875" style="23"/>
    <col min="14086" max="14086" width="12.44140625" style="23" customWidth="1"/>
    <col min="14087" max="14087" width="12.33203125" style="23" customWidth="1"/>
    <col min="14088" max="14088" width="8.88671875" style="23"/>
    <col min="14089" max="14089" width="12.109375" style="23" customWidth="1"/>
    <col min="14090" max="14332" width="8.88671875" style="23"/>
    <col min="14333" max="14333" width="15.77734375" style="23" customWidth="1"/>
    <col min="14334" max="14334" width="12.77734375" style="23" customWidth="1"/>
    <col min="14335" max="14335" width="8.77734375" style="23" customWidth="1"/>
    <col min="14336" max="14336" width="13.77734375" style="23" customWidth="1"/>
    <col min="14337" max="14337" width="8.77734375" style="23" customWidth="1"/>
    <col min="14338" max="14338" width="12.77734375" style="23" customWidth="1"/>
    <col min="14339" max="14339" width="10.77734375" style="23" customWidth="1"/>
    <col min="14340" max="14340" width="8.77734375" style="23" customWidth="1"/>
    <col min="14341" max="14341" width="8.88671875" style="23"/>
    <col min="14342" max="14342" width="12.44140625" style="23" customWidth="1"/>
    <col min="14343" max="14343" width="12.33203125" style="23" customWidth="1"/>
    <col min="14344" max="14344" width="8.88671875" style="23"/>
    <col min="14345" max="14345" width="12.109375" style="23" customWidth="1"/>
    <col min="14346" max="14588" width="8.88671875" style="23"/>
    <col min="14589" max="14589" width="15.77734375" style="23" customWidth="1"/>
    <col min="14590" max="14590" width="12.77734375" style="23" customWidth="1"/>
    <col min="14591" max="14591" width="8.77734375" style="23" customWidth="1"/>
    <col min="14592" max="14592" width="13.77734375" style="23" customWidth="1"/>
    <col min="14593" max="14593" width="8.77734375" style="23" customWidth="1"/>
    <col min="14594" max="14594" width="12.77734375" style="23" customWidth="1"/>
    <col min="14595" max="14595" width="10.77734375" style="23" customWidth="1"/>
    <col min="14596" max="14596" width="8.77734375" style="23" customWidth="1"/>
    <col min="14597" max="14597" width="8.88671875" style="23"/>
    <col min="14598" max="14598" width="12.44140625" style="23" customWidth="1"/>
    <col min="14599" max="14599" width="12.33203125" style="23" customWidth="1"/>
    <col min="14600" max="14600" width="8.88671875" style="23"/>
    <col min="14601" max="14601" width="12.109375" style="23" customWidth="1"/>
    <col min="14602" max="14844" width="8.88671875" style="23"/>
    <col min="14845" max="14845" width="15.77734375" style="23" customWidth="1"/>
    <col min="14846" max="14846" width="12.77734375" style="23" customWidth="1"/>
    <col min="14847" max="14847" width="8.77734375" style="23" customWidth="1"/>
    <col min="14848" max="14848" width="13.77734375" style="23" customWidth="1"/>
    <col min="14849" max="14849" width="8.77734375" style="23" customWidth="1"/>
    <col min="14850" max="14850" width="12.77734375" style="23" customWidth="1"/>
    <col min="14851" max="14851" width="10.77734375" style="23" customWidth="1"/>
    <col min="14852" max="14852" width="8.77734375" style="23" customWidth="1"/>
    <col min="14853" max="14853" width="8.88671875" style="23"/>
    <col min="14854" max="14854" width="12.44140625" style="23" customWidth="1"/>
    <col min="14855" max="14855" width="12.33203125" style="23" customWidth="1"/>
    <col min="14856" max="14856" width="8.88671875" style="23"/>
    <col min="14857" max="14857" width="12.109375" style="23" customWidth="1"/>
    <col min="14858" max="15100" width="8.88671875" style="23"/>
    <col min="15101" max="15101" width="15.77734375" style="23" customWidth="1"/>
    <col min="15102" max="15102" width="12.77734375" style="23" customWidth="1"/>
    <col min="15103" max="15103" width="8.77734375" style="23" customWidth="1"/>
    <col min="15104" max="15104" width="13.77734375" style="23" customWidth="1"/>
    <col min="15105" max="15105" width="8.77734375" style="23" customWidth="1"/>
    <col min="15106" max="15106" width="12.77734375" style="23" customWidth="1"/>
    <col min="15107" max="15107" width="10.77734375" style="23" customWidth="1"/>
    <col min="15108" max="15108" width="8.77734375" style="23" customWidth="1"/>
    <col min="15109" max="15109" width="8.88671875" style="23"/>
    <col min="15110" max="15110" width="12.44140625" style="23" customWidth="1"/>
    <col min="15111" max="15111" width="12.33203125" style="23" customWidth="1"/>
    <col min="15112" max="15112" width="8.88671875" style="23"/>
    <col min="15113" max="15113" width="12.109375" style="23" customWidth="1"/>
    <col min="15114" max="15356" width="8.88671875" style="23"/>
    <col min="15357" max="15357" width="15.77734375" style="23" customWidth="1"/>
    <col min="15358" max="15358" width="12.77734375" style="23" customWidth="1"/>
    <col min="15359" max="15359" width="8.77734375" style="23" customWidth="1"/>
    <col min="15360" max="15360" width="13.77734375" style="23" customWidth="1"/>
    <col min="15361" max="15361" width="8.77734375" style="23" customWidth="1"/>
    <col min="15362" max="15362" width="12.77734375" style="23" customWidth="1"/>
    <col min="15363" max="15363" width="10.77734375" style="23" customWidth="1"/>
    <col min="15364" max="15364" width="8.77734375" style="23" customWidth="1"/>
    <col min="15365" max="15365" width="8.88671875" style="23"/>
    <col min="15366" max="15366" width="12.44140625" style="23" customWidth="1"/>
    <col min="15367" max="15367" width="12.33203125" style="23" customWidth="1"/>
    <col min="15368" max="15368" width="8.88671875" style="23"/>
    <col min="15369" max="15369" width="12.109375" style="23" customWidth="1"/>
    <col min="15370" max="15612" width="8.88671875" style="23"/>
    <col min="15613" max="15613" width="15.77734375" style="23" customWidth="1"/>
    <col min="15614" max="15614" width="12.77734375" style="23" customWidth="1"/>
    <col min="15615" max="15615" width="8.77734375" style="23" customWidth="1"/>
    <col min="15616" max="15616" width="13.77734375" style="23" customWidth="1"/>
    <col min="15617" max="15617" width="8.77734375" style="23" customWidth="1"/>
    <col min="15618" max="15618" width="12.77734375" style="23" customWidth="1"/>
    <col min="15619" max="15619" width="10.77734375" style="23" customWidth="1"/>
    <col min="15620" max="15620" width="8.77734375" style="23" customWidth="1"/>
    <col min="15621" max="15621" width="8.88671875" style="23"/>
    <col min="15622" max="15622" width="12.44140625" style="23" customWidth="1"/>
    <col min="15623" max="15623" width="12.33203125" style="23" customWidth="1"/>
    <col min="15624" max="15624" width="8.88671875" style="23"/>
    <col min="15625" max="15625" width="12.109375" style="23" customWidth="1"/>
    <col min="15626" max="15868" width="8.88671875" style="23"/>
    <col min="15869" max="15869" width="15.77734375" style="23" customWidth="1"/>
    <col min="15870" max="15870" width="12.77734375" style="23" customWidth="1"/>
    <col min="15871" max="15871" width="8.77734375" style="23" customWidth="1"/>
    <col min="15872" max="15872" width="13.77734375" style="23" customWidth="1"/>
    <col min="15873" max="15873" width="8.77734375" style="23" customWidth="1"/>
    <col min="15874" max="15874" width="12.77734375" style="23" customWidth="1"/>
    <col min="15875" max="15875" width="10.77734375" style="23" customWidth="1"/>
    <col min="15876" max="15876" width="8.77734375" style="23" customWidth="1"/>
    <col min="15877" max="15877" width="8.88671875" style="23"/>
    <col min="15878" max="15878" width="12.44140625" style="23" customWidth="1"/>
    <col min="15879" max="15879" width="12.33203125" style="23" customWidth="1"/>
    <col min="15880" max="15880" width="8.88671875" style="23"/>
    <col min="15881" max="15881" width="12.109375" style="23" customWidth="1"/>
    <col min="15882" max="16124" width="8.88671875" style="23"/>
    <col min="16125" max="16125" width="15.77734375" style="23" customWidth="1"/>
    <col min="16126" max="16126" width="12.77734375" style="23" customWidth="1"/>
    <col min="16127" max="16127" width="8.77734375" style="23" customWidth="1"/>
    <col min="16128" max="16128" width="13.77734375" style="23" customWidth="1"/>
    <col min="16129" max="16129" width="8.77734375" style="23" customWidth="1"/>
    <col min="16130" max="16130" width="12.77734375" style="23" customWidth="1"/>
    <col min="16131" max="16131" width="10.77734375" style="23" customWidth="1"/>
    <col min="16132" max="16132" width="8.77734375" style="23" customWidth="1"/>
    <col min="16133" max="16133" width="8.88671875" style="23"/>
    <col min="16134" max="16134" width="12.44140625" style="23" customWidth="1"/>
    <col min="16135" max="16135" width="12.33203125" style="23" customWidth="1"/>
    <col min="16136" max="16136" width="8.88671875" style="23"/>
    <col min="16137" max="16137" width="12.109375" style="23" customWidth="1"/>
    <col min="16138" max="16384" width="8.88671875" style="23"/>
  </cols>
  <sheetData>
    <row r="1" spans="1:8" x14ac:dyDescent="0.2">
      <c r="A1" s="26"/>
      <c r="B1" s="26"/>
      <c r="C1" s="26"/>
      <c r="D1" s="26"/>
      <c r="E1" s="26"/>
      <c r="F1" s="26"/>
      <c r="G1" s="26"/>
      <c r="H1" s="53">
        <f>inputPrYr!C5</f>
        <v>2025</v>
      </c>
    </row>
    <row r="2" spans="1:8" x14ac:dyDescent="0.2">
      <c r="A2" s="603" t="s">
        <v>428</v>
      </c>
      <c r="B2" s="608"/>
      <c r="C2" s="608"/>
      <c r="D2" s="608"/>
      <c r="E2" s="608"/>
      <c r="F2" s="608"/>
      <c r="G2" s="608"/>
      <c r="H2" s="608"/>
    </row>
    <row r="3" spans="1:8" x14ac:dyDescent="0.2">
      <c r="A3" s="26"/>
      <c r="B3" s="26"/>
      <c r="C3" s="26"/>
      <c r="D3" s="26"/>
      <c r="E3" s="26"/>
      <c r="F3" s="26"/>
      <c r="G3" s="26"/>
      <c r="H3" s="26"/>
    </row>
    <row r="4" spans="1:8" x14ac:dyDescent="0.2">
      <c r="A4" s="589" t="s">
        <v>191</v>
      </c>
      <c r="B4" s="589"/>
      <c r="C4" s="589"/>
      <c r="D4" s="589"/>
      <c r="E4" s="589"/>
      <c r="F4" s="589"/>
      <c r="G4" s="589"/>
      <c r="H4" s="589"/>
    </row>
    <row r="5" spans="1:8" x14ac:dyDescent="0.2">
      <c r="A5" s="604">
        <f>inputPrYr!C3</f>
        <v>0</v>
      </c>
      <c r="B5" s="712"/>
      <c r="C5" s="712"/>
      <c r="D5" s="712"/>
      <c r="E5" s="712"/>
      <c r="F5" s="712"/>
      <c r="G5" s="712"/>
      <c r="H5" s="712"/>
    </row>
    <row r="6" spans="1:8" x14ac:dyDescent="0.2">
      <c r="A6" s="589" t="str">
        <f>CONCATENATE("will meet on ",inputHearing!B42," at ",inputHearing!B44," at ",inputHearing!B46," for the purpose of hearing and")</f>
        <v>will meet on  at  at  for the purpose of hearing and</v>
      </c>
      <c r="B6" s="589"/>
      <c r="C6" s="589"/>
      <c r="D6" s="589"/>
      <c r="E6" s="589"/>
      <c r="F6" s="589"/>
      <c r="G6" s="589"/>
      <c r="H6" s="589"/>
    </row>
    <row r="7" spans="1:8" ht="14.25" customHeight="1" x14ac:dyDescent="0.2">
      <c r="A7" s="589" t="s">
        <v>429</v>
      </c>
      <c r="B7" s="589"/>
      <c r="C7" s="589"/>
      <c r="D7" s="589"/>
      <c r="E7" s="589"/>
      <c r="F7" s="589"/>
      <c r="G7" s="589"/>
      <c r="H7" s="589"/>
    </row>
    <row r="8" spans="1:8" ht="11.25" customHeight="1" x14ac:dyDescent="0.2">
      <c r="A8" s="26"/>
      <c r="B8" s="26"/>
      <c r="C8" s="26"/>
      <c r="D8" s="26"/>
      <c r="E8" s="26"/>
      <c r="F8" s="26"/>
      <c r="G8" s="26"/>
      <c r="H8" s="26"/>
    </row>
    <row r="9" spans="1:8" x14ac:dyDescent="0.2">
      <c r="A9" s="79"/>
      <c r="B9" s="713" t="s">
        <v>430</v>
      </c>
      <c r="C9" s="713"/>
      <c r="D9" s="442">
        <f>'Budget Hearing Notice'!H62</f>
        <v>0</v>
      </c>
      <c r="E9" s="713" t="s">
        <v>431</v>
      </c>
      <c r="F9" s="713"/>
      <c r="G9" s="443">
        <f>'Budget Hearing Notice'!H61</f>
        <v>0</v>
      </c>
      <c r="H9" s="30"/>
    </row>
    <row r="10" spans="1:8" x14ac:dyDescent="0.2">
      <c r="A10" s="26"/>
      <c r="B10" s="147"/>
      <c r="C10" s="147"/>
      <c r="D10" s="147"/>
      <c r="E10" s="147"/>
      <c r="F10" s="147"/>
      <c r="G10" s="147"/>
      <c r="H10" s="147"/>
    </row>
    <row r="11" spans="1:8" x14ac:dyDescent="0.2">
      <c r="A11" s="26"/>
      <c r="B11" s="711" t="s">
        <v>432</v>
      </c>
      <c r="C11" s="711"/>
      <c r="D11" s="711"/>
      <c r="E11" s="711"/>
      <c r="F11" s="711"/>
      <c r="G11" s="26"/>
      <c r="H11" s="53"/>
    </row>
    <row r="12" spans="1:8" x14ac:dyDescent="0.2">
      <c r="A12" s="26"/>
      <c r="B12" s="711" t="s">
        <v>433</v>
      </c>
      <c r="C12" s="711"/>
      <c r="D12" s="711"/>
      <c r="E12" s="711"/>
      <c r="F12" s="711"/>
      <c r="G12" s="26"/>
      <c r="H12" s="53"/>
    </row>
    <row r="13" spans="1:8" x14ac:dyDescent="0.2">
      <c r="A13" s="26"/>
      <c r="B13" s="444"/>
      <c r="C13" s="444"/>
      <c r="D13" s="444"/>
      <c r="E13" s="444"/>
      <c r="F13" s="444"/>
      <c r="G13" s="26"/>
      <c r="H13" s="53"/>
    </row>
    <row r="14" spans="1:8" x14ac:dyDescent="0.2">
      <c r="A14" s="26"/>
      <c r="B14" s="444"/>
      <c r="C14" s="444"/>
      <c r="D14" s="125" t="s">
        <v>91</v>
      </c>
      <c r="E14" s="368"/>
      <c r="F14" s="444"/>
      <c r="G14" s="26"/>
      <c r="H14" s="53"/>
    </row>
    <row r="16" spans="1:8" x14ac:dyDescent="0.2">
      <c r="A16" s="56"/>
      <c r="B16" s="56"/>
      <c r="C16" s="56"/>
      <c r="D16" s="56"/>
      <c r="E16" s="56"/>
      <c r="F16" s="56"/>
      <c r="G16" s="56"/>
      <c r="H16" s="56"/>
    </row>
    <row r="18" spans="1:8" x14ac:dyDescent="0.2">
      <c r="A18" s="56"/>
      <c r="B18" s="56"/>
      <c r="C18" s="56"/>
      <c r="D18" s="56"/>
      <c r="E18" s="56"/>
      <c r="F18" s="56"/>
      <c r="G18" s="56"/>
      <c r="H18" s="56"/>
    </row>
    <row r="19" spans="1:8" x14ac:dyDescent="0.2">
      <c r="A19" s="56"/>
      <c r="B19" s="56"/>
      <c r="C19" s="56"/>
      <c r="D19" s="56"/>
      <c r="E19" s="56"/>
      <c r="F19" s="56"/>
      <c r="G19" s="56"/>
      <c r="H19" s="56"/>
    </row>
    <row r="20" spans="1:8" x14ac:dyDescent="0.2">
      <c r="A20" s="56"/>
      <c r="B20" s="56"/>
      <c r="C20" s="56"/>
      <c r="D20" s="56"/>
      <c r="E20" s="56"/>
      <c r="F20" s="56"/>
      <c r="G20" s="56"/>
      <c r="H20" s="56"/>
    </row>
    <row r="21" spans="1:8" x14ac:dyDescent="0.2">
      <c r="A21" s="56"/>
      <c r="B21" s="56"/>
      <c r="C21" s="56"/>
      <c r="D21" s="56"/>
      <c r="E21" s="56"/>
      <c r="F21" s="56"/>
      <c r="G21" s="56"/>
      <c r="H21" s="56"/>
    </row>
    <row r="22" spans="1:8" x14ac:dyDescent="0.2">
      <c r="A22" s="56"/>
      <c r="B22" s="56"/>
      <c r="C22" s="56"/>
      <c r="D22" s="56"/>
      <c r="E22" s="56"/>
      <c r="F22" s="56"/>
      <c r="G22" s="56"/>
      <c r="H22" s="56"/>
    </row>
    <row r="23" spans="1:8" x14ac:dyDescent="0.2">
      <c r="A23" s="56"/>
      <c r="B23" s="56"/>
      <c r="C23" s="56"/>
      <c r="D23" s="56"/>
      <c r="E23" s="56"/>
      <c r="F23" s="56"/>
      <c r="G23" s="56"/>
      <c r="H23" s="56"/>
    </row>
    <row r="24" spans="1:8" x14ac:dyDescent="0.2">
      <c r="A24" s="56"/>
      <c r="B24" s="56"/>
      <c r="C24" s="56"/>
      <c r="D24" s="56"/>
      <c r="E24" s="56"/>
      <c r="F24" s="56"/>
      <c r="G24" s="56"/>
      <c r="H24" s="56"/>
    </row>
    <row r="25" spans="1:8" x14ac:dyDescent="0.2">
      <c r="A25" s="56"/>
      <c r="B25" s="56"/>
      <c r="C25" s="56"/>
      <c r="D25" s="56"/>
      <c r="E25" s="56"/>
      <c r="F25" s="56"/>
      <c r="G25" s="56"/>
      <c r="H25" s="56"/>
    </row>
    <row r="26" spans="1:8" x14ac:dyDescent="0.2">
      <c r="A26" s="56"/>
      <c r="B26" s="56"/>
      <c r="C26" s="56"/>
      <c r="D26" s="56"/>
      <c r="E26" s="56"/>
      <c r="F26" s="56"/>
      <c r="G26" s="56"/>
      <c r="H26" s="56"/>
    </row>
    <row r="34" ht="15" customHeight="1" x14ac:dyDescent="0.2"/>
  </sheetData>
  <sheetProtection sheet="1" objects="1" scenarios="1"/>
  <mergeCells count="9">
    <mergeCell ref="B11:F11"/>
    <mergeCell ref="B12:F12"/>
    <mergeCell ref="A2:H2"/>
    <mergeCell ref="A4:H4"/>
    <mergeCell ref="A5:H5"/>
    <mergeCell ref="A6:H6"/>
    <mergeCell ref="A7:H7"/>
    <mergeCell ref="B9:C9"/>
    <mergeCell ref="E9:F9"/>
  </mergeCells>
  <pageMargins left="1" right="1" top="0.5" bottom="0.5" header="0.5" footer="0.5"/>
  <pageSetup scale="76" orientation="portrait" blackAndWhite="1"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7">
    <pageSetUpPr fitToPage="1"/>
  </sheetPr>
  <dimension ref="A1:F52"/>
  <sheetViews>
    <sheetView workbookViewId="0">
      <selection activeCell="B15" sqref="B15"/>
    </sheetView>
  </sheetViews>
  <sheetFormatPr defaultRowHeight="15" x14ac:dyDescent="0.2"/>
  <cols>
    <col min="1" max="1" width="9.21875" style="75" customWidth="1"/>
    <col min="2" max="2" width="18.5546875" style="75" customWidth="1"/>
    <col min="3" max="3" width="11.77734375" style="75" customWidth="1"/>
    <col min="4" max="4" width="12.77734375" style="75" customWidth="1"/>
    <col min="5" max="5" width="11.77734375" style="75" customWidth="1"/>
    <col min="6" max="16384" width="8.88671875" style="75"/>
  </cols>
  <sheetData>
    <row r="1" spans="1:6" ht="15.75" x14ac:dyDescent="0.2">
      <c r="A1" s="57">
        <f>inputPrYr!C3</f>
        <v>0</v>
      </c>
      <c r="B1" s="26"/>
      <c r="C1" s="26"/>
      <c r="D1" s="26"/>
      <c r="E1" s="26"/>
      <c r="F1" s="26">
        <f>inputPrYr!C5</f>
        <v>2025</v>
      </c>
    </row>
    <row r="2" spans="1:6" ht="15.75" x14ac:dyDescent="0.2">
      <c r="A2" s="26"/>
      <c r="B2" s="589"/>
      <c r="C2" s="589"/>
      <c r="D2" s="589"/>
      <c r="E2" s="589"/>
      <c r="F2" s="26"/>
    </row>
    <row r="3" spans="1:6" ht="15.75" x14ac:dyDescent="0.2">
      <c r="A3" s="26"/>
      <c r="B3" s="610" t="str">
        <f>CONCATENATE("",F1," Neighborhood Revitalization Rebate")</f>
        <v>2025 Neighborhood Revitalization Rebate</v>
      </c>
      <c r="C3" s="610"/>
      <c r="D3" s="610"/>
      <c r="E3" s="610"/>
      <c r="F3" s="26"/>
    </row>
    <row r="4" spans="1:6" ht="15.75" x14ac:dyDescent="0.2">
      <c r="A4" s="26"/>
      <c r="B4" s="26"/>
      <c r="C4" s="26"/>
      <c r="D4" s="26"/>
      <c r="E4" s="26"/>
      <c r="F4" s="26"/>
    </row>
    <row r="5" spans="1:6" ht="51" customHeight="1" x14ac:dyDescent="0.2">
      <c r="A5" s="26"/>
      <c r="B5" s="204" t="str">
        <f>CONCATENATE("Budgeted Funds                       for ",F1,"")</f>
        <v>Budgeted Funds                       for 2025</v>
      </c>
      <c r="C5" s="204" t="str">
        <f>CONCATENATE("",F1-1," Ad Valorem before Rebate**")</f>
        <v>2024 Ad Valorem before Rebate**</v>
      </c>
      <c r="D5" s="205" t="str">
        <f>CONCATENATE("",F1-1," Mil Rate before Rebate")</f>
        <v>2024 Mil Rate before Rebate</v>
      </c>
      <c r="E5" s="206" t="str">
        <f>CONCATENATE("Estimate ",F1," NR Rebate")</f>
        <v>Estimate 2025 NR Rebate</v>
      </c>
      <c r="F5" s="53"/>
    </row>
    <row r="6" spans="1:6" ht="15.75" x14ac:dyDescent="0.2">
      <c r="A6" s="26"/>
      <c r="B6" s="34" t="str">
        <f>inputPrYr!B17</f>
        <v>General</v>
      </c>
      <c r="C6" s="207"/>
      <c r="D6" s="208" t="str">
        <f>IF(C6&gt;0,C6/$D$36,"")</f>
        <v/>
      </c>
      <c r="E6" s="119">
        <f t="shared" ref="E6:E30" si="0">IF(C6&gt;0,ROUND(D6*$D$40,0),0)</f>
        <v>0</v>
      </c>
      <c r="F6" s="53"/>
    </row>
    <row r="7" spans="1:6" ht="15.75" x14ac:dyDescent="0.2">
      <c r="A7" s="26"/>
      <c r="B7" s="34" t="str">
        <f>inputPrYr!B18</f>
        <v>Debt Service</v>
      </c>
      <c r="C7" s="207"/>
      <c r="D7" s="208" t="str">
        <f t="shared" ref="D7:D30" si="1">IF(C7&gt;0,C7/$D$36,"")</f>
        <v/>
      </c>
      <c r="E7" s="119">
        <f t="shared" si="0"/>
        <v>0</v>
      </c>
      <c r="F7" s="53"/>
    </row>
    <row r="8" spans="1:6" ht="15.75" x14ac:dyDescent="0.2">
      <c r="A8" s="26"/>
      <c r="B8" s="34" t="str">
        <f>inputPrYr!B19</f>
        <v>Road &amp; Bridge</v>
      </c>
      <c r="C8" s="207"/>
      <c r="D8" s="208" t="str">
        <f t="shared" si="1"/>
        <v/>
      </c>
      <c r="E8" s="119">
        <f t="shared" si="0"/>
        <v>0</v>
      </c>
      <c r="F8" s="53"/>
    </row>
    <row r="9" spans="1:6" ht="15.75" x14ac:dyDescent="0.2">
      <c r="A9" s="26"/>
      <c r="B9" s="34">
        <f>inputPrYr!B20</f>
        <v>0</v>
      </c>
      <c r="C9" s="207"/>
      <c r="D9" s="208" t="str">
        <f t="shared" si="1"/>
        <v/>
      </c>
      <c r="E9" s="119">
        <f t="shared" si="0"/>
        <v>0</v>
      </c>
      <c r="F9" s="53"/>
    </row>
    <row r="10" spans="1:6" ht="15.75" x14ac:dyDescent="0.2">
      <c r="A10" s="26"/>
      <c r="B10" s="34">
        <f>inputPrYr!B21</f>
        <v>0</v>
      </c>
      <c r="C10" s="207"/>
      <c r="D10" s="208" t="str">
        <f t="shared" si="1"/>
        <v/>
      </c>
      <c r="E10" s="119">
        <f t="shared" si="0"/>
        <v>0</v>
      </c>
      <c r="F10" s="53"/>
    </row>
    <row r="11" spans="1:6" ht="15.75" x14ac:dyDescent="0.2">
      <c r="A11" s="26"/>
      <c r="B11" s="34">
        <f>inputPrYr!B22</f>
        <v>0</v>
      </c>
      <c r="C11" s="207"/>
      <c r="D11" s="208" t="str">
        <f t="shared" si="1"/>
        <v/>
      </c>
      <c r="E11" s="119">
        <f t="shared" si="0"/>
        <v>0</v>
      </c>
      <c r="F11" s="53"/>
    </row>
    <row r="12" spans="1:6" ht="15.75" x14ac:dyDescent="0.2">
      <c r="A12" s="26"/>
      <c r="B12" s="34">
        <f>inputPrYr!B23</f>
        <v>0</v>
      </c>
      <c r="C12" s="209"/>
      <c r="D12" s="208" t="str">
        <f t="shared" si="1"/>
        <v/>
      </c>
      <c r="E12" s="119">
        <f t="shared" si="0"/>
        <v>0</v>
      </c>
      <c r="F12" s="53"/>
    </row>
    <row r="13" spans="1:6" ht="15.75" x14ac:dyDescent="0.2">
      <c r="A13" s="26"/>
      <c r="B13" s="34">
        <f>inputPrYr!B24</f>
        <v>0</v>
      </c>
      <c r="C13" s="209"/>
      <c r="D13" s="208" t="str">
        <f t="shared" si="1"/>
        <v/>
      </c>
      <c r="E13" s="119">
        <f t="shared" si="0"/>
        <v>0</v>
      </c>
      <c r="F13" s="53"/>
    </row>
    <row r="14" spans="1:6" ht="15.75" x14ac:dyDescent="0.2">
      <c r="A14" s="26"/>
      <c r="B14" s="34">
        <f>inputPrYr!B25</f>
        <v>0</v>
      </c>
      <c r="C14" s="209"/>
      <c r="D14" s="208" t="str">
        <f t="shared" si="1"/>
        <v/>
      </c>
      <c r="E14" s="119">
        <f t="shared" si="0"/>
        <v>0</v>
      </c>
      <c r="F14" s="53"/>
    </row>
    <row r="15" spans="1:6" ht="15.75" x14ac:dyDescent="0.2">
      <c r="A15" s="26"/>
      <c r="B15" s="34">
        <f>inputPrYr!B26</f>
        <v>0</v>
      </c>
      <c r="C15" s="209"/>
      <c r="D15" s="208" t="str">
        <f t="shared" si="1"/>
        <v/>
      </c>
      <c r="E15" s="119">
        <f t="shared" si="0"/>
        <v>0</v>
      </c>
      <c r="F15" s="53"/>
    </row>
    <row r="16" spans="1:6" ht="15.75" x14ac:dyDescent="0.2">
      <c r="A16" s="26"/>
      <c r="B16" s="34">
        <f>inputPrYr!B27</f>
        <v>0</v>
      </c>
      <c r="C16" s="209"/>
      <c r="D16" s="208" t="str">
        <f t="shared" si="1"/>
        <v/>
      </c>
      <c r="E16" s="119">
        <f t="shared" si="0"/>
        <v>0</v>
      </c>
      <c r="F16" s="53"/>
    </row>
    <row r="17" spans="1:6" ht="15.75" x14ac:dyDescent="0.2">
      <c r="A17" s="26"/>
      <c r="B17" s="34">
        <f>inputPrYr!B28</f>
        <v>0</v>
      </c>
      <c r="C17" s="209"/>
      <c r="D17" s="208" t="str">
        <f t="shared" si="1"/>
        <v/>
      </c>
      <c r="E17" s="119">
        <f t="shared" si="0"/>
        <v>0</v>
      </c>
      <c r="F17" s="53"/>
    </row>
    <row r="18" spans="1:6" ht="15.75" x14ac:dyDescent="0.2">
      <c r="A18" s="26"/>
      <c r="B18" s="34">
        <f>inputPrYr!B29</f>
        <v>0</v>
      </c>
      <c r="C18" s="209"/>
      <c r="D18" s="208" t="str">
        <f t="shared" si="1"/>
        <v/>
      </c>
      <c r="E18" s="119">
        <f t="shared" si="0"/>
        <v>0</v>
      </c>
      <c r="F18" s="53"/>
    </row>
    <row r="19" spans="1:6" ht="15.75" x14ac:dyDescent="0.2">
      <c r="A19" s="26"/>
      <c r="B19" s="34">
        <f>inputPrYr!B30</f>
        <v>0</v>
      </c>
      <c r="C19" s="209"/>
      <c r="D19" s="208" t="str">
        <f t="shared" si="1"/>
        <v/>
      </c>
      <c r="E19" s="119">
        <f t="shared" si="0"/>
        <v>0</v>
      </c>
      <c r="F19" s="53"/>
    </row>
    <row r="20" spans="1:6" ht="15.75" x14ac:dyDescent="0.2">
      <c r="A20" s="26"/>
      <c r="B20" s="34">
        <f>inputPrYr!B31</f>
        <v>0</v>
      </c>
      <c r="C20" s="209"/>
      <c r="D20" s="208" t="str">
        <f t="shared" si="1"/>
        <v/>
      </c>
      <c r="E20" s="119">
        <f t="shared" si="0"/>
        <v>0</v>
      </c>
      <c r="F20" s="53"/>
    </row>
    <row r="21" spans="1:6" ht="15.75" x14ac:dyDescent="0.2">
      <c r="A21" s="26"/>
      <c r="B21" s="34">
        <f>inputPrYr!B32</f>
        <v>0</v>
      </c>
      <c r="C21" s="209"/>
      <c r="D21" s="208" t="str">
        <f t="shared" si="1"/>
        <v/>
      </c>
      <c r="E21" s="119">
        <f t="shared" si="0"/>
        <v>0</v>
      </c>
      <c r="F21" s="53"/>
    </row>
    <row r="22" spans="1:6" ht="15.75" x14ac:dyDescent="0.2">
      <c r="A22" s="26"/>
      <c r="B22" s="34">
        <f>inputPrYr!B33</f>
        <v>0</v>
      </c>
      <c r="C22" s="209"/>
      <c r="D22" s="208" t="str">
        <f t="shared" si="1"/>
        <v/>
      </c>
      <c r="E22" s="119">
        <f t="shared" si="0"/>
        <v>0</v>
      </c>
      <c r="F22" s="53"/>
    </row>
    <row r="23" spans="1:6" ht="15.75" x14ac:dyDescent="0.2">
      <c r="A23" s="26"/>
      <c r="B23" s="34">
        <f>inputPrYr!B34</f>
        <v>0</v>
      </c>
      <c r="C23" s="209"/>
      <c r="D23" s="208" t="str">
        <f t="shared" si="1"/>
        <v/>
      </c>
      <c r="E23" s="119">
        <f t="shared" si="0"/>
        <v>0</v>
      </c>
      <c r="F23" s="53"/>
    </row>
    <row r="24" spans="1:6" ht="15.75" x14ac:dyDescent="0.2">
      <c r="A24" s="26"/>
      <c r="B24" s="34">
        <f>inputPrYr!B35</f>
        <v>0</v>
      </c>
      <c r="C24" s="209"/>
      <c r="D24" s="208" t="str">
        <f t="shared" si="1"/>
        <v/>
      </c>
      <c r="E24" s="119">
        <f t="shared" si="0"/>
        <v>0</v>
      </c>
      <c r="F24" s="53"/>
    </row>
    <row r="25" spans="1:6" ht="15.75" x14ac:dyDescent="0.2">
      <c r="A25" s="26"/>
      <c r="B25" s="34">
        <f>inputPrYr!B36</f>
        <v>0</v>
      </c>
      <c r="C25" s="209"/>
      <c r="D25" s="208" t="str">
        <f t="shared" si="1"/>
        <v/>
      </c>
      <c r="E25" s="119">
        <f t="shared" si="0"/>
        <v>0</v>
      </c>
      <c r="F25" s="53"/>
    </row>
    <row r="26" spans="1:6" ht="15.75" x14ac:dyDescent="0.2">
      <c r="A26" s="26"/>
      <c r="B26" s="34">
        <f>inputPrYr!B37</f>
        <v>0</v>
      </c>
      <c r="C26" s="209"/>
      <c r="D26" s="208" t="str">
        <f t="shared" si="1"/>
        <v/>
      </c>
      <c r="E26" s="119">
        <f t="shared" si="0"/>
        <v>0</v>
      </c>
      <c r="F26" s="53"/>
    </row>
    <row r="27" spans="1:6" ht="15.75" x14ac:dyDescent="0.2">
      <c r="A27" s="26"/>
      <c r="B27" s="34">
        <f>inputPrYr!B38</f>
        <v>0</v>
      </c>
      <c r="C27" s="209"/>
      <c r="D27" s="208" t="str">
        <f t="shared" si="1"/>
        <v/>
      </c>
      <c r="E27" s="119">
        <f t="shared" si="0"/>
        <v>0</v>
      </c>
      <c r="F27" s="53"/>
    </row>
    <row r="28" spans="1:6" ht="15.75" x14ac:dyDescent="0.2">
      <c r="A28" s="26"/>
      <c r="B28" s="34">
        <f>inputPrYr!B39</f>
        <v>0</v>
      </c>
      <c r="C28" s="209"/>
      <c r="D28" s="208" t="str">
        <f t="shared" si="1"/>
        <v/>
      </c>
      <c r="E28" s="119">
        <f t="shared" si="0"/>
        <v>0</v>
      </c>
      <c r="F28" s="53"/>
    </row>
    <row r="29" spans="1:6" ht="15.75" x14ac:dyDescent="0.2">
      <c r="A29" s="26"/>
      <c r="B29" s="34">
        <f>inputPrYr!B40</f>
        <v>0</v>
      </c>
      <c r="C29" s="209"/>
      <c r="D29" s="208" t="str">
        <f t="shared" si="1"/>
        <v/>
      </c>
      <c r="E29" s="119">
        <f t="shared" si="0"/>
        <v>0</v>
      </c>
      <c r="F29" s="53"/>
    </row>
    <row r="30" spans="1:6" ht="15.75" x14ac:dyDescent="0.2">
      <c r="A30" s="26"/>
      <c r="B30" s="34">
        <f>inputPrYr!B41</f>
        <v>0</v>
      </c>
      <c r="C30" s="209"/>
      <c r="D30" s="208" t="str">
        <f t="shared" si="1"/>
        <v/>
      </c>
      <c r="E30" s="119">
        <f t="shared" si="0"/>
        <v>0</v>
      </c>
      <c r="F30" s="53"/>
    </row>
    <row r="31" spans="1:6" ht="16.5" thickBot="1" x14ac:dyDescent="0.25">
      <c r="A31" s="26"/>
      <c r="B31" s="38" t="s">
        <v>73</v>
      </c>
      <c r="C31" s="210">
        <f>SUM(C6:C30)</f>
        <v>0</v>
      </c>
      <c r="D31" s="211">
        <f>SUM(D6:D30)</f>
        <v>0</v>
      </c>
      <c r="E31" s="210">
        <f>SUM(E6:E30)</f>
        <v>0</v>
      </c>
      <c r="F31" s="53"/>
    </row>
    <row r="32" spans="1:6" ht="16.5" thickTop="1" x14ac:dyDescent="0.2">
      <c r="A32" s="26"/>
      <c r="B32" s="26"/>
      <c r="C32" s="26"/>
      <c r="D32" s="26"/>
      <c r="E32" s="26"/>
      <c r="F32" s="53"/>
    </row>
    <row r="33" spans="1:6" ht="15.75" x14ac:dyDescent="0.2">
      <c r="A33" s="26"/>
      <c r="B33" s="26"/>
      <c r="C33" s="26"/>
      <c r="D33" s="26"/>
      <c r="E33" s="26"/>
      <c r="F33" s="53"/>
    </row>
    <row r="34" spans="1:6" ht="15.75" x14ac:dyDescent="0.2">
      <c r="A34" s="714" t="str">
        <f>CONCATENATE("",F1-1," July 1 Valuation:")</f>
        <v>2024 July 1 Valuation:</v>
      </c>
      <c r="B34" s="663"/>
      <c r="C34" s="714"/>
      <c r="D34" s="212">
        <f>inputOth!E6</f>
        <v>0</v>
      </c>
      <c r="E34" s="26"/>
      <c r="F34" s="53"/>
    </row>
    <row r="35" spans="1:6" ht="15.75" x14ac:dyDescent="0.2">
      <c r="A35" s="26"/>
      <c r="B35" s="26"/>
      <c r="C35" s="26"/>
      <c r="D35" s="26"/>
      <c r="E35" s="26"/>
      <c r="F35" s="53"/>
    </row>
    <row r="36" spans="1:6" ht="15.75" x14ac:dyDescent="0.2">
      <c r="A36" s="26"/>
      <c r="B36" s="714" t="s">
        <v>252</v>
      </c>
      <c r="C36" s="714"/>
      <c r="D36" s="213" t="str">
        <f>IF(D34&gt;0,(D34*0.001),"")</f>
        <v/>
      </c>
      <c r="E36" s="26"/>
      <c r="F36" s="53"/>
    </row>
    <row r="37" spans="1:6" ht="15.75" x14ac:dyDescent="0.2">
      <c r="A37" s="26"/>
      <c r="B37" s="125"/>
      <c r="C37" s="125"/>
      <c r="D37" s="214"/>
      <c r="E37" s="26"/>
      <c r="F37" s="53"/>
    </row>
    <row r="38" spans="1:6" ht="15.75" x14ac:dyDescent="0.2">
      <c r="A38" s="644" t="s">
        <v>253</v>
      </c>
      <c r="B38" s="608"/>
      <c r="C38" s="608"/>
      <c r="D38" s="212">
        <f>inputOth!E13</f>
        <v>0</v>
      </c>
      <c r="E38" s="66"/>
      <c r="F38" s="66"/>
    </row>
    <row r="39" spans="1:6" x14ac:dyDescent="0.2">
      <c r="A39" s="66"/>
      <c r="B39" s="66"/>
      <c r="C39" s="66"/>
      <c r="D39" s="215"/>
      <c r="E39" s="66"/>
      <c r="F39" s="66"/>
    </row>
    <row r="40" spans="1:6" ht="15.75" x14ac:dyDescent="0.2">
      <c r="A40" s="66"/>
      <c r="B40" s="644" t="s">
        <v>254</v>
      </c>
      <c r="C40" s="663"/>
      <c r="D40" s="213" t="str">
        <f>IF(D38&gt;0,(D38*0.001),"")</f>
        <v/>
      </c>
      <c r="E40" s="66"/>
      <c r="F40" s="66"/>
    </row>
    <row r="41" spans="1:6" x14ac:dyDescent="0.2">
      <c r="A41" s="66"/>
      <c r="B41" s="66"/>
      <c r="C41" s="66"/>
      <c r="D41" s="66"/>
      <c r="E41" s="66"/>
      <c r="F41" s="66"/>
    </row>
    <row r="42" spans="1:6" x14ac:dyDescent="0.2">
      <c r="A42" s="66"/>
      <c r="B42" s="66"/>
      <c r="C42" s="66"/>
      <c r="D42" s="66"/>
      <c r="E42" s="66"/>
      <c r="F42" s="66"/>
    </row>
    <row r="43" spans="1:6" ht="15.75" x14ac:dyDescent="0.25">
      <c r="A43" s="9" t="str">
        <f>CONCATENATE("**This information comes from the ",F1," Budget Summary page.  See instructions  step #12 for completing")</f>
        <v>**This information comes from the 2025 Budget Summary page.  See instructions  step #12 for completing</v>
      </c>
      <c r="B43" s="66"/>
      <c r="C43" s="66"/>
      <c r="D43" s="66"/>
      <c r="E43" s="66"/>
      <c r="F43" s="66"/>
    </row>
    <row r="44" spans="1:6" ht="15.75" x14ac:dyDescent="0.25">
      <c r="A44" s="9" t="s">
        <v>281</v>
      </c>
      <c r="B44" s="66"/>
      <c r="C44" s="66"/>
      <c r="D44" s="66"/>
      <c r="E44" s="66"/>
      <c r="F44" s="66"/>
    </row>
    <row r="45" spans="1:6" ht="15.75" x14ac:dyDescent="0.25">
      <c r="A45" s="9"/>
      <c r="B45" s="66"/>
      <c r="C45" s="66"/>
      <c r="D45" s="66"/>
      <c r="E45" s="66"/>
      <c r="F45" s="66"/>
    </row>
    <row r="46" spans="1:6" ht="15.75" x14ac:dyDescent="0.25">
      <c r="A46" s="9"/>
      <c r="B46" s="66"/>
      <c r="C46" s="66"/>
      <c r="D46" s="66"/>
      <c r="E46" s="66"/>
      <c r="F46" s="66"/>
    </row>
    <row r="47" spans="1:6" ht="15.75" x14ac:dyDescent="0.25">
      <c r="A47" s="9"/>
      <c r="B47" s="66"/>
      <c r="C47" s="66"/>
      <c r="D47" s="66"/>
      <c r="E47" s="66"/>
      <c r="F47" s="66"/>
    </row>
    <row r="48" spans="1:6" ht="15.75" x14ac:dyDescent="0.25">
      <c r="A48" s="9"/>
      <c r="B48" s="66"/>
      <c r="C48" s="66"/>
      <c r="D48" s="66"/>
      <c r="E48" s="66"/>
      <c r="F48" s="66"/>
    </row>
    <row r="49" spans="1:6" x14ac:dyDescent="0.2">
      <c r="A49" s="66"/>
      <c r="B49" s="66"/>
      <c r="C49" s="66"/>
      <c r="D49" s="66"/>
      <c r="E49" s="66"/>
      <c r="F49" s="66"/>
    </row>
    <row r="50" spans="1:6" x14ac:dyDescent="0.2">
      <c r="A50" s="66"/>
      <c r="B50" s="66"/>
      <c r="C50" s="66"/>
      <c r="D50" s="66"/>
      <c r="E50" s="66"/>
      <c r="F50" s="66"/>
    </row>
    <row r="51" spans="1:6" ht="15.75" x14ac:dyDescent="0.2">
      <c r="A51" s="66"/>
      <c r="B51" s="125" t="s">
        <v>146</v>
      </c>
      <c r="C51" s="368"/>
      <c r="D51" s="66"/>
      <c r="E51" s="66"/>
      <c r="F51" s="66"/>
    </row>
    <row r="52" spans="1:6" ht="15.75" x14ac:dyDescent="0.2">
      <c r="A52" s="53"/>
      <c r="B52" s="26"/>
      <c r="C52" s="26"/>
      <c r="D52" s="216"/>
      <c r="E52" s="53"/>
      <c r="F52" s="53"/>
    </row>
  </sheetData>
  <sheetProtection sheet="1" objects="1" scenarios="1"/>
  <mergeCells count="6">
    <mergeCell ref="B2:E2"/>
    <mergeCell ref="B40:C40"/>
    <mergeCell ref="B3:E3"/>
    <mergeCell ref="A34:C34"/>
    <mergeCell ref="B36:C36"/>
    <mergeCell ref="A38:C38"/>
  </mergeCells>
  <phoneticPr fontId="7" type="noConversion"/>
  <pageMargins left="0.75" right="0.75" top="1" bottom="1" header="0.5" footer="0.5"/>
  <pageSetup scale="77" orientation="portrait" blackAndWhite="1" r:id="rId1"/>
  <headerFooter alignWithMargins="0">
    <oddHeader>&amp;RState of Kansas
County</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5475D-EB6F-48F1-AB4E-C23363CEE2AC}">
  <sheetPr codeName="Sheet48"/>
  <dimension ref="A1:H14"/>
  <sheetViews>
    <sheetView workbookViewId="0">
      <selection activeCell="B15" sqref="B15"/>
    </sheetView>
  </sheetViews>
  <sheetFormatPr defaultRowHeight="15" x14ac:dyDescent="0.2"/>
  <sheetData>
    <row r="1" spans="1:8" ht="15.75" x14ac:dyDescent="0.25">
      <c r="A1" s="715" t="s">
        <v>407</v>
      </c>
      <c r="B1" s="715"/>
      <c r="C1" s="715"/>
      <c r="D1" s="715"/>
      <c r="E1" s="715"/>
      <c r="F1" s="715"/>
      <c r="G1" s="715"/>
      <c r="H1" s="715"/>
    </row>
    <row r="2" spans="1:8" ht="15.75" x14ac:dyDescent="0.25">
      <c r="A2" s="2"/>
      <c r="B2" s="2"/>
      <c r="C2" s="2"/>
      <c r="D2" s="2"/>
      <c r="E2" s="2"/>
      <c r="F2" s="2"/>
      <c r="G2" s="2"/>
      <c r="H2" s="2"/>
    </row>
    <row r="3" spans="1:8" ht="52.5" customHeight="1" x14ac:dyDescent="0.25">
      <c r="A3" s="716" t="s">
        <v>408</v>
      </c>
      <c r="B3" s="716"/>
      <c r="C3" s="716"/>
      <c r="D3" s="716"/>
      <c r="E3" s="716"/>
      <c r="F3" s="716"/>
      <c r="G3" s="716"/>
      <c r="H3" s="716"/>
    </row>
    <row r="4" spans="1:8" ht="15.75" x14ac:dyDescent="0.25">
      <c r="A4" s="2"/>
      <c r="B4" s="2"/>
      <c r="C4" s="2"/>
      <c r="D4" s="2"/>
      <c r="E4" s="2"/>
      <c r="F4" s="2"/>
      <c r="G4" s="2"/>
      <c r="H4" s="2"/>
    </row>
    <row r="5" spans="1:8" ht="52.5" customHeight="1" x14ac:dyDescent="0.25">
      <c r="A5" s="440"/>
      <c r="B5" s="717" t="s">
        <v>409</v>
      </c>
      <c r="C5" s="717"/>
      <c r="D5" s="717"/>
      <c r="E5" s="717"/>
      <c r="F5" s="717"/>
      <c r="G5" s="717"/>
      <c r="H5" s="717"/>
    </row>
    <row r="6" spans="1:8" ht="15.75" x14ac:dyDescent="0.25">
      <c r="A6" s="2"/>
      <c r="B6" s="2"/>
      <c r="C6" s="2"/>
      <c r="D6" s="2"/>
      <c r="E6" s="2"/>
      <c r="F6" s="2"/>
      <c r="G6" s="2"/>
      <c r="H6" s="2"/>
    </row>
    <row r="7" spans="1:8" ht="32.25" customHeight="1" x14ac:dyDescent="0.25">
      <c r="A7" s="440"/>
      <c r="B7" s="717" t="s">
        <v>410</v>
      </c>
      <c r="C7" s="717"/>
      <c r="D7" s="717"/>
      <c r="E7" s="717"/>
      <c r="F7" s="717"/>
      <c r="G7" s="717"/>
      <c r="H7" s="717"/>
    </row>
    <row r="8" spans="1:8" ht="15.75" x14ac:dyDescent="0.25">
      <c r="A8" s="2"/>
      <c r="B8" s="2"/>
      <c r="C8" s="2"/>
      <c r="D8" s="2"/>
      <c r="E8" s="2"/>
      <c r="F8" s="2"/>
      <c r="G8" s="2"/>
      <c r="H8" s="2"/>
    </row>
    <row r="9" spans="1:8" ht="15.75" x14ac:dyDescent="0.25">
      <c r="A9" s="718" t="s">
        <v>411</v>
      </c>
      <c r="B9" s="718"/>
      <c r="C9" s="718"/>
      <c r="D9" s="718"/>
      <c r="E9" s="718"/>
      <c r="F9" s="718"/>
      <c r="G9" s="718"/>
      <c r="H9" s="718"/>
    </row>
    <row r="10" spans="1:8" ht="15.75" x14ac:dyDescent="0.25">
      <c r="A10" s="2"/>
      <c r="B10" s="2"/>
      <c r="C10" s="2"/>
      <c r="D10" s="2"/>
      <c r="E10" s="2"/>
      <c r="F10" s="2"/>
      <c r="G10" s="2"/>
      <c r="H10" s="2"/>
    </row>
    <row r="11" spans="1:8" ht="15.75" x14ac:dyDescent="0.25">
      <c r="A11" s="2"/>
      <c r="B11" s="2"/>
      <c r="C11" s="2"/>
      <c r="D11" s="2"/>
      <c r="E11" s="2"/>
      <c r="F11" s="2"/>
      <c r="G11" s="2"/>
      <c r="H11" s="2"/>
    </row>
    <row r="12" spans="1:8" ht="15.75" x14ac:dyDescent="0.25">
      <c r="A12" s="2"/>
      <c r="B12" s="2"/>
      <c r="C12" s="2"/>
      <c r="D12" s="2"/>
      <c r="E12" s="2"/>
      <c r="F12" s="2"/>
      <c r="G12" s="2"/>
      <c r="H12" s="2"/>
    </row>
    <row r="13" spans="1:8" ht="15.75" x14ac:dyDescent="0.25">
      <c r="A13" s="2" t="s">
        <v>412</v>
      </c>
      <c r="B13" s="2"/>
      <c r="C13" s="2"/>
      <c r="D13" s="2"/>
      <c r="E13" s="2"/>
      <c r="F13" s="440"/>
      <c r="G13" s="440"/>
      <c r="H13" s="440"/>
    </row>
    <row r="14" spans="1:8" ht="15.75" x14ac:dyDescent="0.25">
      <c r="A14" s="2"/>
      <c r="B14" s="2"/>
      <c r="C14" s="2"/>
      <c r="D14" s="2"/>
      <c r="E14" s="2"/>
      <c r="F14" s="2" t="s">
        <v>413</v>
      </c>
    </row>
  </sheetData>
  <sheetProtection sheet="1" objects="1" scenarios="1"/>
  <mergeCells count="5">
    <mergeCell ref="A1:H1"/>
    <mergeCell ref="A3:H3"/>
    <mergeCell ref="B5:H5"/>
    <mergeCell ref="B7:H7"/>
    <mergeCell ref="A9:H9"/>
  </mergeCells>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13A38-15A6-4761-9AEC-99D2D2197BE9}">
  <dimension ref="A1:G22"/>
  <sheetViews>
    <sheetView workbookViewId="0">
      <selection activeCell="L28" sqref="L28"/>
    </sheetView>
  </sheetViews>
  <sheetFormatPr defaultRowHeight="15.75" x14ac:dyDescent="0.25"/>
  <cols>
    <col min="1" max="3" width="11.5546875" style="520" customWidth="1"/>
    <col min="4" max="4" width="12.109375" style="520" customWidth="1"/>
    <col min="5" max="7" width="8.6640625" style="520" customWidth="1"/>
    <col min="8" max="256" width="8.88671875" style="520"/>
    <col min="257" max="260" width="11.5546875" style="520" customWidth="1"/>
    <col min="261" max="263" width="10.5546875" style="520" customWidth="1"/>
    <col min="264" max="512" width="8.88671875" style="520"/>
    <col min="513" max="516" width="11.5546875" style="520" customWidth="1"/>
    <col min="517" max="519" width="10.5546875" style="520" customWidth="1"/>
    <col min="520" max="768" width="8.88671875" style="520"/>
    <col min="769" max="772" width="11.5546875" style="520" customWidth="1"/>
    <col min="773" max="775" width="10.5546875" style="520" customWidth="1"/>
    <col min="776" max="1024" width="8.88671875" style="520"/>
    <col min="1025" max="1028" width="11.5546875" style="520" customWidth="1"/>
    <col min="1029" max="1031" width="10.5546875" style="520" customWidth="1"/>
    <col min="1032" max="1280" width="8.88671875" style="520"/>
    <col min="1281" max="1284" width="11.5546875" style="520" customWidth="1"/>
    <col min="1285" max="1287" width="10.5546875" style="520" customWidth="1"/>
    <col min="1288" max="1536" width="8.88671875" style="520"/>
    <col min="1537" max="1540" width="11.5546875" style="520" customWidth="1"/>
    <col min="1541" max="1543" width="10.5546875" style="520" customWidth="1"/>
    <col min="1544" max="1792" width="8.88671875" style="520"/>
    <col min="1793" max="1796" width="11.5546875" style="520" customWidth="1"/>
    <col min="1797" max="1799" width="10.5546875" style="520" customWidth="1"/>
    <col min="1800" max="2048" width="8.88671875" style="520"/>
    <col min="2049" max="2052" width="11.5546875" style="520" customWidth="1"/>
    <col min="2053" max="2055" width="10.5546875" style="520" customWidth="1"/>
    <col min="2056" max="2304" width="8.88671875" style="520"/>
    <col min="2305" max="2308" width="11.5546875" style="520" customWidth="1"/>
    <col min="2309" max="2311" width="10.5546875" style="520" customWidth="1"/>
    <col min="2312" max="2560" width="8.88671875" style="520"/>
    <col min="2561" max="2564" width="11.5546875" style="520" customWidth="1"/>
    <col min="2565" max="2567" width="10.5546875" style="520" customWidth="1"/>
    <col min="2568" max="2816" width="8.88671875" style="520"/>
    <col min="2817" max="2820" width="11.5546875" style="520" customWidth="1"/>
    <col min="2821" max="2823" width="10.5546875" style="520" customWidth="1"/>
    <col min="2824" max="3072" width="8.88671875" style="520"/>
    <col min="3073" max="3076" width="11.5546875" style="520" customWidth="1"/>
    <col min="3077" max="3079" width="10.5546875" style="520" customWidth="1"/>
    <col min="3080" max="3328" width="8.88671875" style="520"/>
    <col min="3329" max="3332" width="11.5546875" style="520" customWidth="1"/>
    <col min="3333" max="3335" width="10.5546875" style="520" customWidth="1"/>
    <col min="3336" max="3584" width="8.88671875" style="520"/>
    <col min="3585" max="3588" width="11.5546875" style="520" customWidth="1"/>
    <col min="3589" max="3591" width="10.5546875" style="520" customWidth="1"/>
    <col min="3592" max="3840" width="8.88671875" style="520"/>
    <col min="3841" max="3844" width="11.5546875" style="520" customWidth="1"/>
    <col min="3845" max="3847" width="10.5546875" style="520" customWidth="1"/>
    <col min="3848" max="4096" width="8.88671875" style="520"/>
    <col min="4097" max="4100" width="11.5546875" style="520" customWidth="1"/>
    <col min="4101" max="4103" width="10.5546875" style="520" customWidth="1"/>
    <col min="4104" max="4352" width="8.88671875" style="520"/>
    <col min="4353" max="4356" width="11.5546875" style="520" customWidth="1"/>
    <col min="4357" max="4359" width="10.5546875" style="520" customWidth="1"/>
    <col min="4360" max="4608" width="8.88671875" style="520"/>
    <col min="4609" max="4612" width="11.5546875" style="520" customWidth="1"/>
    <col min="4613" max="4615" width="10.5546875" style="520" customWidth="1"/>
    <col min="4616" max="4864" width="8.88671875" style="520"/>
    <col min="4865" max="4868" width="11.5546875" style="520" customWidth="1"/>
    <col min="4869" max="4871" width="10.5546875" style="520" customWidth="1"/>
    <col min="4872" max="5120" width="8.88671875" style="520"/>
    <col min="5121" max="5124" width="11.5546875" style="520" customWidth="1"/>
    <col min="5125" max="5127" width="10.5546875" style="520" customWidth="1"/>
    <col min="5128" max="5376" width="8.88671875" style="520"/>
    <col min="5377" max="5380" width="11.5546875" style="520" customWidth="1"/>
    <col min="5381" max="5383" width="10.5546875" style="520" customWidth="1"/>
    <col min="5384" max="5632" width="8.88671875" style="520"/>
    <col min="5633" max="5636" width="11.5546875" style="520" customWidth="1"/>
    <col min="5637" max="5639" width="10.5546875" style="520" customWidth="1"/>
    <col min="5640" max="5888" width="8.88671875" style="520"/>
    <col min="5889" max="5892" width="11.5546875" style="520" customWidth="1"/>
    <col min="5893" max="5895" width="10.5546875" style="520" customWidth="1"/>
    <col min="5896" max="6144" width="8.88671875" style="520"/>
    <col min="6145" max="6148" width="11.5546875" style="520" customWidth="1"/>
    <col min="6149" max="6151" width="10.5546875" style="520" customWidth="1"/>
    <col min="6152" max="6400" width="8.88671875" style="520"/>
    <col min="6401" max="6404" width="11.5546875" style="520" customWidth="1"/>
    <col min="6405" max="6407" width="10.5546875" style="520" customWidth="1"/>
    <col min="6408" max="6656" width="8.88671875" style="520"/>
    <col min="6657" max="6660" width="11.5546875" style="520" customWidth="1"/>
    <col min="6661" max="6663" width="10.5546875" style="520" customWidth="1"/>
    <col min="6664" max="6912" width="8.88671875" style="520"/>
    <col min="6913" max="6916" width="11.5546875" style="520" customWidth="1"/>
    <col min="6917" max="6919" width="10.5546875" style="520" customWidth="1"/>
    <col min="6920" max="7168" width="8.88671875" style="520"/>
    <col min="7169" max="7172" width="11.5546875" style="520" customWidth="1"/>
    <col min="7173" max="7175" width="10.5546875" style="520" customWidth="1"/>
    <col min="7176" max="7424" width="8.88671875" style="520"/>
    <col min="7425" max="7428" width="11.5546875" style="520" customWidth="1"/>
    <col min="7429" max="7431" width="10.5546875" style="520" customWidth="1"/>
    <col min="7432" max="7680" width="8.88671875" style="520"/>
    <col min="7681" max="7684" width="11.5546875" style="520" customWidth="1"/>
    <col min="7685" max="7687" width="10.5546875" style="520" customWidth="1"/>
    <col min="7688" max="7936" width="8.88671875" style="520"/>
    <col min="7937" max="7940" width="11.5546875" style="520" customWidth="1"/>
    <col min="7941" max="7943" width="10.5546875" style="520" customWidth="1"/>
    <col min="7944" max="8192" width="8.88671875" style="520"/>
    <col min="8193" max="8196" width="11.5546875" style="520" customWidth="1"/>
    <col min="8197" max="8199" width="10.5546875" style="520" customWidth="1"/>
    <col min="8200" max="8448" width="8.88671875" style="520"/>
    <col min="8449" max="8452" width="11.5546875" style="520" customWidth="1"/>
    <col min="8453" max="8455" width="10.5546875" style="520" customWidth="1"/>
    <col min="8456" max="8704" width="8.88671875" style="520"/>
    <col min="8705" max="8708" width="11.5546875" style="520" customWidth="1"/>
    <col min="8709" max="8711" width="10.5546875" style="520" customWidth="1"/>
    <col min="8712" max="8960" width="8.88671875" style="520"/>
    <col min="8961" max="8964" width="11.5546875" style="520" customWidth="1"/>
    <col min="8965" max="8967" width="10.5546875" style="520" customWidth="1"/>
    <col min="8968" max="9216" width="8.88671875" style="520"/>
    <col min="9217" max="9220" width="11.5546875" style="520" customWidth="1"/>
    <col min="9221" max="9223" width="10.5546875" style="520" customWidth="1"/>
    <col min="9224" max="9472" width="8.88671875" style="520"/>
    <col min="9473" max="9476" width="11.5546875" style="520" customWidth="1"/>
    <col min="9477" max="9479" width="10.5546875" style="520" customWidth="1"/>
    <col min="9480" max="9728" width="8.88671875" style="520"/>
    <col min="9729" max="9732" width="11.5546875" style="520" customWidth="1"/>
    <col min="9733" max="9735" width="10.5546875" style="520" customWidth="1"/>
    <col min="9736" max="9984" width="8.88671875" style="520"/>
    <col min="9985" max="9988" width="11.5546875" style="520" customWidth="1"/>
    <col min="9989" max="9991" width="10.5546875" style="520" customWidth="1"/>
    <col min="9992" max="10240" width="8.88671875" style="520"/>
    <col min="10241" max="10244" width="11.5546875" style="520" customWidth="1"/>
    <col min="10245" max="10247" width="10.5546875" style="520" customWidth="1"/>
    <col min="10248" max="10496" width="8.88671875" style="520"/>
    <col min="10497" max="10500" width="11.5546875" style="520" customWidth="1"/>
    <col min="10501" max="10503" width="10.5546875" style="520" customWidth="1"/>
    <col min="10504" max="10752" width="8.88671875" style="520"/>
    <col min="10753" max="10756" width="11.5546875" style="520" customWidth="1"/>
    <col min="10757" max="10759" width="10.5546875" style="520" customWidth="1"/>
    <col min="10760" max="11008" width="8.88671875" style="520"/>
    <col min="11009" max="11012" width="11.5546875" style="520" customWidth="1"/>
    <col min="11013" max="11015" width="10.5546875" style="520" customWidth="1"/>
    <col min="11016" max="11264" width="8.88671875" style="520"/>
    <col min="11265" max="11268" width="11.5546875" style="520" customWidth="1"/>
    <col min="11269" max="11271" width="10.5546875" style="520" customWidth="1"/>
    <col min="11272" max="11520" width="8.88671875" style="520"/>
    <col min="11521" max="11524" width="11.5546875" style="520" customWidth="1"/>
    <col min="11525" max="11527" width="10.5546875" style="520" customWidth="1"/>
    <col min="11528" max="11776" width="8.88671875" style="520"/>
    <col min="11777" max="11780" width="11.5546875" style="520" customWidth="1"/>
    <col min="11781" max="11783" width="10.5546875" style="520" customWidth="1"/>
    <col min="11784" max="12032" width="8.88671875" style="520"/>
    <col min="12033" max="12036" width="11.5546875" style="520" customWidth="1"/>
    <col min="12037" max="12039" width="10.5546875" style="520" customWidth="1"/>
    <col min="12040" max="12288" width="8.88671875" style="520"/>
    <col min="12289" max="12292" width="11.5546875" style="520" customWidth="1"/>
    <col min="12293" max="12295" width="10.5546875" style="520" customWidth="1"/>
    <col min="12296" max="12544" width="8.88671875" style="520"/>
    <col min="12545" max="12548" width="11.5546875" style="520" customWidth="1"/>
    <col min="12549" max="12551" width="10.5546875" style="520" customWidth="1"/>
    <col min="12552" max="12800" width="8.88671875" style="520"/>
    <col min="12801" max="12804" width="11.5546875" style="520" customWidth="1"/>
    <col min="12805" max="12807" width="10.5546875" style="520" customWidth="1"/>
    <col min="12808" max="13056" width="8.88671875" style="520"/>
    <col min="13057" max="13060" width="11.5546875" style="520" customWidth="1"/>
    <col min="13061" max="13063" width="10.5546875" style="520" customWidth="1"/>
    <col min="13064" max="13312" width="8.88671875" style="520"/>
    <col min="13313" max="13316" width="11.5546875" style="520" customWidth="1"/>
    <col min="13317" max="13319" width="10.5546875" style="520" customWidth="1"/>
    <col min="13320" max="13568" width="8.88671875" style="520"/>
    <col min="13569" max="13572" width="11.5546875" style="520" customWidth="1"/>
    <col min="13573" max="13575" width="10.5546875" style="520" customWidth="1"/>
    <col min="13576" max="13824" width="8.88671875" style="520"/>
    <col min="13825" max="13828" width="11.5546875" style="520" customWidth="1"/>
    <col min="13829" max="13831" width="10.5546875" style="520" customWidth="1"/>
    <col min="13832" max="14080" width="8.88671875" style="520"/>
    <col min="14081" max="14084" width="11.5546875" style="520" customWidth="1"/>
    <col min="14085" max="14087" width="10.5546875" style="520" customWidth="1"/>
    <col min="14088" max="14336" width="8.88671875" style="520"/>
    <col min="14337" max="14340" width="11.5546875" style="520" customWidth="1"/>
    <col min="14341" max="14343" width="10.5546875" style="520" customWidth="1"/>
    <col min="14344" max="14592" width="8.88671875" style="520"/>
    <col min="14593" max="14596" width="11.5546875" style="520" customWidth="1"/>
    <col min="14597" max="14599" width="10.5546875" style="520" customWidth="1"/>
    <col min="14600" max="14848" width="8.88671875" style="520"/>
    <col min="14849" max="14852" width="11.5546875" style="520" customWidth="1"/>
    <col min="14853" max="14855" width="10.5546875" style="520" customWidth="1"/>
    <col min="14856" max="15104" width="8.88671875" style="520"/>
    <col min="15105" max="15108" width="11.5546875" style="520" customWidth="1"/>
    <col min="15109" max="15111" width="10.5546875" style="520" customWidth="1"/>
    <col min="15112" max="15360" width="8.88671875" style="520"/>
    <col min="15361" max="15364" width="11.5546875" style="520" customWidth="1"/>
    <col min="15365" max="15367" width="10.5546875" style="520" customWidth="1"/>
    <col min="15368" max="15616" width="8.88671875" style="520"/>
    <col min="15617" max="15620" width="11.5546875" style="520" customWidth="1"/>
    <col min="15621" max="15623" width="10.5546875" style="520" customWidth="1"/>
    <col min="15624" max="15872" width="8.88671875" style="520"/>
    <col min="15873" max="15876" width="11.5546875" style="520" customWidth="1"/>
    <col min="15877" max="15879" width="10.5546875" style="520" customWidth="1"/>
    <col min="15880" max="16128" width="8.88671875" style="520"/>
    <col min="16129" max="16132" width="11.5546875" style="520" customWidth="1"/>
    <col min="16133" max="16135" width="10.5546875" style="520" customWidth="1"/>
    <col min="16136" max="16384" width="8.88671875" style="520"/>
  </cols>
  <sheetData>
    <row r="1" spans="1:7" ht="18.75" x14ac:dyDescent="0.3">
      <c r="A1" s="722" t="s">
        <v>564</v>
      </c>
      <c r="B1" s="722"/>
      <c r="C1" s="722"/>
      <c r="D1" s="722"/>
      <c r="E1" s="722"/>
      <c r="F1" s="722"/>
      <c r="G1" s="722"/>
    </row>
    <row r="2" spans="1:7" x14ac:dyDescent="0.25">
      <c r="A2" s="521"/>
      <c r="B2" s="521"/>
      <c r="C2" s="521"/>
      <c r="D2" s="521"/>
      <c r="E2" s="521"/>
      <c r="F2" s="521"/>
      <c r="G2" s="521"/>
    </row>
    <row r="3" spans="1:7" ht="32.25" customHeight="1" x14ac:dyDescent="0.25">
      <c r="A3" s="723" t="s">
        <v>565</v>
      </c>
      <c r="B3" s="723"/>
      <c r="C3" s="723"/>
      <c r="D3" s="723"/>
      <c r="E3" s="723"/>
      <c r="F3" s="723"/>
      <c r="G3" s="723"/>
    </row>
    <row r="4" spans="1:7" ht="8.25" customHeight="1" x14ac:dyDescent="0.25">
      <c r="A4" s="522"/>
      <c r="B4" s="522"/>
      <c r="C4" s="522"/>
      <c r="D4" s="522"/>
      <c r="E4" s="522"/>
      <c r="F4" s="522"/>
      <c r="G4" s="522"/>
    </row>
    <row r="5" spans="1:7" x14ac:dyDescent="0.25">
      <c r="A5" s="724" t="s">
        <v>566</v>
      </c>
      <c r="B5" s="724"/>
      <c r="C5" s="724"/>
      <c r="D5" s="724"/>
      <c r="E5" s="724"/>
      <c r="F5" s="724"/>
      <c r="G5" s="724"/>
    </row>
    <row r="6" spans="1:7" ht="8.25" customHeight="1" x14ac:dyDescent="0.25">
      <c r="A6" s="523"/>
      <c r="B6" s="523"/>
      <c r="C6" s="523"/>
      <c r="D6" s="523"/>
      <c r="E6" s="523"/>
      <c r="F6" s="523"/>
      <c r="G6" s="523"/>
    </row>
    <row r="7" spans="1:7" x14ac:dyDescent="0.25">
      <c r="A7" s="724" t="s">
        <v>567</v>
      </c>
      <c r="B7" s="724"/>
      <c r="C7" s="724"/>
      <c r="D7" s="724"/>
      <c r="E7" s="724"/>
      <c r="F7" s="724"/>
      <c r="G7" s="724"/>
    </row>
    <row r="8" spans="1:7" x14ac:dyDescent="0.25">
      <c r="A8" s="523"/>
      <c r="B8" s="523"/>
      <c r="C8" s="523"/>
      <c r="D8" s="523"/>
      <c r="E8" s="523"/>
      <c r="F8" s="523"/>
      <c r="G8" s="523"/>
    </row>
    <row r="9" spans="1:7" ht="22.5" customHeight="1" x14ac:dyDescent="0.25">
      <c r="A9" s="725" t="s">
        <v>568</v>
      </c>
      <c r="B9" s="726"/>
      <c r="C9" s="726"/>
      <c r="D9" s="727"/>
      <c r="E9" s="524" t="s">
        <v>569</v>
      </c>
      <c r="F9" s="524" t="s">
        <v>570</v>
      </c>
      <c r="G9" s="524" t="s">
        <v>571</v>
      </c>
    </row>
    <row r="10" spans="1:7" ht="22.5" customHeight="1" x14ac:dyDescent="0.25">
      <c r="A10" s="719"/>
      <c r="B10" s="720"/>
      <c r="C10" s="720"/>
      <c r="D10" s="721"/>
      <c r="E10" s="525"/>
      <c r="F10" s="525"/>
      <c r="G10" s="525"/>
    </row>
    <row r="11" spans="1:7" ht="22.5" customHeight="1" x14ac:dyDescent="0.25">
      <c r="A11" s="719"/>
      <c r="B11" s="720"/>
      <c r="C11" s="720"/>
      <c r="D11" s="721"/>
      <c r="E11" s="525"/>
      <c r="F11" s="525"/>
      <c r="G11" s="525"/>
    </row>
    <row r="12" spans="1:7" ht="22.5" customHeight="1" x14ac:dyDescent="0.25">
      <c r="A12" s="728"/>
      <c r="B12" s="728"/>
      <c r="C12" s="728"/>
      <c r="D12" s="728"/>
      <c r="E12" s="525"/>
      <c r="F12" s="525"/>
      <c r="G12" s="525"/>
    </row>
    <row r="13" spans="1:7" ht="22.5" customHeight="1" x14ac:dyDescent="0.25">
      <c r="A13" s="728"/>
      <c r="B13" s="728"/>
      <c r="C13" s="728"/>
      <c r="D13" s="728"/>
      <c r="E13" s="525"/>
      <c r="F13" s="525"/>
      <c r="G13" s="525"/>
    </row>
    <row r="14" spans="1:7" ht="22.5" customHeight="1" x14ac:dyDescent="0.25">
      <c r="A14" s="728"/>
      <c r="B14" s="728"/>
      <c r="C14" s="728"/>
      <c r="D14" s="728"/>
      <c r="E14" s="525"/>
      <c r="F14" s="525"/>
      <c r="G14" s="525"/>
    </row>
    <row r="15" spans="1:7" ht="22.5" customHeight="1" x14ac:dyDescent="0.25">
      <c r="A15" s="728"/>
      <c r="B15" s="728"/>
      <c r="C15" s="728"/>
      <c r="D15" s="728"/>
      <c r="E15" s="525"/>
      <c r="F15" s="525"/>
      <c r="G15" s="525"/>
    </row>
    <row r="16" spans="1:7" ht="22.5" customHeight="1" x14ac:dyDescent="0.25">
      <c r="A16" s="728"/>
      <c r="B16" s="728"/>
      <c r="C16" s="728"/>
      <c r="D16" s="728"/>
      <c r="E16" s="525"/>
      <c r="F16" s="525"/>
      <c r="G16" s="525"/>
    </row>
    <row r="17" spans="1:7" ht="22.5" customHeight="1" x14ac:dyDescent="0.25">
      <c r="A17" s="728"/>
      <c r="B17" s="728"/>
      <c r="C17" s="728"/>
      <c r="D17" s="728"/>
      <c r="E17" s="525"/>
      <c r="F17" s="525"/>
      <c r="G17" s="525"/>
    </row>
    <row r="18" spans="1:7" ht="22.5" customHeight="1" thickBot="1" x14ac:dyDescent="0.3">
      <c r="A18" s="729"/>
      <c r="B18" s="729"/>
      <c r="C18" s="729"/>
      <c r="D18" s="729"/>
      <c r="E18" s="526"/>
      <c r="F18" s="526"/>
      <c r="G18" s="526"/>
    </row>
    <row r="19" spans="1:7" ht="22.5" customHeight="1" thickTop="1" x14ac:dyDescent="0.25">
      <c r="A19" s="730" t="s">
        <v>73</v>
      </c>
      <c r="B19" s="730"/>
      <c r="C19" s="730"/>
      <c r="D19" s="730"/>
      <c r="E19" s="527"/>
      <c r="F19" s="527"/>
      <c r="G19" s="527"/>
    </row>
    <row r="21" spans="1:7" x14ac:dyDescent="0.25">
      <c r="A21" s="528" t="s">
        <v>572</v>
      </c>
      <c r="B21" s="529"/>
    </row>
    <row r="22" spans="1:7" x14ac:dyDescent="0.25">
      <c r="A22" s="731"/>
      <c r="B22" s="731"/>
      <c r="C22" s="731"/>
    </row>
  </sheetData>
  <sheetProtection sheet="1" objects="1" scenarios="1"/>
  <mergeCells count="16">
    <mergeCell ref="A17:D17"/>
    <mergeCell ref="A18:D18"/>
    <mergeCell ref="A19:D19"/>
    <mergeCell ref="A22:C22"/>
    <mergeCell ref="A11:D11"/>
    <mergeCell ref="A12:D12"/>
    <mergeCell ref="A13:D13"/>
    <mergeCell ref="A14:D14"/>
    <mergeCell ref="A15:D15"/>
    <mergeCell ref="A16:D16"/>
    <mergeCell ref="A10:D10"/>
    <mergeCell ref="A1:G1"/>
    <mergeCell ref="A3:G3"/>
    <mergeCell ref="A5:G5"/>
    <mergeCell ref="A7:G7"/>
    <mergeCell ref="A9:D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5">
    <tabColor rgb="FF00B0F0"/>
    <pageSetUpPr fitToPage="1"/>
  </sheetPr>
  <dimension ref="A1:B57"/>
  <sheetViews>
    <sheetView workbookViewId="0">
      <selection activeCell="B15" sqref="B15"/>
    </sheetView>
  </sheetViews>
  <sheetFormatPr defaultRowHeight="15" x14ac:dyDescent="0.2"/>
  <cols>
    <col min="1" max="1" width="75.6640625" customWidth="1"/>
  </cols>
  <sheetData>
    <row r="1" spans="1:2" ht="15.75" customHeight="1" x14ac:dyDescent="0.2">
      <c r="A1" s="586" t="s">
        <v>357</v>
      </c>
      <c r="B1" s="395"/>
    </row>
    <row r="2" spans="1:2" x14ac:dyDescent="0.2">
      <c r="A2" s="586"/>
    </row>
    <row r="3" spans="1:2" x14ac:dyDescent="0.2">
      <c r="A3" s="586"/>
    </row>
    <row r="4" spans="1:2" x14ac:dyDescent="0.2">
      <c r="A4" s="586"/>
    </row>
    <row r="5" spans="1:2" x14ac:dyDescent="0.2">
      <c r="A5" s="586"/>
    </row>
    <row r="6" spans="1:2" x14ac:dyDescent="0.2">
      <c r="A6" s="586"/>
    </row>
    <row r="7" spans="1:2" x14ac:dyDescent="0.2">
      <c r="A7" s="586"/>
    </row>
    <row r="8" spans="1:2" x14ac:dyDescent="0.2">
      <c r="A8" s="586"/>
    </row>
    <row r="9" spans="1:2" x14ac:dyDescent="0.2">
      <c r="A9" s="586"/>
    </row>
    <row r="10" spans="1:2" x14ac:dyDescent="0.2">
      <c r="A10" s="586"/>
    </row>
    <row r="11" spans="1:2" x14ac:dyDescent="0.2">
      <c r="A11" s="586"/>
    </row>
    <row r="12" spans="1:2" x14ac:dyDescent="0.2">
      <c r="A12" s="586"/>
    </row>
    <row r="13" spans="1:2" x14ac:dyDescent="0.2">
      <c r="A13" s="586"/>
    </row>
    <row r="14" spans="1:2" x14ac:dyDescent="0.2">
      <c r="A14" s="586"/>
    </row>
    <row r="15" spans="1:2" x14ac:dyDescent="0.2">
      <c r="A15" s="586"/>
    </row>
    <row r="16" spans="1:2" x14ac:dyDescent="0.2">
      <c r="A16" s="586"/>
    </row>
    <row r="17" spans="1:1" x14ac:dyDescent="0.2">
      <c r="A17" s="586"/>
    </row>
    <row r="18" spans="1:1" x14ac:dyDescent="0.2">
      <c r="A18" s="586"/>
    </row>
    <row r="19" spans="1:1" x14ac:dyDescent="0.2">
      <c r="A19" s="586"/>
    </row>
    <row r="20" spans="1:1" x14ac:dyDescent="0.2">
      <c r="A20" s="586"/>
    </row>
    <row r="21" spans="1:1" x14ac:dyDescent="0.2">
      <c r="A21" s="586"/>
    </row>
    <row r="22" spans="1:1" x14ac:dyDescent="0.2">
      <c r="A22" s="586"/>
    </row>
    <row r="23" spans="1:1" x14ac:dyDescent="0.2">
      <c r="A23" s="586"/>
    </row>
    <row r="24" spans="1:1" x14ac:dyDescent="0.2">
      <c r="A24" s="586"/>
    </row>
    <row r="25" spans="1:1" x14ac:dyDescent="0.2">
      <c r="A25" s="586"/>
    </row>
    <row r="26" spans="1:1" x14ac:dyDescent="0.2">
      <c r="A26" s="586"/>
    </row>
    <row r="27" spans="1:1" x14ac:dyDescent="0.2">
      <c r="A27" s="586"/>
    </row>
    <row r="28" spans="1:1" x14ac:dyDescent="0.2">
      <c r="A28" s="586"/>
    </row>
    <row r="29" spans="1:1" x14ac:dyDescent="0.2">
      <c r="A29" s="586"/>
    </row>
    <row r="30" spans="1:1" x14ac:dyDescent="0.2">
      <c r="A30" s="586"/>
    </row>
    <row r="31" spans="1:1" x14ac:dyDescent="0.2">
      <c r="A31" s="586"/>
    </row>
    <row r="32" spans="1:1" x14ac:dyDescent="0.2">
      <c r="A32" s="586"/>
    </row>
    <row r="33" spans="1:1" x14ac:dyDescent="0.2">
      <c r="A33" s="586"/>
    </row>
    <row r="34" spans="1:1" x14ac:dyDescent="0.2">
      <c r="A34" s="586"/>
    </row>
    <row r="35" spans="1:1" x14ac:dyDescent="0.2">
      <c r="A35" s="586"/>
    </row>
    <row r="36" spans="1:1" x14ac:dyDescent="0.2">
      <c r="A36" s="586"/>
    </row>
    <row r="37" spans="1:1" x14ac:dyDescent="0.2">
      <c r="A37" s="586"/>
    </row>
    <row r="38" spans="1:1" x14ac:dyDescent="0.2">
      <c r="A38" s="586"/>
    </row>
    <row r="39" spans="1:1" x14ac:dyDescent="0.2">
      <c r="A39" s="586"/>
    </row>
    <row r="40" spans="1:1" x14ac:dyDescent="0.2">
      <c r="A40" s="586"/>
    </row>
    <row r="41" spans="1:1" x14ac:dyDescent="0.2">
      <c r="A41" s="586"/>
    </row>
    <row r="42" spans="1:1" x14ac:dyDescent="0.2">
      <c r="A42" s="586"/>
    </row>
    <row r="43" spans="1:1" x14ac:dyDescent="0.2">
      <c r="A43" s="586"/>
    </row>
    <row r="44" spans="1:1" x14ac:dyDescent="0.2">
      <c r="A44" s="586"/>
    </row>
    <row r="45" spans="1:1" x14ac:dyDescent="0.2">
      <c r="A45" s="586"/>
    </row>
    <row r="46" spans="1:1" x14ac:dyDescent="0.2">
      <c r="A46" s="586"/>
    </row>
    <row r="47" spans="1:1" x14ac:dyDescent="0.2">
      <c r="A47" s="74"/>
    </row>
    <row r="48" spans="1:1" x14ac:dyDescent="0.2">
      <c r="A48" s="74"/>
    </row>
    <row r="49" spans="1:1" x14ac:dyDescent="0.2">
      <c r="A49" s="74"/>
    </row>
    <row r="50" spans="1:1" x14ac:dyDescent="0.2">
      <c r="A50" s="74"/>
    </row>
    <row r="51" spans="1:1" x14ac:dyDescent="0.2">
      <c r="A51" s="74"/>
    </row>
    <row r="52" spans="1:1" x14ac:dyDescent="0.2">
      <c r="A52" s="74"/>
    </row>
    <row r="53" spans="1:1" x14ac:dyDescent="0.2">
      <c r="A53" s="74"/>
    </row>
    <row r="54" spans="1:1" x14ac:dyDescent="0.2">
      <c r="A54" s="74"/>
    </row>
    <row r="55" spans="1:1" x14ac:dyDescent="0.2">
      <c r="A55" s="74"/>
    </row>
    <row r="56" spans="1:1" x14ac:dyDescent="0.2">
      <c r="A56" s="74"/>
    </row>
    <row r="57" spans="1:1" x14ac:dyDescent="0.2">
      <c r="A57" s="74"/>
    </row>
  </sheetData>
  <sheetProtection sheet="1" objects="1" scenarios="1"/>
  <mergeCells count="1">
    <mergeCell ref="A1:A46"/>
  </mergeCells>
  <pageMargins left="0.7" right="0.7" top="0.75" bottom="0.75" header="0.3" footer="0.3"/>
  <pageSetup orientation="portrait" blackAndWhite="1"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9DD19-95C3-495F-BF40-D4BFC37B9BE5}">
  <sheetPr codeName="Sheet49"/>
  <dimension ref="A1:G19"/>
  <sheetViews>
    <sheetView workbookViewId="0">
      <selection activeCell="A15" sqref="A15:G15"/>
    </sheetView>
  </sheetViews>
  <sheetFormatPr defaultRowHeight="15.75" x14ac:dyDescent="0.25"/>
  <cols>
    <col min="1" max="1" width="8.88671875" style="2"/>
    <col min="4" max="4" width="18" customWidth="1"/>
    <col min="7" max="7" width="12.77734375" customWidth="1"/>
  </cols>
  <sheetData>
    <row r="1" spans="1:7" x14ac:dyDescent="0.25">
      <c r="A1" s="718" t="s">
        <v>414</v>
      </c>
      <c r="B1" s="718"/>
      <c r="C1" s="718"/>
      <c r="D1" s="718"/>
      <c r="E1" s="718"/>
      <c r="F1" s="718"/>
      <c r="G1" s="718"/>
    </row>
    <row r="3" spans="1:7" ht="55.5" customHeight="1" x14ac:dyDescent="0.25">
      <c r="A3" s="733" t="s">
        <v>415</v>
      </c>
      <c r="B3" s="733"/>
      <c r="C3" s="733"/>
      <c r="D3" s="733"/>
      <c r="E3" s="733"/>
      <c r="F3" s="733"/>
      <c r="G3" s="733"/>
    </row>
    <row r="4" spans="1:7" ht="55.5" customHeight="1" x14ac:dyDescent="0.25">
      <c r="A4" s="734" t="s">
        <v>416</v>
      </c>
      <c r="B4" s="734"/>
      <c r="C4" s="734"/>
      <c r="D4" s="734"/>
      <c r="E4" s="734"/>
      <c r="F4" s="734"/>
      <c r="G4" s="734"/>
    </row>
    <row r="5" spans="1:7" ht="55.5" customHeight="1" x14ac:dyDescent="0.25">
      <c r="A5" s="734" t="s">
        <v>417</v>
      </c>
      <c r="B5" s="734"/>
      <c r="C5" s="734"/>
      <c r="D5" s="734"/>
      <c r="E5" s="734"/>
      <c r="F5" s="734"/>
      <c r="G5" s="734"/>
    </row>
    <row r="6" spans="1:7" ht="55.5" customHeight="1" x14ac:dyDescent="0.25">
      <c r="A6" s="734" t="s">
        <v>418</v>
      </c>
      <c r="B6" s="734"/>
      <c r="C6" s="734"/>
      <c r="D6" s="734"/>
      <c r="E6" s="734"/>
      <c r="F6" s="734"/>
      <c r="G6" s="734"/>
    </row>
    <row r="7" spans="1:7" ht="55.5" customHeight="1" x14ac:dyDescent="0.25">
      <c r="A7" s="734" t="s">
        <v>419</v>
      </c>
      <c r="B7" s="734"/>
      <c r="C7" s="734"/>
      <c r="D7" s="734"/>
      <c r="E7" s="734"/>
      <c r="F7" s="734"/>
      <c r="G7" s="734"/>
    </row>
    <row r="8" spans="1:7" ht="55.5" customHeight="1" x14ac:dyDescent="0.25">
      <c r="A8" s="733" t="s">
        <v>420</v>
      </c>
      <c r="B8" s="733"/>
      <c r="C8" s="733"/>
      <c r="D8" s="733"/>
      <c r="E8" s="733"/>
      <c r="F8" s="733"/>
      <c r="G8" s="733"/>
    </row>
    <row r="9" spans="1:7" ht="55.5" customHeight="1" x14ac:dyDescent="0.25">
      <c r="A9" s="734" t="s">
        <v>421</v>
      </c>
      <c r="B9" s="734"/>
      <c r="C9" s="734"/>
      <c r="D9" s="734"/>
      <c r="E9" s="734"/>
      <c r="F9" s="734"/>
      <c r="G9" s="734"/>
    </row>
    <row r="10" spans="1:7" ht="55.5" customHeight="1" x14ac:dyDescent="0.25">
      <c r="A10" s="734" t="s">
        <v>422</v>
      </c>
      <c r="B10" s="734"/>
      <c r="C10" s="734"/>
      <c r="D10" s="734"/>
      <c r="E10" s="734"/>
      <c r="F10" s="734"/>
      <c r="G10" s="734"/>
    </row>
    <row r="11" spans="1:7" ht="39" customHeight="1" x14ac:dyDescent="0.25">
      <c r="A11" s="734" t="s">
        <v>423</v>
      </c>
      <c r="B11" s="734"/>
      <c r="C11" s="734"/>
      <c r="D11" s="734"/>
      <c r="E11" s="734"/>
      <c r="F11" s="734"/>
      <c r="G11" s="734"/>
    </row>
    <row r="12" spans="1:7" ht="18" customHeight="1" x14ac:dyDescent="0.25">
      <c r="A12" s="732" t="s">
        <v>424</v>
      </c>
      <c r="B12" s="732"/>
      <c r="C12" s="732"/>
      <c r="D12" s="732"/>
      <c r="E12" s="732"/>
      <c r="F12" s="732"/>
      <c r="G12" s="732"/>
    </row>
    <row r="13" spans="1:7" ht="18" customHeight="1" x14ac:dyDescent="0.25">
      <c r="A13" s="732" t="s">
        <v>424</v>
      </c>
      <c r="B13" s="732"/>
      <c r="C13" s="732"/>
      <c r="D13" s="732"/>
      <c r="E13" s="732"/>
      <c r="F13" s="732"/>
      <c r="G13" s="732"/>
    </row>
    <row r="14" spans="1:7" ht="18" customHeight="1" x14ac:dyDescent="0.25">
      <c r="A14" s="732" t="s">
        <v>424</v>
      </c>
      <c r="B14" s="732"/>
      <c r="C14" s="732"/>
      <c r="D14" s="732"/>
      <c r="E14" s="732"/>
      <c r="F14" s="732"/>
      <c r="G14" s="732"/>
    </row>
    <row r="15" spans="1:7" ht="18" customHeight="1" x14ac:dyDescent="0.25">
      <c r="A15" s="732" t="s">
        <v>424</v>
      </c>
      <c r="B15" s="732"/>
      <c r="C15" s="732"/>
      <c r="D15" s="732"/>
      <c r="E15" s="732"/>
      <c r="F15" s="732"/>
      <c r="G15" s="732"/>
    </row>
    <row r="16" spans="1:7" ht="18" customHeight="1" x14ac:dyDescent="0.25">
      <c r="A16" s="441"/>
      <c r="B16" s="441"/>
      <c r="C16" s="343"/>
      <c r="D16" s="343"/>
      <c r="E16" s="343"/>
      <c r="F16" s="441"/>
      <c r="G16" s="441"/>
    </row>
    <row r="17" spans="1:7" x14ac:dyDescent="0.25">
      <c r="A17" s="717" t="s">
        <v>425</v>
      </c>
      <c r="B17" s="717"/>
      <c r="C17" s="717"/>
      <c r="D17" s="717"/>
      <c r="E17" s="717"/>
      <c r="F17" s="717"/>
      <c r="G17" s="717"/>
    </row>
    <row r="18" spans="1:7" ht="18" customHeight="1" x14ac:dyDescent="0.25">
      <c r="A18" s="717" t="s">
        <v>426</v>
      </c>
      <c r="B18" s="717"/>
      <c r="C18" s="717"/>
      <c r="D18" s="717"/>
      <c r="E18" s="717"/>
      <c r="F18" s="717"/>
      <c r="G18" s="717"/>
    </row>
    <row r="19" spans="1:7" x14ac:dyDescent="0.25">
      <c r="A19" s="717" t="s">
        <v>427</v>
      </c>
      <c r="B19" s="717"/>
      <c r="C19" s="717"/>
      <c r="D19" s="717"/>
      <c r="E19" s="717"/>
      <c r="F19" s="717"/>
      <c r="G19" s="717"/>
    </row>
  </sheetData>
  <sheetProtection sheet="1" objects="1" scenarios="1"/>
  <mergeCells count="17">
    <mergeCell ref="A14:G14"/>
    <mergeCell ref="A15:G15"/>
    <mergeCell ref="A17:G17"/>
    <mergeCell ref="A18:G18"/>
    <mergeCell ref="A19:G19"/>
    <mergeCell ref="A13:G13"/>
    <mergeCell ref="A1:G1"/>
    <mergeCell ref="A3:G3"/>
    <mergeCell ref="A4:G4"/>
    <mergeCell ref="A5:G5"/>
    <mergeCell ref="A6:G6"/>
    <mergeCell ref="A7:G7"/>
    <mergeCell ref="A8:G8"/>
    <mergeCell ref="A9:G9"/>
    <mergeCell ref="A10:G10"/>
    <mergeCell ref="A11:G11"/>
    <mergeCell ref="A12:G12"/>
  </mergeCells>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1FDAC-6292-4E7F-AC1D-75C20829F2D9}">
  <sheetPr>
    <tabColor rgb="FFFF0000"/>
  </sheetPr>
  <dimension ref="A1:L64"/>
  <sheetViews>
    <sheetView workbookViewId="0">
      <selection activeCell="A5" sqref="A5"/>
    </sheetView>
  </sheetViews>
  <sheetFormatPr defaultRowHeight="15.75" x14ac:dyDescent="0.25"/>
  <cols>
    <col min="1" max="1" width="67" style="2" customWidth="1"/>
  </cols>
  <sheetData>
    <row r="1" spans="1:12" ht="15.75" customHeight="1" x14ac:dyDescent="0.2">
      <c r="A1" s="735" t="s">
        <v>381</v>
      </c>
    </row>
    <row r="2" spans="1:12" ht="15.75" customHeight="1" x14ac:dyDescent="0.2">
      <c r="A2" s="736"/>
    </row>
    <row r="3" spans="1:12" x14ac:dyDescent="0.25">
      <c r="A3" s="435" t="s">
        <v>260</v>
      </c>
      <c r="B3" s="220"/>
      <c r="C3" s="220"/>
      <c r="D3" s="220"/>
      <c r="E3" s="220"/>
      <c r="F3" s="220"/>
      <c r="G3" s="220"/>
      <c r="H3" s="220"/>
      <c r="I3" s="220"/>
      <c r="J3" s="220"/>
      <c r="K3" s="220"/>
      <c r="L3" s="220"/>
    </row>
    <row r="5" spans="1:12" x14ac:dyDescent="0.25">
      <c r="A5" s="2" t="str">
        <f>CONCATENATE("Welcome. You have been directed to this tab because your ",inputPrYr!C5-2," total expenditures exceed your ")</f>
        <v xml:space="preserve">Welcome. You have been directed to this tab because your 2023 total expenditures exceed your </v>
      </c>
    </row>
    <row r="6" spans="1:12" x14ac:dyDescent="0.25">
      <c r="A6" s="2" t="str">
        <f>CONCATENATE(inputPrYr!C5-2," budget authority.")</f>
        <v>2023 budget authority.</v>
      </c>
    </row>
    <row r="8" spans="1:12" x14ac:dyDescent="0.25">
      <c r="A8" s="2" t="s">
        <v>573</v>
      </c>
    </row>
    <row r="9" spans="1:12" x14ac:dyDescent="0.25">
      <c r="A9" s="2" t="s">
        <v>574</v>
      </c>
    </row>
    <row r="11" spans="1:12" x14ac:dyDescent="0.25">
      <c r="A11" s="436" t="s">
        <v>261</v>
      </c>
    </row>
    <row r="13" spans="1:12" x14ac:dyDescent="0.25">
      <c r="A13" s="2" t="s">
        <v>575</v>
      </c>
    </row>
    <row r="14" spans="1:12" x14ac:dyDescent="0.25">
      <c r="A14" s="2" t="str">
        <f>CONCATENATE("or the ",inputPrYr!C5," adopted budget has not been submitted to the county clerk) then the budget violation")</f>
        <v>or the 2025 adopted budget has not been submitted to the county clerk) then the budget violation</v>
      </c>
    </row>
    <row r="15" spans="1:12" x14ac:dyDescent="0.25">
      <c r="A15" s="2" t="s">
        <v>576</v>
      </c>
    </row>
    <row r="17" spans="1:1" x14ac:dyDescent="0.25">
      <c r="A17" s="436" t="s">
        <v>262</v>
      </c>
    </row>
    <row r="18" spans="1:1" x14ac:dyDescent="0.25">
      <c r="A18" s="436"/>
    </row>
    <row r="19" spans="1:1" x14ac:dyDescent="0.25">
      <c r="A19" s="2" t="s">
        <v>577</v>
      </c>
    </row>
    <row r="20" spans="1:1" x14ac:dyDescent="0.25">
      <c r="A20" s="2" t="str">
        <f>CONCATENATE("entered for this particular fund.  If your ",inputPrYr!C5-2," budget was amended, did you use the amended,")</f>
        <v>entered for this particular fund.  If your 2023 budget was amended, did you use the amended,</v>
      </c>
    </row>
    <row r="21" spans="1:1" x14ac:dyDescent="0.25">
      <c r="A21" s="2" t="s">
        <v>578</v>
      </c>
    </row>
    <row r="23" spans="1:1" x14ac:dyDescent="0.25">
      <c r="A23" s="2" t="str">
        <f>CONCATENATE("Next, look to see if any of your ",inputPrYr!C5-2," expenditures can be reduced or eliminated. For example,")</f>
        <v>Next, look to see if any of your 2023 expenditures can be reduced or eliminated. For example,</v>
      </c>
    </row>
    <row r="24" spans="1:1" x14ac:dyDescent="0.25">
      <c r="A24" s="2" t="s">
        <v>579</v>
      </c>
    </row>
    <row r="25" spans="1:1" x14ac:dyDescent="0.25">
      <c r="A25" s="2" t="s">
        <v>580</v>
      </c>
    </row>
    <row r="27" spans="1:1" x14ac:dyDescent="0.25">
      <c r="A27" s="2" t="str">
        <f>CONCATENATE("Additionally, do your ",inputPrYr!C5-2," receipts contain a reimbursement (e.g. FEMA)? If so, instead of")</f>
        <v>Additionally, do your 2023 receipts contain a reimbursement (e.g. FEMA)? If so, instead of</v>
      </c>
    </row>
    <row r="28" spans="1:1" x14ac:dyDescent="0.25">
      <c r="A28" s="2" t="s">
        <v>581</v>
      </c>
    </row>
    <row r="30" spans="1:1" x14ac:dyDescent="0.25">
      <c r="A30" s="2" t="s">
        <v>582</v>
      </c>
    </row>
    <row r="31" spans="1:1" x14ac:dyDescent="0.25">
      <c r="A31" s="2" t="s">
        <v>583</v>
      </c>
    </row>
    <row r="32" spans="1:1" x14ac:dyDescent="0.25">
      <c r="A32" s="2" t="s">
        <v>584</v>
      </c>
    </row>
    <row r="33" spans="1:1" x14ac:dyDescent="0.25">
      <c r="A33" s="2" t="s">
        <v>585</v>
      </c>
    </row>
    <row r="34" spans="1:1" x14ac:dyDescent="0.25">
      <c r="A34" s="2" t="s">
        <v>263</v>
      </c>
    </row>
    <row r="36" spans="1:1" x14ac:dyDescent="0.25">
      <c r="A36" s="2" t="s">
        <v>586</v>
      </c>
    </row>
    <row r="37" spans="1:1" x14ac:dyDescent="0.25">
      <c r="A37" s="2" t="s">
        <v>587</v>
      </c>
    </row>
    <row r="39" spans="1:1" x14ac:dyDescent="0.25">
      <c r="A39" s="2" t="s">
        <v>588</v>
      </c>
    </row>
    <row r="40" spans="1:1" x14ac:dyDescent="0.25">
      <c r="A40" s="2" t="s">
        <v>589</v>
      </c>
    </row>
    <row r="42" spans="1:1" x14ac:dyDescent="0.25">
      <c r="A42" s="436" t="s">
        <v>264</v>
      </c>
    </row>
    <row r="44" spans="1:1" x14ac:dyDescent="0.25">
      <c r="A44" s="2" t="s">
        <v>590</v>
      </c>
    </row>
    <row r="45" spans="1:1" x14ac:dyDescent="0.25">
      <c r="A45" s="2" t="s">
        <v>591</v>
      </c>
    </row>
    <row r="46" spans="1:1" x14ac:dyDescent="0.25">
      <c r="A46" s="2" t="s">
        <v>592</v>
      </c>
    </row>
    <row r="47" spans="1:1" x14ac:dyDescent="0.25">
      <c r="A47" s="2" t="s">
        <v>593</v>
      </c>
    </row>
    <row r="48" spans="1:1" x14ac:dyDescent="0.25">
      <c r="A48" s="2" t="s">
        <v>594</v>
      </c>
    </row>
    <row r="49" spans="1:1" x14ac:dyDescent="0.25">
      <c r="A49" s="2" t="s">
        <v>595</v>
      </c>
    </row>
    <row r="50" spans="1:1" x14ac:dyDescent="0.25">
      <c r="A50" s="2" t="s">
        <v>596</v>
      </c>
    </row>
    <row r="51" spans="1:1" x14ac:dyDescent="0.25">
      <c r="A51" s="2" t="s">
        <v>597</v>
      </c>
    </row>
    <row r="53" spans="1:1" x14ac:dyDescent="0.25">
      <c r="A53" s="2" t="s">
        <v>598</v>
      </c>
    </row>
    <row r="54" spans="1:1" x14ac:dyDescent="0.25">
      <c r="A54" s="2" t="s">
        <v>599</v>
      </c>
    </row>
    <row r="56" spans="1:1" x14ac:dyDescent="0.25">
      <c r="A56" s="436" t="str">
        <f>CONCATENATE("What if the ",inputPrYr!C5-2," financial records have been closed?")</f>
        <v>What if the 2023 financial records have been closed?</v>
      </c>
    </row>
    <row r="57" spans="1:1" x14ac:dyDescent="0.25">
      <c r="A57" s="2" t="s">
        <v>600</v>
      </c>
    </row>
    <row r="58" spans="1:1" x14ac:dyDescent="0.25">
      <c r="A58" s="2" t="str">
        <f>CONCATENATE("If the municipality financial records have been closed (i.e. an audit for ",inputPrYr!C5-2," has been completed, or")</f>
        <v>If the municipality financial records have been closed (i.e. an audit for 2023 has been completed, or</v>
      </c>
    </row>
    <row r="59" spans="1:1" x14ac:dyDescent="0.25">
      <c r="A59" s="2" t="str">
        <f>CONCATENATE("the ",inputPrYr!C5," the violation cannot be fixed and must be shown as it occurred. ")</f>
        <v xml:space="preserve">the 2025 the violation cannot be fixed and must be shown as it occurred. </v>
      </c>
    </row>
    <row r="61" spans="1:1" x14ac:dyDescent="0.25">
      <c r="A61" s="2" t="s">
        <v>601</v>
      </c>
    </row>
    <row r="62" spans="1:1" x14ac:dyDescent="0.25">
      <c r="A62" s="2" t="s">
        <v>602</v>
      </c>
    </row>
    <row r="64" spans="1:1" x14ac:dyDescent="0.25">
      <c r="A64" s="2" t="s">
        <v>265</v>
      </c>
    </row>
  </sheetData>
  <sheetProtection sheet="1" objects="1" scenarios="1"/>
  <mergeCells count="1">
    <mergeCell ref="A1:A2"/>
  </mergeCells>
  <pageMargins left="0.7" right="0.7" top="0.75" bottom="0.75" header="0.3" footer="0.3"/>
  <pageSetup orientation="portrait" r:id="rId1"/>
  <headerFooter>
    <oddFooter>&amp;Lrevised 10/02/09</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499FC-9CEA-4674-A968-64C55DB43635}">
  <sheetPr>
    <tabColor rgb="FFFF0000"/>
  </sheetPr>
  <dimension ref="A1:J92"/>
  <sheetViews>
    <sheetView workbookViewId="0">
      <selection activeCell="C26" sqref="C26:C27"/>
    </sheetView>
  </sheetViews>
  <sheetFormatPr defaultRowHeight="15.75" x14ac:dyDescent="0.25"/>
  <cols>
    <col min="1" max="1" width="66.77734375" style="2" customWidth="1"/>
  </cols>
  <sheetData>
    <row r="1" spans="1:10" ht="15.75" customHeight="1" x14ac:dyDescent="0.2">
      <c r="A1" s="737" t="s">
        <v>380</v>
      </c>
    </row>
    <row r="2" spans="1:10" ht="15.75" customHeight="1" x14ac:dyDescent="0.2">
      <c r="A2" s="737"/>
    </row>
    <row r="3" spans="1:10" x14ac:dyDescent="0.25">
      <c r="A3" s="435" t="s">
        <v>266</v>
      </c>
      <c r="B3" s="220"/>
      <c r="C3" s="220"/>
      <c r="D3" s="220"/>
      <c r="E3" s="220"/>
      <c r="F3" s="220"/>
      <c r="G3" s="220"/>
      <c r="H3" s="222"/>
      <c r="I3" s="222"/>
      <c r="J3" s="222"/>
    </row>
    <row r="5" spans="1:10" x14ac:dyDescent="0.25">
      <c r="A5" s="2" t="str">
        <f>CONCATENATE("Welcome. You have been directed to this tab because your ",inputPrYr!C5-2," expenditures show that you ")</f>
        <v xml:space="preserve">Welcome. You have been directed to this tab because your 2023 expenditures show that you </v>
      </c>
    </row>
    <row r="6" spans="1:10" x14ac:dyDescent="0.25">
      <c r="A6" s="2" t="s">
        <v>603</v>
      </c>
    </row>
    <row r="8" spans="1:10" x14ac:dyDescent="0.25">
      <c r="A8" s="2" t="s">
        <v>604</v>
      </c>
    </row>
    <row r="9" spans="1:10" x14ac:dyDescent="0.25">
      <c r="A9" s="2" t="s">
        <v>269</v>
      </c>
    </row>
    <row r="11" spans="1:10" x14ac:dyDescent="0.25">
      <c r="A11" s="436" t="s">
        <v>267</v>
      </c>
    </row>
    <row r="12" spans="1:10" x14ac:dyDescent="0.25">
      <c r="A12" s="436"/>
    </row>
    <row r="13" spans="1:10" x14ac:dyDescent="0.25">
      <c r="A13" s="2" t="s">
        <v>605</v>
      </c>
    </row>
    <row r="14" spans="1:10" x14ac:dyDescent="0.25">
      <c r="A14" s="2" t="s">
        <v>606</v>
      </c>
    </row>
    <row r="16" spans="1:10" x14ac:dyDescent="0.25">
      <c r="A16" s="436" t="s">
        <v>268</v>
      </c>
    </row>
    <row r="17" spans="1:8" x14ac:dyDescent="0.25">
      <c r="A17" s="436"/>
    </row>
    <row r="18" spans="1:8" x14ac:dyDescent="0.25">
      <c r="A18" s="2" t="s">
        <v>607</v>
      </c>
    </row>
    <row r="19" spans="1:8" x14ac:dyDescent="0.25">
      <c r="A19" s="2" t="s">
        <v>608</v>
      </c>
    </row>
    <row r="21" spans="1:8" x14ac:dyDescent="0.25">
      <c r="A21" s="436" t="s">
        <v>609</v>
      </c>
    </row>
    <row r="22" spans="1:8" x14ac:dyDescent="0.25">
      <c r="A22" s="436"/>
    </row>
    <row r="23" spans="1:8" x14ac:dyDescent="0.25">
      <c r="A23" s="2" t="s">
        <v>610</v>
      </c>
    </row>
    <row r="24" spans="1:8" x14ac:dyDescent="0.25">
      <c r="A24" s="2" t="s">
        <v>611</v>
      </c>
    </row>
    <row r="26" spans="1:8" x14ac:dyDescent="0.25">
      <c r="A26" s="436" t="s">
        <v>270</v>
      </c>
    </row>
    <row r="27" spans="1:8" x14ac:dyDescent="0.25">
      <c r="A27" s="436"/>
    </row>
    <row r="28" spans="1:8" x14ac:dyDescent="0.25">
      <c r="A28" s="2" t="str">
        <f>CONCATENATE("If your financial records are not closed for ",inputPrYr!C5-2," (i.e.an audit has not been completed, or the")</f>
        <v>If your financial records are not closed for 2023 (i.e.an audit has not been completed, or the</v>
      </c>
      <c r="B28" s="221"/>
      <c r="C28" s="221"/>
      <c r="D28" s="221"/>
      <c r="E28" s="221"/>
      <c r="F28" s="221"/>
      <c r="G28" s="221"/>
      <c r="H28" s="221"/>
    </row>
    <row r="29" spans="1:8" x14ac:dyDescent="0.25">
      <c r="A29" s="2" t="str">
        <f>CONCATENATE(inputPrYr!C5," adopted budget has not been submitted to the county clerk) then either your fund receipts will")</f>
        <v>2025 adopted budget has not been submitted to the county clerk) then either your fund receipts will</v>
      </c>
      <c r="B29" s="221"/>
      <c r="C29" s="221"/>
      <c r="D29" s="221"/>
      <c r="E29" s="221"/>
      <c r="F29" s="221"/>
      <c r="G29" s="221"/>
      <c r="H29" s="221"/>
    </row>
    <row r="30" spans="1:8" x14ac:dyDescent="0.25">
      <c r="A30" s="2" t="s">
        <v>612</v>
      </c>
      <c r="B30" s="221"/>
      <c r="C30" s="221"/>
      <c r="D30" s="221"/>
      <c r="E30" s="221"/>
      <c r="F30" s="221"/>
      <c r="G30" s="221"/>
      <c r="H30" s="221"/>
    </row>
    <row r="31" spans="1:8" x14ac:dyDescent="0.25">
      <c r="A31" s="2" t="s">
        <v>613</v>
      </c>
      <c r="B31" s="221"/>
      <c r="C31" s="221"/>
      <c r="D31" s="221"/>
      <c r="E31" s="221"/>
      <c r="F31" s="221"/>
      <c r="G31" s="221"/>
      <c r="H31" s="221"/>
    </row>
    <row r="32" spans="1:8" x14ac:dyDescent="0.25">
      <c r="B32" s="221"/>
      <c r="C32" s="221"/>
      <c r="D32" s="221"/>
      <c r="E32" s="221"/>
      <c r="F32" s="221"/>
      <c r="G32" s="221"/>
      <c r="H32" s="221"/>
    </row>
    <row r="33" spans="1:8" x14ac:dyDescent="0.25">
      <c r="B33" s="221"/>
      <c r="C33" s="221"/>
      <c r="D33" s="221"/>
      <c r="E33" s="221"/>
      <c r="F33" s="221"/>
      <c r="G33" s="221"/>
      <c r="H33" s="221"/>
    </row>
    <row r="34" spans="1:8" x14ac:dyDescent="0.25">
      <c r="A34" s="2" t="s">
        <v>614</v>
      </c>
      <c r="B34" s="221"/>
      <c r="C34" s="221"/>
      <c r="D34" s="221"/>
      <c r="E34" s="221"/>
      <c r="F34" s="221"/>
      <c r="G34" s="221"/>
      <c r="H34" s="221"/>
    </row>
    <row r="35" spans="1:8" x14ac:dyDescent="0.25">
      <c r="A35" s="2" t="s">
        <v>615</v>
      </c>
      <c r="B35" s="221"/>
      <c r="C35" s="221"/>
      <c r="D35" s="221"/>
      <c r="E35" s="221"/>
      <c r="F35" s="221"/>
      <c r="G35" s="221"/>
      <c r="H35" s="221"/>
    </row>
    <row r="36" spans="1:8" x14ac:dyDescent="0.25">
      <c r="A36" s="2" t="s">
        <v>616</v>
      </c>
      <c r="B36" s="221"/>
      <c r="C36" s="221"/>
      <c r="D36" s="221"/>
      <c r="E36" s="221"/>
      <c r="F36" s="221"/>
      <c r="G36" s="221"/>
      <c r="H36" s="221"/>
    </row>
    <row r="37" spans="1:8" x14ac:dyDescent="0.25">
      <c r="B37" s="221"/>
      <c r="C37" s="221"/>
      <c r="D37" s="221"/>
      <c r="E37" s="221"/>
      <c r="F37" s="221"/>
      <c r="G37" s="221"/>
      <c r="H37" s="221"/>
    </row>
    <row r="38" spans="1:8" x14ac:dyDescent="0.25">
      <c r="A38" s="2" t="s">
        <v>617</v>
      </c>
      <c r="B38" s="221"/>
      <c r="C38" s="221"/>
      <c r="D38" s="221"/>
      <c r="E38" s="221"/>
      <c r="F38" s="221"/>
      <c r="G38" s="221"/>
      <c r="H38" s="221"/>
    </row>
    <row r="39" spans="1:8" x14ac:dyDescent="0.25">
      <c r="A39" s="2" t="s">
        <v>618</v>
      </c>
      <c r="B39" s="221"/>
      <c r="C39" s="221"/>
      <c r="D39" s="221"/>
      <c r="E39" s="221"/>
      <c r="F39" s="221"/>
      <c r="G39" s="221"/>
      <c r="H39" s="221"/>
    </row>
    <row r="40" spans="1:8" x14ac:dyDescent="0.25">
      <c r="A40" s="2" t="s">
        <v>619</v>
      </c>
      <c r="B40" s="221"/>
      <c r="C40" s="221"/>
      <c r="D40" s="221"/>
      <c r="E40" s="221"/>
      <c r="F40" s="221"/>
      <c r="G40" s="221"/>
      <c r="H40" s="221"/>
    </row>
    <row r="41" spans="1:8" x14ac:dyDescent="0.25">
      <c r="B41" s="221"/>
      <c r="C41" s="221"/>
      <c r="D41" s="221"/>
      <c r="E41" s="221"/>
      <c r="F41" s="221"/>
      <c r="G41" s="221"/>
      <c r="H41" s="221"/>
    </row>
    <row r="42" spans="1:8" x14ac:dyDescent="0.25">
      <c r="A42" s="436" t="s">
        <v>620</v>
      </c>
      <c r="B42" s="222"/>
      <c r="C42" s="222"/>
      <c r="D42" s="222"/>
      <c r="E42" s="222"/>
      <c r="F42" s="222"/>
      <c r="G42" s="222"/>
      <c r="H42" s="221"/>
    </row>
    <row r="43" spans="1:8" x14ac:dyDescent="0.25">
      <c r="B43" s="221"/>
      <c r="C43" s="221"/>
      <c r="D43" s="221"/>
      <c r="E43" s="221"/>
      <c r="F43" s="221"/>
      <c r="G43" s="221"/>
      <c r="H43" s="221"/>
    </row>
    <row r="44" spans="1:8" x14ac:dyDescent="0.25">
      <c r="A44" s="2" t="s">
        <v>621</v>
      </c>
      <c r="B44" s="221"/>
      <c r="C44" s="221"/>
      <c r="D44" s="221"/>
      <c r="E44" s="221"/>
      <c r="F44" s="221"/>
      <c r="G44" s="221"/>
      <c r="H44" s="221"/>
    </row>
    <row r="45" spans="1:8" x14ac:dyDescent="0.25">
      <c r="A45" s="2" t="s">
        <v>622</v>
      </c>
      <c r="B45" s="221"/>
      <c r="C45" s="221"/>
      <c r="D45" s="221"/>
      <c r="E45" s="221"/>
      <c r="F45" s="221"/>
      <c r="G45" s="221"/>
      <c r="H45" s="221"/>
    </row>
    <row r="46" spans="1:8" x14ac:dyDescent="0.25">
      <c r="B46" s="221"/>
      <c r="C46" s="221"/>
      <c r="D46" s="221"/>
      <c r="E46" s="221"/>
      <c r="F46" s="221"/>
      <c r="G46" s="221"/>
      <c r="H46" s="221"/>
    </row>
    <row r="47" spans="1:8" x14ac:dyDescent="0.25">
      <c r="A47" s="2" t="s">
        <v>623</v>
      </c>
      <c r="B47" s="221"/>
      <c r="C47" s="221"/>
      <c r="D47" s="221"/>
      <c r="E47" s="221"/>
      <c r="F47" s="221"/>
      <c r="G47" s="221"/>
      <c r="H47" s="221"/>
    </row>
    <row r="48" spans="1:8" x14ac:dyDescent="0.25">
      <c r="A48" s="2" t="s">
        <v>624</v>
      </c>
      <c r="B48" s="221"/>
      <c r="C48" s="221"/>
      <c r="D48" s="221"/>
      <c r="E48" s="221"/>
      <c r="F48" s="221"/>
      <c r="G48" s="221"/>
      <c r="H48" s="221"/>
    </row>
    <row r="49" spans="1:8" x14ac:dyDescent="0.25">
      <c r="A49" s="2" t="s">
        <v>625</v>
      </c>
      <c r="B49" s="221"/>
      <c r="C49" s="221"/>
      <c r="D49" s="221"/>
      <c r="E49" s="221"/>
      <c r="F49" s="221"/>
      <c r="G49" s="221"/>
      <c r="H49" s="221"/>
    </row>
    <row r="50" spans="1:8" x14ac:dyDescent="0.25">
      <c r="A50" s="2" t="s">
        <v>626</v>
      </c>
      <c r="B50" s="221"/>
      <c r="C50" s="221"/>
      <c r="D50" s="221"/>
      <c r="E50" s="221"/>
      <c r="F50" s="221"/>
      <c r="G50" s="221"/>
      <c r="H50" s="221"/>
    </row>
    <row r="51" spans="1:8" x14ac:dyDescent="0.25">
      <c r="B51" s="221"/>
      <c r="C51" s="221"/>
      <c r="D51" s="221"/>
      <c r="E51" s="221"/>
      <c r="F51" s="221"/>
      <c r="G51" s="221"/>
      <c r="H51" s="221"/>
    </row>
    <row r="52" spans="1:8" x14ac:dyDescent="0.25">
      <c r="B52" s="221"/>
      <c r="C52" s="221"/>
      <c r="D52" s="221"/>
      <c r="E52" s="221"/>
      <c r="F52" s="221"/>
      <c r="G52" s="221"/>
      <c r="H52" s="221"/>
    </row>
    <row r="53" spans="1:8" x14ac:dyDescent="0.25">
      <c r="A53" s="2" t="s">
        <v>627</v>
      </c>
      <c r="B53" s="221"/>
      <c r="C53" s="221"/>
      <c r="D53" s="221"/>
      <c r="E53" s="221"/>
      <c r="F53" s="221"/>
      <c r="G53" s="221"/>
      <c r="H53" s="221"/>
    </row>
    <row r="54" spans="1:8" x14ac:dyDescent="0.25">
      <c r="A54" s="2" t="s">
        <v>628</v>
      </c>
      <c r="B54" s="221"/>
      <c r="C54" s="221"/>
      <c r="D54" s="221"/>
      <c r="E54" s="221"/>
      <c r="F54" s="221"/>
      <c r="G54" s="221"/>
      <c r="H54" s="221"/>
    </row>
    <row r="55" spans="1:8" x14ac:dyDescent="0.25">
      <c r="A55" s="2" t="s">
        <v>629</v>
      </c>
      <c r="B55" s="221"/>
      <c r="C55" s="221"/>
      <c r="D55" s="221"/>
      <c r="E55" s="221"/>
      <c r="F55" s="221"/>
      <c r="G55" s="221"/>
      <c r="H55" s="221"/>
    </row>
    <row r="56" spans="1:8" x14ac:dyDescent="0.25">
      <c r="A56" s="2" t="s">
        <v>630</v>
      </c>
      <c r="B56" s="221"/>
      <c r="C56" s="221"/>
      <c r="D56" s="221"/>
      <c r="E56" s="221"/>
      <c r="F56" s="221"/>
      <c r="G56" s="221"/>
      <c r="H56" s="221"/>
    </row>
    <row r="57" spans="1:8" x14ac:dyDescent="0.25">
      <c r="A57" s="2" t="s">
        <v>274</v>
      </c>
      <c r="B57" s="221"/>
      <c r="C57" s="221"/>
      <c r="D57" s="221"/>
      <c r="E57" s="221"/>
      <c r="F57" s="221"/>
      <c r="G57" s="221"/>
      <c r="H57" s="221"/>
    </row>
    <row r="58" spans="1:8" x14ac:dyDescent="0.25">
      <c r="B58" s="221"/>
      <c r="C58" s="221"/>
      <c r="D58" s="221"/>
      <c r="E58" s="221"/>
      <c r="F58" s="221"/>
      <c r="G58" s="221"/>
      <c r="H58" s="221"/>
    </row>
    <row r="59" spans="1:8" x14ac:dyDescent="0.25">
      <c r="A59" s="2" t="s">
        <v>631</v>
      </c>
      <c r="B59" s="221"/>
      <c r="C59" s="221"/>
      <c r="D59" s="221"/>
      <c r="E59" s="221"/>
      <c r="F59" s="221"/>
      <c r="G59" s="221"/>
      <c r="H59" s="221"/>
    </row>
    <row r="60" spans="1:8" x14ac:dyDescent="0.25">
      <c r="A60" s="2" t="s">
        <v>632</v>
      </c>
      <c r="B60" s="221"/>
      <c r="C60" s="221"/>
      <c r="D60" s="221"/>
      <c r="E60" s="221"/>
      <c r="F60" s="221"/>
      <c r="G60" s="221"/>
      <c r="H60" s="221"/>
    </row>
    <row r="61" spans="1:8" x14ac:dyDescent="0.25">
      <c r="B61" s="221"/>
      <c r="C61" s="221"/>
      <c r="D61" s="221"/>
      <c r="E61" s="221"/>
      <c r="F61" s="221"/>
      <c r="G61" s="221"/>
      <c r="H61" s="221"/>
    </row>
    <row r="62" spans="1:8" x14ac:dyDescent="0.25">
      <c r="A62" s="2" t="s">
        <v>265</v>
      </c>
    </row>
    <row r="63" spans="1:8" x14ac:dyDescent="0.25">
      <c r="A63" s="436"/>
    </row>
    <row r="90" spans="1:1" x14ac:dyDescent="0.25">
      <c r="A90" s="436"/>
    </row>
    <row r="91" spans="1:1" x14ac:dyDescent="0.25">
      <c r="A91" s="436"/>
    </row>
    <row r="92" spans="1:1" x14ac:dyDescent="0.25">
      <c r="A92" s="436"/>
    </row>
  </sheetData>
  <sheetProtection sheet="1"/>
  <mergeCells count="1">
    <mergeCell ref="A1:A2"/>
  </mergeCells>
  <pageMargins left="0.7" right="0.7" top="0.75" bottom="0.75" header="0.3" footer="0.3"/>
  <pageSetup orientation="portrait" r:id="rId1"/>
  <headerFooter>
    <oddFooter>&amp;Lrevised 10/02/09</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0F363-9FD4-4682-8B68-E252FFCED576}">
  <sheetPr>
    <tabColor rgb="FFFF0000"/>
  </sheetPr>
  <dimension ref="A1:L55"/>
  <sheetViews>
    <sheetView workbookViewId="0">
      <selection activeCell="C26" sqref="C26:C27"/>
    </sheetView>
  </sheetViews>
  <sheetFormatPr defaultRowHeight="15.75" x14ac:dyDescent="0.25"/>
  <cols>
    <col min="1" max="1" width="66.77734375" style="2" customWidth="1"/>
  </cols>
  <sheetData>
    <row r="1" spans="1:12" ht="15.75" customHeight="1" x14ac:dyDescent="0.2">
      <c r="A1" s="737" t="s">
        <v>379</v>
      </c>
    </row>
    <row r="2" spans="1:12" ht="15.75" customHeight="1" x14ac:dyDescent="0.2">
      <c r="A2" s="737"/>
    </row>
    <row r="3" spans="1:12" x14ac:dyDescent="0.25">
      <c r="A3" s="435" t="s">
        <v>271</v>
      </c>
      <c r="B3" s="220"/>
      <c r="C3" s="220"/>
      <c r="D3" s="220"/>
      <c r="E3" s="220"/>
      <c r="F3" s="220"/>
      <c r="G3" s="220"/>
      <c r="H3" s="220"/>
      <c r="I3" s="220"/>
      <c r="J3" s="220"/>
      <c r="K3" s="220"/>
      <c r="L3" s="220"/>
    </row>
    <row r="4" spans="1:12" x14ac:dyDescent="0.25">
      <c r="A4" s="435"/>
      <c r="B4" s="220"/>
      <c r="C4" s="220"/>
      <c r="D4" s="220"/>
      <c r="E4" s="220"/>
      <c r="F4" s="220"/>
      <c r="G4" s="220"/>
      <c r="H4" s="220"/>
      <c r="I4" s="220"/>
      <c r="J4" s="220"/>
      <c r="K4" s="220"/>
      <c r="L4" s="220"/>
    </row>
    <row r="5" spans="1:12" x14ac:dyDescent="0.25">
      <c r="I5" s="220"/>
      <c r="J5" s="220"/>
      <c r="K5" s="220"/>
      <c r="L5" s="220"/>
    </row>
    <row r="6" spans="1:12" x14ac:dyDescent="0.25">
      <c r="A6" s="2" t="str">
        <f>CONCATENATE("Welcome.  You have been directed to this tab because your estimated ",inputPrYr!C5-1," total expenditures")</f>
        <v>Welcome.  You have been directed to this tab because your estimated 2024 total expenditures</v>
      </c>
      <c r="I6" s="220"/>
      <c r="J6" s="220"/>
      <c r="K6" s="220"/>
      <c r="L6" s="220"/>
    </row>
    <row r="7" spans="1:12" x14ac:dyDescent="0.25">
      <c r="A7" s="437" t="str">
        <f>CONCATENATE("exceed your ",inputPrYr!C5-1," budget authority.")</f>
        <v>exceed your 2024 budget authority.</v>
      </c>
      <c r="I7" s="220"/>
      <c r="J7" s="220"/>
      <c r="K7" s="220"/>
      <c r="L7" s="220"/>
    </row>
    <row r="8" spans="1:12" x14ac:dyDescent="0.25">
      <c r="I8" s="220"/>
      <c r="J8" s="220"/>
      <c r="K8" s="220"/>
      <c r="L8" s="220"/>
    </row>
    <row r="9" spans="1:12" x14ac:dyDescent="0.25">
      <c r="A9" s="2" t="s">
        <v>633</v>
      </c>
      <c r="I9" s="220"/>
      <c r="J9" s="220"/>
      <c r="K9" s="220"/>
      <c r="L9" s="220"/>
    </row>
    <row r="10" spans="1:12" x14ac:dyDescent="0.25">
      <c r="A10" s="2" t="s">
        <v>634</v>
      </c>
      <c r="I10" s="220"/>
      <c r="J10" s="220"/>
      <c r="K10" s="220"/>
      <c r="L10" s="220"/>
    </row>
    <row r="11" spans="1:12" x14ac:dyDescent="0.25">
      <c r="A11" s="2" t="s">
        <v>635</v>
      </c>
      <c r="I11" s="220"/>
      <c r="J11" s="220"/>
      <c r="K11" s="220"/>
      <c r="L11" s="220"/>
    </row>
    <row r="12" spans="1:12" x14ac:dyDescent="0.25">
      <c r="A12" s="435"/>
      <c r="B12" s="220"/>
      <c r="C12" s="220"/>
      <c r="D12" s="220"/>
      <c r="E12" s="220"/>
      <c r="F12" s="220"/>
      <c r="G12" s="220"/>
      <c r="H12" s="220"/>
      <c r="I12" s="220"/>
      <c r="J12" s="220"/>
      <c r="K12" s="220"/>
      <c r="L12" s="220"/>
    </row>
    <row r="13" spans="1:12" x14ac:dyDescent="0.25">
      <c r="A13" s="436" t="s">
        <v>636</v>
      </c>
    </row>
    <row r="14" spans="1:12" x14ac:dyDescent="0.25">
      <c r="B14" s="221"/>
      <c r="C14" s="221"/>
      <c r="D14" s="221"/>
      <c r="E14" s="221"/>
      <c r="F14" s="221"/>
      <c r="G14" s="221"/>
    </row>
    <row r="15" spans="1:12" x14ac:dyDescent="0.25">
      <c r="A15" s="2" t="str">
        <f>CONCATENATE("Naturally, our preference would be that you consider your ",inputPrYr!C5-1," numbers to see what steps might be")</f>
        <v>Naturally, our preference would be that you consider your 2024 numbers to see what steps might be</v>
      </c>
      <c r="B15" s="221"/>
      <c r="C15" s="221"/>
      <c r="D15" s="221"/>
      <c r="E15" s="221"/>
      <c r="F15" s="221"/>
      <c r="G15" s="221"/>
    </row>
    <row r="16" spans="1:12" ht="17.25" customHeight="1" x14ac:dyDescent="0.25">
      <c r="A16" s="2" t="s">
        <v>637</v>
      </c>
      <c r="B16" s="221"/>
      <c r="C16" s="221"/>
      <c r="D16" s="221"/>
      <c r="E16" s="221"/>
      <c r="F16" s="221"/>
      <c r="G16" s="221"/>
    </row>
    <row r="17" spans="1:7" ht="17.25" customHeight="1" x14ac:dyDescent="0.25">
      <c r="A17" s="2" t="s">
        <v>638</v>
      </c>
      <c r="B17" s="221"/>
      <c r="C17" s="221"/>
      <c r="D17" s="221"/>
      <c r="E17" s="221"/>
      <c r="F17" s="221"/>
      <c r="G17" s="221"/>
    </row>
    <row r="19" spans="1:7" x14ac:dyDescent="0.25">
      <c r="A19" s="436" t="s">
        <v>272</v>
      </c>
    </row>
    <row r="20" spans="1:7" x14ac:dyDescent="0.25">
      <c r="A20" s="436"/>
    </row>
    <row r="21" spans="1:7" x14ac:dyDescent="0.25">
      <c r="A21" s="2" t="s">
        <v>639</v>
      </c>
    </row>
    <row r="22" spans="1:7" x14ac:dyDescent="0.25">
      <c r="A22" s="2" t="s">
        <v>640</v>
      </c>
      <c r="B22" s="221"/>
      <c r="C22" s="221"/>
      <c r="D22" s="221"/>
      <c r="E22" s="221"/>
      <c r="F22" s="221"/>
    </row>
    <row r="23" spans="1:7" x14ac:dyDescent="0.25">
      <c r="B23" s="221"/>
      <c r="C23" s="221"/>
      <c r="D23" s="221"/>
      <c r="E23" s="221"/>
      <c r="F23" s="221"/>
    </row>
    <row r="24" spans="1:7" x14ac:dyDescent="0.25">
      <c r="A24" s="436" t="s">
        <v>641</v>
      </c>
      <c r="B24" s="222"/>
      <c r="C24" s="222"/>
      <c r="D24" s="222"/>
      <c r="E24" s="222"/>
      <c r="F24" s="222"/>
      <c r="G24" s="222"/>
    </row>
    <row r="25" spans="1:7" x14ac:dyDescent="0.25">
      <c r="B25" s="221"/>
      <c r="C25" s="221"/>
      <c r="D25" s="221"/>
      <c r="E25" s="221"/>
      <c r="F25" s="221"/>
    </row>
    <row r="26" spans="1:7" x14ac:dyDescent="0.25">
      <c r="A26" s="438" t="str">
        <f>CONCATENATE("Well, let's look to see if any of your ",inputPrYr!C5-1," expenditures can be reduced or eliminated.  For example,")</f>
        <v>Well, let's look to see if any of your 2024 expenditures can be reduced or eliminated.  For example,</v>
      </c>
      <c r="B26" s="221"/>
      <c r="C26" s="221"/>
      <c r="D26" s="221"/>
      <c r="E26" s="221"/>
      <c r="F26" s="221"/>
    </row>
    <row r="27" spans="1:7" x14ac:dyDescent="0.25">
      <c r="A27" s="438" t="s">
        <v>642</v>
      </c>
      <c r="B27" s="221"/>
      <c r="C27" s="221"/>
      <c r="D27" s="221"/>
      <c r="E27" s="221"/>
      <c r="F27" s="221"/>
    </row>
    <row r="28" spans="1:7" x14ac:dyDescent="0.25">
      <c r="A28" s="438" t="s">
        <v>643</v>
      </c>
      <c r="B28" s="221"/>
      <c r="C28" s="221"/>
      <c r="D28" s="221"/>
      <c r="E28" s="221"/>
      <c r="F28" s="221"/>
    </row>
    <row r="29" spans="1:7" x14ac:dyDescent="0.25">
      <c r="A29" s="438"/>
      <c r="B29" s="221"/>
      <c r="C29" s="221"/>
      <c r="D29" s="221"/>
      <c r="E29" s="221"/>
      <c r="F29" s="221"/>
    </row>
    <row r="30" spans="1:7" x14ac:dyDescent="0.25">
      <c r="A30" s="438" t="str">
        <f>CONCATENATE("Additionally, do your ",inputPrYr!C5-1," receipts contain a reimbursement (e.g. FEMA)?  If so, instead of showing")</f>
        <v>Additionally, do your 2024 receipts contain a reimbursement (e.g. FEMA)?  If so, instead of showing</v>
      </c>
      <c r="B30" s="221"/>
      <c r="C30" s="221"/>
      <c r="D30" s="221"/>
      <c r="E30" s="221"/>
      <c r="F30" s="221"/>
    </row>
    <row r="31" spans="1:7" x14ac:dyDescent="0.25">
      <c r="A31" s="438" t="s">
        <v>644</v>
      </c>
      <c r="B31" s="221"/>
      <c r="C31" s="221"/>
      <c r="D31" s="221"/>
      <c r="E31" s="221"/>
      <c r="F31" s="221"/>
    </row>
    <row r="32" spans="1:7" x14ac:dyDescent="0.25">
      <c r="A32" s="438"/>
      <c r="B32" s="221"/>
      <c r="C32" s="221"/>
      <c r="D32" s="221"/>
      <c r="E32" s="221"/>
      <c r="F32" s="221"/>
    </row>
    <row r="33" spans="1:6" x14ac:dyDescent="0.25">
      <c r="A33" s="438" t="s">
        <v>645</v>
      </c>
      <c r="B33" s="221"/>
      <c r="C33" s="221"/>
      <c r="D33" s="221"/>
      <c r="E33" s="221"/>
      <c r="F33" s="221"/>
    </row>
    <row r="34" spans="1:6" x14ac:dyDescent="0.25">
      <c r="A34" s="438" t="s">
        <v>646</v>
      </c>
      <c r="B34" s="221"/>
      <c r="C34" s="221"/>
      <c r="D34" s="221"/>
      <c r="E34" s="221"/>
      <c r="F34" s="221"/>
    </row>
    <row r="35" spans="1:6" x14ac:dyDescent="0.25">
      <c r="A35" s="438" t="s">
        <v>647</v>
      </c>
      <c r="B35" s="221"/>
      <c r="C35" s="221"/>
      <c r="D35" s="221"/>
      <c r="E35" s="221"/>
      <c r="F35" s="221"/>
    </row>
    <row r="36" spans="1:6" x14ac:dyDescent="0.25">
      <c r="A36" s="438" t="s">
        <v>648</v>
      </c>
      <c r="B36" s="221"/>
      <c r="C36" s="221"/>
      <c r="D36" s="221"/>
      <c r="E36" s="221"/>
      <c r="F36" s="221"/>
    </row>
    <row r="37" spans="1:6" x14ac:dyDescent="0.25">
      <c r="A37" s="438" t="s">
        <v>263</v>
      </c>
      <c r="B37" s="221"/>
      <c r="C37" s="221"/>
      <c r="D37" s="221"/>
      <c r="E37" s="221"/>
      <c r="F37" s="221"/>
    </row>
    <row r="38" spans="1:6" x14ac:dyDescent="0.25">
      <c r="A38" s="438"/>
      <c r="B38" s="221"/>
      <c r="C38" s="221"/>
      <c r="D38" s="221"/>
      <c r="E38" s="221"/>
      <c r="F38" s="221"/>
    </row>
    <row r="39" spans="1:6" x14ac:dyDescent="0.25">
      <c r="A39" s="438" t="s">
        <v>586</v>
      </c>
      <c r="B39" s="221"/>
      <c r="C39" s="221"/>
      <c r="D39" s="221"/>
      <c r="E39" s="221"/>
      <c r="F39" s="221"/>
    </row>
    <row r="40" spans="1:6" x14ac:dyDescent="0.25">
      <c r="A40" s="438" t="s">
        <v>587</v>
      </c>
      <c r="B40" s="221"/>
      <c r="C40" s="221"/>
      <c r="D40" s="221"/>
      <c r="E40" s="221"/>
      <c r="F40" s="221"/>
    </row>
    <row r="41" spans="1:6" x14ac:dyDescent="0.25">
      <c r="A41" s="438"/>
      <c r="B41" s="221"/>
      <c r="C41" s="221"/>
      <c r="D41" s="221"/>
      <c r="E41" s="221"/>
      <c r="F41" s="221"/>
    </row>
    <row r="42" spans="1:6" x14ac:dyDescent="0.25">
      <c r="A42" s="438" t="s">
        <v>649</v>
      </c>
      <c r="B42" s="221"/>
      <c r="C42" s="221"/>
      <c r="D42" s="221"/>
      <c r="E42" s="221"/>
      <c r="F42" s="221"/>
    </row>
    <row r="43" spans="1:6" x14ac:dyDescent="0.25">
      <c r="A43" s="438" t="s">
        <v>650</v>
      </c>
      <c r="B43" s="221"/>
      <c r="C43" s="221"/>
      <c r="D43" s="221"/>
      <c r="E43" s="221"/>
      <c r="F43" s="221"/>
    </row>
    <row r="44" spans="1:6" x14ac:dyDescent="0.25">
      <c r="A44" s="438" t="s">
        <v>651</v>
      </c>
      <c r="B44" s="221"/>
      <c r="C44" s="221"/>
      <c r="D44" s="221"/>
      <c r="E44" s="221"/>
      <c r="F44" s="221"/>
    </row>
    <row r="45" spans="1:6" x14ac:dyDescent="0.25">
      <c r="A45" s="438"/>
      <c r="B45" s="221"/>
      <c r="C45" s="221"/>
      <c r="D45" s="221"/>
      <c r="E45" s="221"/>
      <c r="F45" s="221"/>
    </row>
    <row r="46" spans="1:6" x14ac:dyDescent="0.25">
      <c r="A46" s="438" t="s">
        <v>652</v>
      </c>
      <c r="B46" s="221"/>
      <c r="C46" s="221"/>
      <c r="D46" s="221"/>
      <c r="E46" s="221"/>
      <c r="F46" s="221"/>
    </row>
    <row r="47" spans="1:6" x14ac:dyDescent="0.25">
      <c r="A47" s="438" t="s">
        <v>653</v>
      </c>
      <c r="B47" s="221"/>
      <c r="C47" s="221"/>
      <c r="D47" s="221"/>
      <c r="E47" s="221"/>
      <c r="F47" s="221"/>
    </row>
    <row r="48" spans="1:6" x14ac:dyDescent="0.25">
      <c r="A48" s="438" t="s">
        <v>654</v>
      </c>
    </row>
    <row r="50" spans="1:1" x14ac:dyDescent="0.25">
      <c r="A50" s="2" t="s">
        <v>655</v>
      </c>
    </row>
    <row r="51" spans="1:1" x14ac:dyDescent="0.25">
      <c r="A51" s="2" t="s">
        <v>656</v>
      </c>
    </row>
    <row r="52" spans="1:1" x14ac:dyDescent="0.25">
      <c r="A52" s="2" t="s">
        <v>657</v>
      </c>
    </row>
    <row r="53" spans="1:1" x14ac:dyDescent="0.25">
      <c r="A53" s="2" t="s">
        <v>658</v>
      </c>
    </row>
    <row r="55" spans="1:1" x14ac:dyDescent="0.25">
      <c r="A55" s="2" t="s">
        <v>265</v>
      </c>
    </row>
  </sheetData>
  <sheetProtection sheet="1" objects="1" scenarios="1"/>
  <mergeCells count="1">
    <mergeCell ref="A1:A2"/>
  </mergeCells>
  <pageMargins left="0.7" right="0.7" top="0.75" bottom="0.75" header="0.3" footer="0.3"/>
  <pageSetup orientation="portrait" r:id="rId1"/>
  <headerFooter>
    <oddFooter>&amp;Lrevised 10/2/09</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62628-2E0D-4D67-8351-AA1F83AC2339}">
  <sheetPr>
    <tabColor rgb="FFFF0000"/>
  </sheetPr>
  <dimension ref="A1:G59"/>
  <sheetViews>
    <sheetView workbookViewId="0">
      <selection activeCell="C26" sqref="C26:C27"/>
    </sheetView>
  </sheetViews>
  <sheetFormatPr defaultRowHeight="15.75" x14ac:dyDescent="0.25"/>
  <cols>
    <col min="1" max="1" width="66.77734375" style="2" customWidth="1"/>
  </cols>
  <sheetData>
    <row r="1" spans="1:7" ht="15.75" customHeight="1" x14ac:dyDescent="0.2">
      <c r="A1" s="737" t="s">
        <v>378</v>
      </c>
    </row>
    <row r="2" spans="1:7" ht="15.75" customHeight="1" x14ac:dyDescent="0.2">
      <c r="A2" s="737"/>
    </row>
    <row r="3" spans="1:7" x14ac:dyDescent="0.25">
      <c r="A3" s="435" t="s">
        <v>273</v>
      </c>
      <c r="B3" s="220"/>
      <c r="C3" s="220"/>
      <c r="D3" s="220"/>
      <c r="E3" s="220"/>
      <c r="F3" s="220"/>
      <c r="G3" s="220"/>
    </row>
    <row r="4" spans="1:7" x14ac:dyDescent="0.25">
      <c r="A4" s="435"/>
      <c r="B4" s="220"/>
      <c r="C4" s="220"/>
      <c r="D4" s="220"/>
      <c r="E4" s="220"/>
      <c r="F4" s="220"/>
      <c r="G4" s="220"/>
    </row>
    <row r="5" spans="1:7" x14ac:dyDescent="0.25">
      <c r="A5" s="2" t="str">
        <f>CONCATENATE("Welcome.  You have been directed to this tab because your ",inputPrYr!C5," estimated expenditures show")</f>
        <v>Welcome.  You have been directed to this tab because your 2025 estimated expenditures show</v>
      </c>
    </row>
    <row r="6" spans="1:7" x14ac:dyDescent="0.25">
      <c r="A6" s="2" t="s">
        <v>659</v>
      </c>
    </row>
    <row r="8" spans="1:7" x14ac:dyDescent="0.25">
      <c r="A8" s="2" t="s">
        <v>604</v>
      </c>
    </row>
    <row r="9" spans="1:7" x14ac:dyDescent="0.25">
      <c r="A9" s="2" t="s">
        <v>269</v>
      </c>
    </row>
    <row r="10" spans="1:7" x14ac:dyDescent="0.25">
      <c r="A10" s="435"/>
      <c r="B10" s="220"/>
      <c r="C10" s="220"/>
      <c r="D10" s="220"/>
      <c r="E10" s="220"/>
      <c r="F10" s="220"/>
      <c r="G10" s="220"/>
    </row>
    <row r="11" spans="1:7" x14ac:dyDescent="0.25">
      <c r="A11" s="436" t="s">
        <v>275</v>
      </c>
    </row>
    <row r="13" spans="1:7" x14ac:dyDescent="0.25">
      <c r="A13" s="2" t="s">
        <v>660</v>
      </c>
    </row>
    <row r="14" spans="1:7" x14ac:dyDescent="0.25">
      <c r="A14" s="2" t="s">
        <v>276</v>
      </c>
    </row>
    <row r="16" spans="1:7" x14ac:dyDescent="0.25">
      <c r="A16" s="2" t="s">
        <v>661</v>
      </c>
    </row>
    <row r="17" spans="1:7" x14ac:dyDescent="0.25">
      <c r="A17" s="2" t="s">
        <v>662</v>
      </c>
    </row>
    <row r="19" spans="1:7" x14ac:dyDescent="0.25">
      <c r="A19" s="436" t="s">
        <v>272</v>
      </c>
    </row>
    <row r="20" spans="1:7" x14ac:dyDescent="0.25">
      <c r="A20" s="436"/>
    </row>
    <row r="21" spans="1:7" x14ac:dyDescent="0.25">
      <c r="A21" s="2" t="s">
        <v>663</v>
      </c>
    </row>
    <row r="22" spans="1:7" x14ac:dyDescent="0.25">
      <c r="A22" s="2" t="s">
        <v>664</v>
      </c>
      <c r="B22" s="221"/>
      <c r="C22" s="221"/>
      <c r="D22" s="221"/>
      <c r="E22" s="221"/>
      <c r="F22" s="221"/>
    </row>
    <row r="23" spans="1:7" x14ac:dyDescent="0.25">
      <c r="B23" s="221"/>
      <c r="C23" s="221"/>
      <c r="D23" s="221"/>
      <c r="E23" s="221"/>
      <c r="F23" s="221"/>
    </row>
    <row r="25" spans="1:7" x14ac:dyDescent="0.25">
      <c r="A25" s="436" t="s">
        <v>641</v>
      </c>
      <c r="B25" s="222"/>
      <c r="C25" s="222"/>
      <c r="D25" s="222"/>
      <c r="E25" s="222"/>
      <c r="F25" s="222"/>
      <c r="G25" s="222"/>
    </row>
    <row r="26" spans="1:7" x14ac:dyDescent="0.25">
      <c r="A26" s="436"/>
      <c r="B26" s="222"/>
      <c r="C26" s="222"/>
      <c r="D26" s="222"/>
      <c r="E26" s="222"/>
      <c r="F26" s="222"/>
      <c r="G26" s="222"/>
    </row>
    <row r="27" spans="1:7" x14ac:dyDescent="0.25">
      <c r="A27" s="2" t="s">
        <v>665</v>
      </c>
      <c r="B27" s="221"/>
      <c r="C27" s="221"/>
      <c r="D27" s="221"/>
      <c r="E27" s="221"/>
      <c r="F27" s="221"/>
      <c r="G27" s="221"/>
    </row>
    <row r="28" spans="1:7" x14ac:dyDescent="0.25">
      <c r="A28" s="2" t="s">
        <v>666</v>
      </c>
      <c r="B28" s="221"/>
      <c r="C28" s="221"/>
      <c r="D28" s="221"/>
      <c r="E28" s="221"/>
      <c r="F28" s="221"/>
      <c r="G28" s="221"/>
    </row>
    <row r="29" spans="1:7" x14ac:dyDescent="0.25">
      <c r="A29" s="2" t="s">
        <v>667</v>
      </c>
      <c r="B29" s="221"/>
      <c r="C29" s="221"/>
      <c r="D29" s="221"/>
      <c r="E29" s="221"/>
      <c r="F29" s="221"/>
      <c r="G29" s="221"/>
    </row>
    <row r="30" spans="1:7" x14ac:dyDescent="0.25">
      <c r="A30" s="436"/>
      <c r="B30" s="222"/>
      <c r="C30" s="222"/>
      <c r="D30" s="222"/>
      <c r="E30" s="222"/>
      <c r="F30" s="222"/>
      <c r="G30" s="222"/>
    </row>
    <row r="31" spans="1:7" x14ac:dyDescent="0.25">
      <c r="A31" s="438" t="str">
        <f>CONCATENATE("So, let's look to see if any of your ",inputPrYr!C5-1," expenditures can be reduced or eliminated. For example,")</f>
        <v>So, let's look to see if any of your 2024 expenditures can be reduced or eliminated. For example,</v>
      </c>
      <c r="B31" s="221"/>
      <c r="C31" s="221"/>
      <c r="D31" s="221"/>
      <c r="E31" s="221"/>
      <c r="F31" s="221"/>
    </row>
    <row r="32" spans="1:7" x14ac:dyDescent="0.25">
      <c r="A32" s="438" t="s">
        <v>579</v>
      </c>
      <c r="B32" s="221"/>
      <c r="C32" s="221"/>
      <c r="D32" s="221"/>
      <c r="E32" s="221"/>
      <c r="F32" s="221"/>
    </row>
    <row r="33" spans="1:7" x14ac:dyDescent="0.25">
      <c r="A33" s="438" t="s">
        <v>580</v>
      </c>
      <c r="B33" s="221"/>
      <c r="C33" s="221"/>
      <c r="D33" s="221"/>
      <c r="E33" s="221"/>
      <c r="F33" s="221"/>
    </row>
    <row r="35" spans="1:7" x14ac:dyDescent="0.25">
      <c r="A35" s="438" t="str">
        <f>CONCATENATE("Additionally, do your ",inputPrYr!C5-1," receipts contain a reimbursement (e.g. FEMA)?  If so, instead of")</f>
        <v>Additionally, do your 2024 receipts contain a reimbursement (e.g. FEMA)?  If so, instead of</v>
      </c>
      <c r="B35" s="221"/>
      <c r="C35" s="221"/>
      <c r="D35" s="221"/>
      <c r="E35" s="221"/>
      <c r="F35" s="221"/>
    </row>
    <row r="36" spans="1:7" x14ac:dyDescent="0.25">
      <c r="A36" s="438" t="s">
        <v>668</v>
      </c>
      <c r="B36" s="221"/>
      <c r="C36" s="221"/>
      <c r="D36" s="221"/>
      <c r="E36" s="221"/>
      <c r="F36" s="221"/>
    </row>
    <row r="37" spans="1:7" x14ac:dyDescent="0.25">
      <c r="B37" s="221"/>
      <c r="C37" s="221"/>
      <c r="D37" s="221"/>
      <c r="E37" s="221"/>
      <c r="F37" s="221"/>
      <c r="G37" s="221"/>
    </row>
    <row r="38" spans="1:7" x14ac:dyDescent="0.25">
      <c r="A38" s="2" t="s">
        <v>669</v>
      </c>
      <c r="B38" s="221"/>
      <c r="C38" s="221"/>
      <c r="D38" s="221"/>
      <c r="E38" s="221"/>
      <c r="F38" s="221"/>
      <c r="G38" s="221"/>
    </row>
    <row r="39" spans="1:7" x14ac:dyDescent="0.25">
      <c r="A39" s="2" t="s">
        <v>670</v>
      </c>
      <c r="B39" s="221"/>
      <c r="C39" s="221"/>
      <c r="D39" s="221"/>
      <c r="E39" s="221"/>
      <c r="F39" s="221"/>
      <c r="G39" s="221"/>
    </row>
    <row r="40" spans="1:7" x14ac:dyDescent="0.25">
      <c r="A40" s="2" t="s">
        <v>671</v>
      </c>
      <c r="B40" s="221"/>
      <c r="C40" s="221"/>
      <c r="D40" s="221"/>
      <c r="E40" s="221"/>
      <c r="F40" s="221"/>
      <c r="G40" s="221"/>
    </row>
    <row r="41" spans="1:7" x14ac:dyDescent="0.25">
      <c r="B41" s="221"/>
      <c r="C41" s="221"/>
      <c r="D41" s="221"/>
      <c r="E41" s="221"/>
      <c r="F41" s="221"/>
      <c r="G41" s="221"/>
    </row>
    <row r="42" spans="1:7" x14ac:dyDescent="0.25">
      <c r="A42" s="438" t="s">
        <v>586</v>
      </c>
      <c r="B42" s="221"/>
      <c r="C42" s="221"/>
      <c r="D42" s="221"/>
      <c r="E42" s="221"/>
      <c r="F42" s="221"/>
    </row>
    <row r="43" spans="1:7" x14ac:dyDescent="0.25">
      <c r="A43" s="438" t="s">
        <v>587</v>
      </c>
      <c r="B43" s="221"/>
      <c r="C43" s="221"/>
      <c r="D43" s="221"/>
      <c r="E43" s="221"/>
      <c r="F43" s="221"/>
    </row>
    <row r="44" spans="1:7" x14ac:dyDescent="0.25">
      <c r="A44" s="438"/>
      <c r="B44" s="221"/>
      <c r="C44" s="221"/>
      <c r="D44" s="221"/>
      <c r="E44" s="221"/>
      <c r="F44" s="221"/>
    </row>
    <row r="45" spans="1:7" x14ac:dyDescent="0.25">
      <c r="A45" s="2" t="s">
        <v>672</v>
      </c>
      <c r="B45" s="221"/>
      <c r="C45" s="221"/>
      <c r="D45" s="221"/>
      <c r="E45" s="221"/>
      <c r="F45" s="221"/>
      <c r="G45" s="221"/>
    </row>
    <row r="46" spans="1:7" x14ac:dyDescent="0.25">
      <c r="A46" s="2" t="s">
        <v>673</v>
      </c>
      <c r="B46" s="221"/>
      <c r="C46" s="221"/>
      <c r="D46" s="221"/>
      <c r="E46" s="221"/>
      <c r="F46" s="221"/>
      <c r="G46" s="221"/>
    </row>
    <row r="47" spans="1:7" x14ac:dyDescent="0.25">
      <c r="A47" s="2" t="s">
        <v>674</v>
      </c>
      <c r="B47" s="221"/>
      <c r="C47" s="221"/>
      <c r="D47" s="221"/>
      <c r="E47" s="221"/>
      <c r="F47" s="221"/>
      <c r="G47" s="221"/>
    </row>
    <row r="49" spans="1:6" x14ac:dyDescent="0.25">
      <c r="A49" s="438" t="s">
        <v>649</v>
      </c>
      <c r="B49" s="221"/>
      <c r="C49" s="221"/>
      <c r="D49" s="221"/>
      <c r="E49" s="221"/>
      <c r="F49" s="221"/>
    </row>
    <row r="50" spans="1:6" x14ac:dyDescent="0.25">
      <c r="A50" s="438" t="s">
        <v>675</v>
      </c>
      <c r="B50" s="221"/>
      <c r="C50" s="221"/>
      <c r="D50" s="221"/>
      <c r="E50" s="221"/>
      <c r="F50" s="221"/>
    </row>
    <row r="51" spans="1:6" x14ac:dyDescent="0.25">
      <c r="A51" s="438" t="s">
        <v>676</v>
      </c>
      <c r="B51" s="221"/>
      <c r="C51" s="221"/>
      <c r="D51" s="221"/>
      <c r="E51" s="221"/>
      <c r="F51" s="221"/>
    </row>
    <row r="53" spans="1:6" x14ac:dyDescent="0.25">
      <c r="A53" s="2" t="s">
        <v>265</v>
      </c>
    </row>
    <row r="59" spans="1:6" x14ac:dyDescent="0.25">
      <c r="A59" s="436"/>
    </row>
  </sheetData>
  <sheetProtection sheet="1" objects="1" scenarios="1"/>
  <mergeCells count="1">
    <mergeCell ref="A1:A2"/>
  </mergeCells>
  <pageMargins left="0.7" right="0.7" top="0.75" bottom="0.75" header="0.3" footer="0.3"/>
  <pageSetup orientation="portrait" r:id="rId1"/>
  <headerFooter>
    <oddFooter>&amp;Lrevised 10/2/09</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D17CA-DF51-4D26-96CE-42678F48A9CE}">
  <sheetPr>
    <tabColor rgb="FFFF0000"/>
  </sheetPr>
  <dimension ref="A1:G39"/>
  <sheetViews>
    <sheetView workbookViewId="0">
      <selection activeCell="C26" sqref="C26:C27"/>
    </sheetView>
  </sheetViews>
  <sheetFormatPr defaultRowHeight="15.75" x14ac:dyDescent="0.25"/>
  <cols>
    <col min="1" max="1" width="66.77734375" style="2" customWidth="1"/>
  </cols>
  <sheetData>
    <row r="1" spans="1:7" ht="15.75" customHeight="1" x14ac:dyDescent="0.2">
      <c r="A1" s="737" t="s">
        <v>377</v>
      </c>
    </row>
    <row r="2" spans="1:7" ht="15.75" customHeight="1" x14ac:dyDescent="0.2">
      <c r="A2" s="737"/>
    </row>
    <row r="3" spans="1:7" x14ac:dyDescent="0.25">
      <c r="A3" s="435" t="s">
        <v>677</v>
      </c>
      <c r="B3" s="220"/>
      <c r="C3" s="220"/>
      <c r="D3" s="220"/>
      <c r="E3" s="220"/>
      <c r="F3" s="220"/>
      <c r="G3" s="220"/>
    </row>
    <row r="4" spans="1:7" x14ac:dyDescent="0.25">
      <c r="A4" s="435"/>
      <c r="B4" s="220"/>
      <c r="C4" s="220"/>
      <c r="D4" s="220"/>
      <c r="E4" s="220"/>
      <c r="F4" s="220"/>
      <c r="G4" s="220"/>
    </row>
    <row r="5" spans="1:7" x14ac:dyDescent="0.25">
      <c r="A5" s="435"/>
      <c r="B5" s="220"/>
      <c r="C5" s="220"/>
      <c r="D5" s="220"/>
      <c r="E5" s="220"/>
      <c r="F5" s="220"/>
      <c r="G5" s="220"/>
    </row>
    <row r="6" spans="1:7" x14ac:dyDescent="0.25">
      <c r="A6" s="2" t="str">
        <f>CONCATENATE("Welcome. You have been directed to this tab because your estimated ",inputPrYr!C5," total expenditures")</f>
        <v>Welcome. You have been directed to this tab because your estimated 2025 total expenditures</v>
      </c>
    </row>
    <row r="7" spans="1:7" x14ac:dyDescent="0.25">
      <c r="A7" s="2" t="str">
        <f>CONCATENATE("your ",inputPrYr!C5," unemcumbered cash balance Dec 31.")</f>
        <v>your 2025 unemcumbered cash balance Dec 31.</v>
      </c>
    </row>
    <row r="9" spans="1:7" x14ac:dyDescent="0.25">
      <c r="A9" s="2" t="s">
        <v>678</v>
      </c>
    </row>
    <row r="10" spans="1:7" x14ac:dyDescent="0.25">
      <c r="A10" s="2" t="s">
        <v>679</v>
      </c>
    </row>
    <row r="12" spans="1:7" x14ac:dyDescent="0.25">
      <c r="A12" s="436" t="s">
        <v>277</v>
      </c>
    </row>
    <row r="13" spans="1:7" x14ac:dyDescent="0.25">
      <c r="A13" s="435"/>
      <c r="B13" s="220"/>
      <c r="C13" s="220"/>
      <c r="D13" s="220"/>
      <c r="E13" s="220"/>
      <c r="F13" s="220"/>
      <c r="G13" s="220"/>
    </row>
    <row r="14" spans="1:7" x14ac:dyDescent="0.25">
      <c r="A14" s="2" t="s">
        <v>680</v>
      </c>
    </row>
    <row r="15" spans="1:7" x14ac:dyDescent="0.25">
      <c r="A15" s="2" t="s">
        <v>681</v>
      </c>
    </row>
    <row r="17" spans="1:1" x14ac:dyDescent="0.25">
      <c r="A17" s="436" t="s">
        <v>278</v>
      </c>
    </row>
    <row r="19" spans="1:1" x14ac:dyDescent="0.25">
      <c r="A19" s="2" t="s">
        <v>682</v>
      </c>
    </row>
    <row r="20" spans="1:1" x14ac:dyDescent="0.25">
      <c r="A20" s="2" t="s">
        <v>683</v>
      </c>
    </row>
    <row r="22" spans="1:1" x14ac:dyDescent="0.25">
      <c r="A22" s="436" t="s">
        <v>279</v>
      </c>
    </row>
    <row r="24" spans="1:1" x14ac:dyDescent="0.25">
      <c r="A24" s="2" t="s">
        <v>684</v>
      </c>
    </row>
    <row r="25" spans="1:1" x14ac:dyDescent="0.25">
      <c r="A25" s="2" t="s">
        <v>685</v>
      </c>
    </row>
    <row r="26" spans="1:1" x14ac:dyDescent="0.25">
      <c r="A26" s="2" t="s">
        <v>686</v>
      </c>
    </row>
    <row r="28" spans="1:1" x14ac:dyDescent="0.25">
      <c r="A28" s="2" t="s">
        <v>687</v>
      </c>
    </row>
    <row r="29" spans="1:1" x14ac:dyDescent="0.25">
      <c r="A29" s="2" t="s">
        <v>688</v>
      </c>
    </row>
    <row r="30" spans="1:1" x14ac:dyDescent="0.25">
      <c r="A30" s="2" t="s">
        <v>689</v>
      </c>
    </row>
    <row r="32" spans="1:1" x14ac:dyDescent="0.25">
      <c r="A32" s="2" t="s">
        <v>690</v>
      </c>
    </row>
    <row r="33" spans="1:1" x14ac:dyDescent="0.25">
      <c r="A33" s="2" t="s">
        <v>691</v>
      </c>
    </row>
    <row r="34" spans="1:1" x14ac:dyDescent="0.25">
      <c r="A34" s="2" t="s">
        <v>692</v>
      </c>
    </row>
    <row r="36" spans="1:1" x14ac:dyDescent="0.25">
      <c r="A36" s="2" t="s">
        <v>693</v>
      </c>
    </row>
    <row r="37" spans="1:1" x14ac:dyDescent="0.25">
      <c r="A37" s="2" t="s">
        <v>694</v>
      </c>
    </row>
    <row r="39" spans="1:1" x14ac:dyDescent="0.25">
      <c r="A39" s="2" t="s">
        <v>265</v>
      </c>
    </row>
  </sheetData>
  <sheetProtection sheet="1" objects="1" scenarios="1"/>
  <mergeCells count="1">
    <mergeCell ref="A1:A2"/>
  </mergeCells>
  <pageMargins left="0.7" right="0.7" top="0.75" bottom="0.75" header="0.3" footer="0.3"/>
  <pageSetup orientation="portrait" r:id="rId1"/>
  <headerFooter>
    <oddFooter>&amp;Lrevised 10/2/09</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7294A-A560-4BE7-A813-45D1674AAC46}">
  <dimension ref="A1:N245"/>
  <sheetViews>
    <sheetView workbookViewId="0">
      <selection activeCell="C26" sqref="C26:C27"/>
    </sheetView>
  </sheetViews>
  <sheetFormatPr defaultRowHeight="15" x14ac:dyDescent="0.2"/>
  <cols>
    <col min="1" max="1" width="3.44140625" customWidth="1"/>
    <col min="2" max="2" width="8" customWidth="1"/>
  </cols>
  <sheetData>
    <row r="1" spans="1:5" ht="15.75" customHeight="1" x14ac:dyDescent="0.2"/>
    <row r="2" spans="1:5" ht="9.75" customHeight="1" x14ac:dyDescent="0.2"/>
    <row r="3" spans="1:5" ht="18" x14ac:dyDescent="0.25">
      <c r="A3" s="530" t="s">
        <v>358</v>
      </c>
    </row>
    <row r="4" spans="1:5" ht="9.75" customHeight="1" x14ac:dyDescent="0.55000000000000004">
      <c r="B4" s="531"/>
    </row>
    <row r="5" spans="1:5" ht="15.75" x14ac:dyDescent="0.2">
      <c r="B5" s="532" t="s">
        <v>695</v>
      </c>
    </row>
    <row r="6" spans="1:5" ht="8.1" customHeight="1" x14ac:dyDescent="0.2">
      <c r="B6" s="532"/>
    </row>
    <row r="7" spans="1:5" ht="15.75" x14ac:dyDescent="0.2">
      <c r="B7" s="532" t="s">
        <v>696</v>
      </c>
    </row>
    <row r="8" spans="1:5" ht="15.75" x14ac:dyDescent="0.2">
      <c r="B8" s="533" t="s">
        <v>697</v>
      </c>
    </row>
    <row r="9" spans="1:5" ht="8.1" customHeight="1" x14ac:dyDescent="0.2">
      <c r="B9" s="533"/>
    </row>
    <row r="10" spans="1:5" ht="15.75" x14ac:dyDescent="0.2">
      <c r="C10" s="534" t="s">
        <v>698</v>
      </c>
      <c r="D10" s="532" t="s">
        <v>699</v>
      </c>
    </row>
    <row r="11" spans="1:5" ht="15.75" customHeight="1" x14ac:dyDescent="0.2">
      <c r="B11" s="532"/>
      <c r="D11" s="532" t="s">
        <v>700</v>
      </c>
    </row>
    <row r="12" spans="1:5" ht="15.75" customHeight="1" x14ac:dyDescent="0.2">
      <c r="B12" s="532"/>
      <c r="D12" s="532"/>
    </row>
    <row r="13" spans="1:5" ht="15.75" customHeight="1" x14ac:dyDescent="0.2">
      <c r="B13" s="532" t="s">
        <v>701</v>
      </c>
      <c r="E13" s="532" t="s">
        <v>702</v>
      </c>
    </row>
    <row r="14" spans="1:5" ht="15.75" customHeight="1" x14ac:dyDescent="0.2">
      <c r="B14" s="532"/>
      <c r="E14" s="532" t="s">
        <v>703</v>
      </c>
    </row>
    <row r="15" spans="1:5" ht="15.75" customHeight="1" x14ac:dyDescent="0.2">
      <c r="B15" s="532"/>
      <c r="E15" s="532" t="s">
        <v>704</v>
      </c>
    </row>
    <row r="16" spans="1:5" ht="15.75" customHeight="1" x14ac:dyDescent="0.2">
      <c r="B16" s="532"/>
      <c r="E16" s="532" t="s">
        <v>705</v>
      </c>
    </row>
    <row r="17" spans="2:5" ht="15.75" customHeight="1" x14ac:dyDescent="0.2">
      <c r="B17" s="532"/>
      <c r="E17" s="532"/>
    </row>
    <row r="18" spans="2:5" ht="15.75" customHeight="1" x14ac:dyDescent="0.2">
      <c r="B18" s="532"/>
      <c r="E18" s="532"/>
    </row>
    <row r="19" spans="2:5" ht="15.75" customHeight="1" x14ac:dyDescent="0.2">
      <c r="B19" s="532"/>
      <c r="E19" s="532"/>
    </row>
    <row r="20" spans="2:5" ht="15.75" customHeight="1" x14ac:dyDescent="0.2">
      <c r="B20" s="532"/>
      <c r="E20" s="532"/>
    </row>
    <row r="21" spans="2:5" ht="15.75" customHeight="1" x14ac:dyDescent="0.2">
      <c r="B21" s="532"/>
      <c r="E21" s="532"/>
    </row>
    <row r="22" spans="2:5" ht="15.75" customHeight="1" x14ac:dyDescent="0.2">
      <c r="B22" s="532"/>
      <c r="E22" s="532"/>
    </row>
    <row r="23" spans="2:5" ht="15.75" customHeight="1" x14ac:dyDescent="0.2">
      <c r="B23" s="532"/>
      <c r="E23" s="532"/>
    </row>
    <row r="24" spans="2:5" ht="15.75" customHeight="1" x14ac:dyDescent="0.2">
      <c r="B24" s="532"/>
      <c r="E24" s="532"/>
    </row>
    <row r="25" spans="2:5" ht="15.75" customHeight="1" x14ac:dyDescent="0.2">
      <c r="B25" s="532"/>
      <c r="E25" s="532"/>
    </row>
    <row r="26" spans="2:5" ht="15.75" customHeight="1" x14ac:dyDescent="0.2">
      <c r="B26" s="532"/>
      <c r="E26" s="532"/>
    </row>
    <row r="27" spans="2:5" ht="15.75" customHeight="1" x14ac:dyDescent="0.2">
      <c r="B27" s="532"/>
      <c r="E27" s="532"/>
    </row>
    <row r="28" spans="2:5" ht="15.75" customHeight="1" x14ac:dyDescent="0.2">
      <c r="B28" s="532"/>
      <c r="E28" s="532"/>
    </row>
    <row r="29" spans="2:5" ht="15.75" customHeight="1" x14ac:dyDescent="0.2">
      <c r="B29" s="532"/>
      <c r="E29" s="532"/>
    </row>
    <row r="30" spans="2:5" ht="15.75" customHeight="1" x14ac:dyDescent="0.2">
      <c r="B30" s="532"/>
      <c r="E30" s="532"/>
    </row>
    <row r="31" spans="2:5" ht="15.75" customHeight="1" x14ac:dyDescent="0.2">
      <c r="B31" s="532"/>
      <c r="E31" s="532"/>
    </row>
    <row r="32" spans="2:5" ht="15.75" customHeight="1" x14ac:dyDescent="0.2">
      <c r="B32" s="532"/>
      <c r="E32" s="532"/>
    </row>
    <row r="33" spans="2:5" ht="15.75" customHeight="1" x14ac:dyDescent="0.2">
      <c r="B33" s="532"/>
      <c r="E33" s="532"/>
    </row>
    <row r="34" spans="2:5" ht="15.75" customHeight="1" x14ac:dyDescent="0.2">
      <c r="B34" s="532"/>
      <c r="E34" s="532"/>
    </row>
    <row r="35" spans="2:5" ht="15.75" customHeight="1" x14ac:dyDescent="0.2">
      <c r="B35" s="532"/>
      <c r="E35" s="532"/>
    </row>
    <row r="36" spans="2:5" ht="15.75" customHeight="1" x14ac:dyDescent="0.2">
      <c r="B36" s="532" t="s">
        <v>706</v>
      </c>
      <c r="D36" s="532"/>
      <c r="E36" s="532" t="s">
        <v>707</v>
      </c>
    </row>
    <row r="37" spans="2:5" ht="15.75" customHeight="1" x14ac:dyDescent="0.2">
      <c r="B37" s="532"/>
      <c r="D37" s="532"/>
      <c r="E37" s="532" t="s">
        <v>708</v>
      </c>
    </row>
    <row r="38" spans="2:5" ht="15.75" customHeight="1" x14ac:dyDescent="0.2">
      <c r="B38" s="532"/>
      <c r="D38" s="532"/>
      <c r="E38" s="532" t="s">
        <v>709</v>
      </c>
    </row>
    <row r="39" spans="2:5" ht="15.75" customHeight="1" x14ac:dyDescent="0.2">
      <c r="B39" s="532"/>
      <c r="D39" s="532"/>
      <c r="E39" s="532" t="s">
        <v>710</v>
      </c>
    </row>
    <row r="40" spans="2:5" ht="15.75" customHeight="1" x14ac:dyDescent="0.2"/>
    <row r="41" spans="2:5" ht="15.75" customHeight="1" x14ac:dyDescent="0.2">
      <c r="B41" s="532" t="s">
        <v>358</v>
      </c>
      <c r="E41" s="535" t="s">
        <v>711</v>
      </c>
    </row>
    <row r="42" spans="2:5" ht="15.75" customHeight="1" x14ac:dyDescent="0.2">
      <c r="B42" s="532"/>
      <c r="E42" s="535"/>
    </row>
    <row r="43" spans="2:5" ht="15.75" customHeight="1" x14ac:dyDescent="0.2">
      <c r="E43" s="535"/>
    </row>
    <row r="44" spans="2:5" ht="15.75" customHeight="1" x14ac:dyDescent="0.2">
      <c r="B44" s="532" t="s">
        <v>712</v>
      </c>
      <c r="D44" s="532"/>
      <c r="E44" s="535" t="s">
        <v>713</v>
      </c>
    </row>
    <row r="45" spans="2:5" ht="15.75" customHeight="1" x14ac:dyDescent="0.2">
      <c r="B45" s="532"/>
      <c r="D45" s="532"/>
      <c r="E45" s="532"/>
    </row>
    <row r="46" spans="2:5" ht="15.75" customHeight="1" x14ac:dyDescent="0.2">
      <c r="B46" s="532"/>
      <c r="D46" s="532"/>
    </row>
    <row r="47" spans="2:5" ht="15.75" customHeight="1" x14ac:dyDescent="0.2">
      <c r="B47" s="532"/>
      <c r="D47" s="532"/>
    </row>
    <row r="48" spans="2:5" ht="15.75" customHeight="1" x14ac:dyDescent="0.2">
      <c r="B48" s="532"/>
      <c r="D48" s="532"/>
    </row>
    <row r="49" spans="1:14" ht="15.75" customHeight="1" x14ac:dyDescent="0.2">
      <c r="B49" s="532"/>
      <c r="D49" s="532"/>
    </row>
    <row r="50" spans="1:14" ht="15.75" customHeight="1" x14ac:dyDescent="0.2">
      <c r="B50" s="532"/>
      <c r="D50" s="532"/>
    </row>
    <row r="51" spans="1:14" ht="15.75" customHeight="1" x14ac:dyDescent="0.2">
      <c r="B51" s="532"/>
      <c r="D51" s="532"/>
    </row>
    <row r="52" spans="1:14" ht="15.75" customHeight="1" x14ac:dyDescent="0.2">
      <c r="B52" s="532"/>
      <c r="D52" s="532"/>
    </row>
    <row r="53" spans="1:14" ht="15.75" customHeight="1" x14ac:dyDescent="0.2">
      <c r="B53" s="532"/>
      <c r="D53" s="532"/>
    </row>
    <row r="54" spans="1:14" ht="15.75" customHeight="1" x14ac:dyDescent="0.2">
      <c r="B54" s="532"/>
      <c r="D54" s="532"/>
    </row>
    <row r="55" spans="1:14" ht="15.75" customHeight="1" x14ac:dyDescent="0.2">
      <c r="B55" s="532"/>
    </row>
    <row r="56" spans="1:14" ht="15.75" customHeight="1" x14ac:dyDescent="0.2">
      <c r="B56" s="532"/>
    </row>
    <row r="57" spans="1:14" ht="15.75" customHeight="1" x14ac:dyDescent="0.2">
      <c r="B57" s="532"/>
    </row>
    <row r="58" spans="1:14" ht="15.75" customHeight="1" x14ac:dyDescent="0.2">
      <c r="B58" s="532"/>
    </row>
    <row r="59" spans="1:14" ht="3" customHeight="1" x14ac:dyDescent="0.2">
      <c r="A59" s="536"/>
      <c r="B59" s="537"/>
      <c r="C59" s="536"/>
      <c r="D59" s="536"/>
      <c r="E59" s="536"/>
      <c r="F59" s="536"/>
      <c r="G59" s="536"/>
      <c r="H59" s="536"/>
      <c r="I59" s="536"/>
      <c r="J59" s="536"/>
      <c r="K59" s="536"/>
      <c r="L59" s="536"/>
      <c r="M59" s="536"/>
      <c r="N59" s="536"/>
    </row>
    <row r="60" spans="1:14" ht="15.75" customHeight="1" x14ac:dyDescent="0.2">
      <c r="B60" s="532"/>
    </row>
    <row r="61" spans="1:14" ht="15.75" customHeight="1" x14ac:dyDescent="0.25">
      <c r="A61" s="738" t="s">
        <v>336</v>
      </c>
      <c r="B61" s="738"/>
      <c r="C61" s="738"/>
      <c r="D61" s="738"/>
      <c r="E61" s="738"/>
      <c r="F61" s="738"/>
      <c r="G61" s="738"/>
      <c r="H61" s="738"/>
      <c r="I61" s="738"/>
      <c r="J61" s="738"/>
      <c r="K61" s="538"/>
    </row>
    <row r="62" spans="1:14" ht="21.75" customHeight="1" x14ac:dyDescent="0.25">
      <c r="A62" s="738"/>
      <c r="B62" s="738"/>
      <c r="C62" s="738"/>
      <c r="D62" s="738"/>
      <c r="E62" s="738"/>
      <c r="F62" s="738"/>
      <c r="G62" s="738"/>
      <c r="H62" s="738"/>
      <c r="I62" s="738"/>
      <c r="J62" s="738"/>
      <c r="K62" s="538"/>
    </row>
    <row r="63" spans="1:14" ht="15.75" customHeight="1" x14ac:dyDescent="0.2">
      <c r="B63" s="532"/>
    </row>
    <row r="64" spans="1:14" ht="15.75" x14ac:dyDescent="0.2">
      <c r="B64" s="532"/>
    </row>
    <row r="65" spans="2:2" ht="18.75" customHeight="1" x14ac:dyDescent="0.2">
      <c r="B65" s="532"/>
    </row>
    <row r="66" spans="2:2" ht="13.5" customHeight="1" x14ac:dyDescent="0.2">
      <c r="B66" s="532"/>
    </row>
    <row r="67" spans="2:2" ht="15.75" x14ac:dyDescent="0.2">
      <c r="B67" s="532"/>
    </row>
    <row r="82" spans="12:12" x14ac:dyDescent="0.2">
      <c r="L82" s="395"/>
    </row>
    <row r="214" spans="1:14" ht="3" customHeight="1" x14ac:dyDescent="0.2">
      <c r="A214" s="536"/>
      <c r="B214" s="537"/>
      <c r="C214" s="536"/>
      <c r="D214" s="536"/>
      <c r="E214" s="536"/>
      <c r="F214" s="536"/>
      <c r="G214" s="536"/>
      <c r="H214" s="536"/>
      <c r="I214" s="536"/>
      <c r="J214" s="536"/>
      <c r="K214" s="536"/>
      <c r="L214" s="536"/>
      <c r="M214" s="536"/>
      <c r="N214" s="536"/>
    </row>
    <row r="217" spans="1:14" ht="18" x14ac:dyDescent="0.25">
      <c r="A217" s="539" t="s">
        <v>302</v>
      </c>
      <c r="B217" s="540"/>
    </row>
    <row r="218" spans="1:14" ht="15.75" x14ac:dyDescent="0.25">
      <c r="B218" s="2"/>
    </row>
    <row r="219" spans="1:14" ht="30" customHeight="1" x14ac:dyDescent="0.25">
      <c r="B219" s="717" t="s">
        <v>303</v>
      </c>
      <c r="C219" s="717"/>
      <c r="D219" s="717"/>
      <c r="E219" s="717"/>
      <c r="F219" s="717"/>
      <c r="G219" s="717"/>
      <c r="H219" s="717"/>
      <c r="I219" s="717"/>
      <c r="J219" s="343"/>
    </row>
    <row r="220" spans="1:14" ht="15.75" x14ac:dyDescent="0.25">
      <c r="B220" s="426" t="s">
        <v>396</v>
      </c>
    </row>
    <row r="221" spans="1:14" ht="15.75" x14ac:dyDescent="0.25">
      <c r="B221" s="2"/>
    </row>
    <row r="222" spans="1:14" ht="45.75" customHeight="1" x14ac:dyDescent="0.25">
      <c r="B222" s="717" t="s">
        <v>304</v>
      </c>
      <c r="C222" s="717"/>
      <c r="D222" s="717"/>
      <c r="E222" s="717"/>
      <c r="F222" s="717"/>
      <c r="G222" s="717"/>
      <c r="H222" s="717"/>
    </row>
    <row r="223" spans="1:14" ht="15.75" x14ac:dyDescent="0.25">
      <c r="B223" s="426" t="s">
        <v>397</v>
      </c>
    </row>
    <row r="224" spans="1:14" ht="15.75" x14ac:dyDescent="0.25">
      <c r="B224" s="2"/>
    </row>
    <row r="225" spans="2:2" ht="15.75" x14ac:dyDescent="0.25">
      <c r="B225" s="2" t="s">
        <v>398</v>
      </c>
    </row>
    <row r="226" spans="2:2" ht="15.75" x14ac:dyDescent="0.25">
      <c r="B226" s="426" t="s">
        <v>399</v>
      </c>
    </row>
    <row r="227" spans="2:2" ht="15.75" x14ac:dyDescent="0.25">
      <c r="B227" s="2"/>
    </row>
    <row r="228" spans="2:2" ht="15.75" x14ac:dyDescent="0.25">
      <c r="B228" s="2" t="s">
        <v>305</v>
      </c>
    </row>
    <row r="229" spans="2:2" ht="15.75" x14ac:dyDescent="0.25">
      <c r="B229" s="426" t="s">
        <v>400</v>
      </c>
    </row>
    <row r="230" spans="2:2" ht="15.75" x14ac:dyDescent="0.25">
      <c r="B230" s="2"/>
    </row>
    <row r="231" spans="2:2" ht="15.75" x14ac:dyDescent="0.25">
      <c r="B231" s="2" t="s">
        <v>306</v>
      </c>
    </row>
    <row r="232" spans="2:2" ht="15.75" x14ac:dyDescent="0.25">
      <c r="B232" s="426" t="s">
        <v>401</v>
      </c>
    </row>
    <row r="233" spans="2:2" ht="15.75" x14ac:dyDescent="0.25">
      <c r="B233" s="2"/>
    </row>
    <row r="234" spans="2:2" ht="15.75" x14ac:dyDescent="0.25">
      <c r="B234" s="2" t="s">
        <v>402</v>
      </c>
    </row>
    <row r="235" spans="2:2" ht="15.75" x14ac:dyDescent="0.25">
      <c r="B235" s="426" t="s">
        <v>403</v>
      </c>
    </row>
    <row r="236" spans="2:2" ht="15.75" x14ac:dyDescent="0.25">
      <c r="B236" s="2"/>
    </row>
    <row r="237" spans="2:2" ht="15.75" x14ac:dyDescent="0.25">
      <c r="B237" s="2" t="s">
        <v>307</v>
      </c>
    </row>
    <row r="238" spans="2:2" ht="15.75" x14ac:dyDescent="0.25">
      <c r="B238" s="426" t="s">
        <v>404</v>
      </c>
    </row>
    <row r="239" spans="2:2" ht="15.75" x14ac:dyDescent="0.25">
      <c r="B239" s="2"/>
    </row>
    <row r="240" spans="2:2" ht="15.75" x14ac:dyDescent="0.25">
      <c r="B240" s="2" t="s">
        <v>308</v>
      </c>
    </row>
    <row r="241" spans="2:2" ht="15.75" x14ac:dyDescent="0.25">
      <c r="B241" s="426" t="s">
        <v>405</v>
      </c>
    </row>
    <row r="242" spans="2:2" ht="15.75" x14ac:dyDescent="0.25">
      <c r="B242" s="2"/>
    </row>
    <row r="243" spans="2:2" ht="15.75" x14ac:dyDescent="0.25">
      <c r="B243" s="2" t="s">
        <v>309</v>
      </c>
    </row>
    <row r="244" spans="2:2" ht="15.75" x14ac:dyDescent="0.25">
      <c r="B244" s="426" t="s">
        <v>406</v>
      </c>
    </row>
    <row r="245" spans="2:2" ht="15.75" x14ac:dyDescent="0.25">
      <c r="B245" s="2"/>
    </row>
  </sheetData>
  <sheetProtection sheet="1" objects="1" scenarios="1"/>
  <mergeCells count="3">
    <mergeCell ref="A61:J62"/>
    <mergeCell ref="B219:I219"/>
    <mergeCell ref="B222:H222"/>
  </mergeCells>
  <hyperlinks>
    <hyperlink ref="B244" r:id="rId1" xr:uid="{FC7DC070-F2C8-4A97-80A9-EC1D1124DA52}"/>
  </hyperlinks>
  <pageMargins left="0.7" right="0.7" top="0.75" bottom="0.75" header="0.3" footer="0.3"/>
  <pageSetup orientation="landscape" r:id="rId2"/>
  <drawing r:id="rId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59CAC-9C4C-49EF-9163-BC8C23FC362C}">
  <dimension ref="A1:A320"/>
  <sheetViews>
    <sheetView workbookViewId="0">
      <selection activeCell="A7" sqref="A7"/>
    </sheetView>
  </sheetViews>
  <sheetFormatPr defaultRowHeight="15.75" x14ac:dyDescent="0.2"/>
  <cols>
    <col min="1" max="1" width="83.6640625" style="24" customWidth="1"/>
    <col min="2" max="16384" width="8.88671875" style="23"/>
  </cols>
  <sheetData>
    <row r="1" spans="1:1" x14ac:dyDescent="0.2">
      <c r="A1" s="439" t="s">
        <v>956</v>
      </c>
    </row>
    <row r="2" spans="1:1" x14ac:dyDescent="0.2">
      <c r="A2" s="24" t="s">
        <v>952</v>
      </c>
    </row>
    <row r="3" spans="1:1" x14ac:dyDescent="0.2">
      <c r="A3" s="24" t="s">
        <v>953</v>
      </c>
    </row>
    <row r="4" spans="1:1" x14ac:dyDescent="0.2">
      <c r="A4" s="23" t="s">
        <v>954</v>
      </c>
    </row>
    <row r="5" spans="1:1" x14ac:dyDescent="0.2">
      <c r="A5" s="23" t="s">
        <v>957</v>
      </c>
    </row>
    <row r="7" spans="1:1" x14ac:dyDescent="0.2">
      <c r="A7" s="439" t="s">
        <v>949</v>
      </c>
    </row>
    <row r="8" spans="1:1" x14ac:dyDescent="0.2">
      <c r="A8" s="24" t="s">
        <v>950</v>
      </c>
    </row>
    <row r="9" spans="1:1" x14ac:dyDescent="0.2">
      <c r="A9" s="24" t="s">
        <v>951</v>
      </c>
    </row>
    <row r="11" spans="1:1" x14ac:dyDescent="0.2">
      <c r="A11" s="439" t="s">
        <v>714</v>
      </c>
    </row>
    <row r="12" spans="1:1" x14ac:dyDescent="0.2">
      <c r="A12" s="24" t="s">
        <v>715</v>
      </c>
    </row>
    <row r="13" spans="1:1" x14ac:dyDescent="0.2">
      <c r="A13" s="24" t="s">
        <v>716</v>
      </c>
    </row>
    <row r="14" spans="1:1" ht="17.25" customHeight="1" x14ac:dyDescent="0.2">
      <c r="A14" s="24" t="s">
        <v>717</v>
      </c>
    </row>
    <row r="15" spans="1:1" x14ac:dyDescent="0.2">
      <c r="A15" s="24" t="s">
        <v>718</v>
      </c>
    </row>
    <row r="16" spans="1:1" x14ac:dyDescent="0.2">
      <c r="A16" s="24" t="s">
        <v>719</v>
      </c>
    </row>
    <row r="17" spans="1:1" x14ac:dyDescent="0.2">
      <c r="A17" s="24" t="s">
        <v>720</v>
      </c>
    </row>
    <row r="19" spans="1:1" x14ac:dyDescent="0.2">
      <c r="A19" s="439" t="s">
        <v>721</v>
      </c>
    </row>
    <row r="20" spans="1:1" x14ac:dyDescent="0.2">
      <c r="A20" s="24" t="s">
        <v>382</v>
      </c>
    </row>
    <row r="21" spans="1:1" x14ac:dyDescent="0.2">
      <c r="A21" s="24" t="s">
        <v>383</v>
      </c>
    </row>
    <row r="22" spans="1:1" ht="31.5" x14ac:dyDescent="0.2">
      <c r="A22" s="24" t="s">
        <v>384</v>
      </c>
    </row>
    <row r="23" spans="1:1" ht="31.5" x14ac:dyDescent="0.2">
      <c r="A23" s="24" t="s">
        <v>385</v>
      </c>
    </row>
    <row r="24" spans="1:1" x14ac:dyDescent="0.2">
      <c r="A24" s="24" t="s">
        <v>386</v>
      </c>
    </row>
    <row r="25" spans="1:1" ht="31.5" x14ac:dyDescent="0.2">
      <c r="A25" s="24" t="s">
        <v>387</v>
      </c>
    </row>
    <row r="26" spans="1:1" x14ac:dyDescent="0.2">
      <c r="A26" s="24" t="s">
        <v>388</v>
      </c>
    </row>
    <row r="27" spans="1:1" x14ac:dyDescent="0.2">
      <c r="A27" s="24" t="s">
        <v>389</v>
      </c>
    </row>
    <row r="28" spans="1:1" x14ac:dyDescent="0.2">
      <c r="A28" s="24" t="s">
        <v>390</v>
      </c>
    </row>
    <row r="29" spans="1:1" x14ac:dyDescent="0.2">
      <c r="A29" s="24" t="s">
        <v>391</v>
      </c>
    </row>
    <row r="31" spans="1:1" x14ac:dyDescent="0.2">
      <c r="A31" s="439" t="s">
        <v>372</v>
      </c>
    </row>
    <row r="32" spans="1:1" x14ac:dyDescent="0.2">
      <c r="A32" s="24" t="s">
        <v>373</v>
      </c>
    </row>
    <row r="33" spans="1:1" x14ac:dyDescent="0.2">
      <c r="A33" s="24" t="s">
        <v>374</v>
      </c>
    </row>
    <row r="34" spans="1:1" x14ac:dyDescent="0.2">
      <c r="A34" s="24" t="s">
        <v>375</v>
      </c>
    </row>
    <row r="35" spans="1:1" x14ac:dyDescent="0.2">
      <c r="A35" s="24" t="s">
        <v>376</v>
      </c>
    </row>
    <row r="36" spans="1:1" x14ac:dyDescent="0.2">
      <c r="A36" s="24" t="s">
        <v>722</v>
      </c>
    </row>
    <row r="38" spans="1:1" x14ac:dyDescent="0.25">
      <c r="A38" s="541" t="s">
        <v>723</v>
      </c>
    </row>
    <row r="39" spans="1:1" x14ac:dyDescent="0.2">
      <c r="A39" s="24" t="s">
        <v>724</v>
      </c>
    </row>
    <row r="40" spans="1:1" ht="31.5" x14ac:dyDescent="0.2">
      <c r="A40" s="24" t="s">
        <v>725</v>
      </c>
    </row>
    <row r="41" spans="1:1" x14ac:dyDescent="0.2">
      <c r="A41" s="24" t="s">
        <v>726</v>
      </c>
    </row>
    <row r="42" spans="1:1" x14ac:dyDescent="0.2">
      <c r="A42" s="24" t="s">
        <v>727</v>
      </c>
    </row>
    <row r="43" spans="1:1" x14ac:dyDescent="0.2">
      <c r="A43" s="24" t="s">
        <v>728</v>
      </c>
    </row>
    <row r="46" spans="1:1" x14ac:dyDescent="0.25">
      <c r="A46" s="541" t="s">
        <v>729</v>
      </c>
    </row>
    <row r="47" spans="1:1" x14ac:dyDescent="0.2">
      <c r="A47" s="24" t="s">
        <v>730</v>
      </c>
    </row>
    <row r="48" spans="1:1" x14ac:dyDescent="0.2">
      <c r="A48" s="24" t="s">
        <v>731</v>
      </c>
    </row>
    <row r="49" spans="1:1" x14ac:dyDescent="0.2">
      <c r="A49" s="24" t="s">
        <v>732</v>
      </c>
    </row>
    <row r="50" spans="1:1" x14ac:dyDescent="0.2">
      <c r="A50" s="24" t="s">
        <v>733</v>
      </c>
    </row>
    <row r="51" spans="1:1" x14ac:dyDescent="0.2">
      <c r="A51" s="24" t="s">
        <v>734</v>
      </c>
    </row>
    <row r="52" spans="1:1" x14ac:dyDescent="0.2">
      <c r="A52" s="24" t="s">
        <v>735</v>
      </c>
    </row>
    <row r="54" spans="1:1" x14ac:dyDescent="0.25">
      <c r="A54" s="541" t="s">
        <v>736</v>
      </c>
    </row>
    <row r="55" spans="1:1" x14ac:dyDescent="0.2">
      <c r="A55" s="24" t="s">
        <v>737</v>
      </c>
    </row>
    <row r="56" spans="1:1" x14ac:dyDescent="0.2">
      <c r="A56" s="24" t="s">
        <v>738</v>
      </c>
    </row>
    <row r="57" spans="1:1" x14ac:dyDescent="0.2">
      <c r="A57" s="24" t="s">
        <v>739</v>
      </c>
    </row>
    <row r="58" spans="1:1" x14ac:dyDescent="0.2">
      <c r="A58" s="24" t="s">
        <v>740</v>
      </c>
    </row>
    <row r="59" spans="1:1" x14ac:dyDescent="0.2">
      <c r="A59" s="24" t="s">
        <v>741</v>
      </c>
    </row>
    <row r="60" spans="1:1" x14ac:dyDescent="0.2">
      <c r="A60" s="24" t="s">
        <v>742</v>
      </c>
    </row>
    <row r="61" spans="1:1" x14ac:dyDescent="0.2">
      <c r="A61" s="24" t="s">
        <v>743</v>
      </c>
    </row>
    <row r="62" spans="1:1" x14ac:dyDescent="0.2">
      <c r="A62" s="24" t="s">
        <v>744</v>
      </c>
    </row>
    <row r="64" spans="1:1" x14ac:dyDescent="0.25">
      <c r="A64" s="541" t="s">
        <v>745</v>
      </c>
    </row>
    <row r="65" spans="1:1" x14ac:dyDescent="0.2">
      <c r="A65" s="542" t="s">
        <v>746</v>
      </c>
    </row>
    <row r="66" spans="1:1" x14ac:dyDescent="0.2">
      <c r="A66" s="542" t="s">
        <v>747</v>
      </c>
    </row>
    <row r="68" spans="1:1" x14ac:dyDescent="0.25">
      <c r="A68" s="543" t="s">
        <v>748</v>
      </c>
    </row>
    <row r="69" spans="1:1" x14ac:dyDescent="0.25">
      <c r="A69" s="343" t="s">
        <v>353</v>
      </c>
    </row>
    <row r="71" spans="1:1" x14ac:dyDescent="0.25">
      <c r="A71" s="543" t="s">
        <v>749</v>
      </c>
    </row>
    <row r="72" spans="1:1" x14ac:dyDescent="0.25">
      <c r="A72" s="343" t="s">
        <v>750</v>
      </c>
    </row>
    <row r="73" spans="1:1" x14ac:dyDescent="0.25">
      <c r="A73" s="343" t="s">
        <v>751</v>
      </c>
    </row>
    <row r="74" spans="1:1" x14ac:dyDescent="0.25">
      <c r="A74" s="343" t="s">
        <v>752</v>
      </c>
    </row>
    <row r="75" spans="1:1" x14ac:dyDescent="0.25">
      <c r="A75" s="343" t="s">
        <v>753</v>
      </c>
    </row>
    <row r="76" spans="1:1" x14ac:dyDescent="0.25">
      <c r="A76" s="343" t="s">
        <v>754</v>
      </c>
    </row>
    <row r="77" spans="1:1" x14ac:dyDescent="0.25">
      <c r="A77" s="343" t="s">
        <v>755</v>
      </c>
    </row>
    <row r="79" spans="1:1" x14ac:dyDescent="0.2">
      <c r="A79" s="544" t="s">
        <v>756</v>
      </c>
    </row>
    <row r="80" spans="1:1" x14ac:dyDescent="0.2">
      <c r="A80" s="542" t="s">
        <v>351</v>
      </c>
    </row>
    <row r="81" spans="1:1" x14ac:dyDescent="0.2">
      <c r="A81" s="24" t="s">
        <v>757</v>
      </c>
    </row>
    <row r="83" spans="1:1" x14ac:dyDescent="0.2">
      <c r="A83" s="544" t="s">
        <v>758</v>
      </c>
    </row>
    <row r="84" spans="1:1" x14ac:dyDescent="0.2">
      <c r="A84" s="542" t="s">
        <v>350</v>
      </c>
    </row>
    <row r="86" spans="1:1" x14ac:dyDescent="0.2">
      <c r="A86" s="544" t="s">
        <v>759</v>
      </c>
    </row>
    <row r="87" spans="1:1" x14ac:dyDescent="0.2">
      <c r="A87" s="542" t="s">
        <v>760</v>
      </c>
    </row>
    <row r="89" spans="1:1" x14ac:dyDescent="0.2">
      <c r="A89" s="544" t="s">
        <v>761</v>
      </c>
    </row>
    <row r="90" spans="1:1" x14ac:dyDescent="0.2">
      <c r="A90" s="542" t="s">
        <v>762</v>
      </c>
    </row>
    <row r="92" spans="1:1" x14ac:dyDescent="0.2">
      <c r="A92" s="544" t="s">
        <v>763</v>
      </c>
    </row>
    <row r="93" spans="1:1" x14ac:dyDescent="0.2">
      <c r="A93" s="542" t="s">
        <v>764</v>
      </c>
    </row>
    <row r="95" spans="1:1" x14ac:dyDescent="0.2">
      <c r="A95" s="544" t="s">
        <v>765</v>
      </c>
    </row>
    <row r="96" spans="1:1" x14ac:dyDescent="0.2">
      <c r="A96" s="542" t="s">
        <v>326</v>
      </c>
    </row>
    <row r="98" spans="1:1" x14ac:dyDescent="0.2">
      <c r="A98" s="544" t="s">
        <v>766</v>
      </c>
    </row>
    <row r="99" spans="1:1" x14ac:dyDescent="0.2">
      <c r="A99" s="459" t="s">
        <v>325</v>
      </c>
    </row>
    <row r="101" spans="1:1" x14ac:dyDescent="0.2">
      <c r="A101" s="544" t="s">
        <v>767</v>
      </c>
    </row>
    <row r="102" spans="1:1" x14ac:dyDescent="0.2">
      <c r="A102" s="24" t="s">
        <v>768</v>
      </c>
    </row>
    <row r="104" spans="1:1" x14ac:dyDescent="0.2">
      <c r="A104" s="544" t="s">
        <v>769</v>
      </c>
    </row>
    <row r="105" spans="1:1" x14ac:dyDescent="0.2">
      <c r="A105" s="24" t="s">
        <v>770</v>
      </c>
    </row>
    <row r="107" spans="1:1" x14ac:dyDescent="0.2">
      <c r="A107" s="544" t="s">
        <v>771</v>
      </c>
    </row>
    <row r="108" spans="1:1" x14ac:dyDescent="0.2">
      <c r="A108" s="24" t="s">
        <v>772</v>
      </c>
    </row>
    <row r="110" spans="1:1" x14ac:dyDescent="0.2">
      <c r="A110" s="544" t="s">
        <v>773</v>
      </c>
    </row>
    <row r="111" spans="1:1" x14ac:dyDescent="0.2">
      <c r="A111" s="545" t="s">
        <v>774</v>
      </c>
    </row>
    <row r="113" spans="1:1" x14ac:dyDescent="0.2">
      <c r="A113" s="544" t="s">
        <v>775</v>
      </c>
    </row>
    <row r="114" spans="1:1" x14ac:dyDescent="0.2">
      <c r="A114" s="24" t="s">
        <v>776</v>
      </c>
    </row>
    <row r="116" spans="1:1" x14ac:dyDescent="0.2">
      <c r="A116" s="544" t="s">
        <v>777</v>
      </c>
    </row>
    <row r="117" spans="1:1" x14ac:dyDescent="0.2">
      <c r="A117" s="24" t="s">
        <v>778</v>
      </c>
    </row>
    <row r="118" spans="1:1" x14ac:dyDescent="0.2">
      <c r="A118" s="24" t="s">
        <v>779</v>
      </c>
    </row>
    <row r="120" spans="1:1" x14ac:dyDescent="0.2">
      <c r="A120" s="544" t="s">
        <v>780</v>
      </c>
    </row>
    <row r="121" spans="1:1" x14ac:dyDescent="0.2">
      <c r="A121" s="546" t="s">
        <v>781</v>
      </c>
    </row>
    <row r="123" spans="1:1" x14ac:dyDescent="0.2">
      <c r="A123" s="544" t="s">
        <v>782</v>
      </c>
    </row>
    <row r="124" spans="1:1" x14ac:dyDescent="0.2">
      <c r="A124" s="545" t="s">
        <v>783</v>
      </c>
    </row>
    <row r="125" spans="1:1" x14ac:dyDescent="0.2">
      <c r="A125" s="24" t="s">
        <v>784</v>
      </c>
    </row>
    <row r="126" spans="1:1" x14ac:dyDescent="0.2">
      <c r="A126" s="24" t="s">
        <v>785</v>
      </c>
    </row>
    <row r="127" spans="1:1" x14ac:dyDescent="0.2">
      <c r="A127" s="24" t="s">
        <v>786</v>
      </c>
    </row>
    <row r="128" spans="1:1" x14ac:dyDescent="0.2">
      <c r="A128" s="24" t="s">
        <v>787</v>
      </c>
    </row>
    <row r="129" spans="1:1" x14ac:dyDescent="0.2">
      <c r="A129" s="24" t="s">
        <v>788</v>
      </c>
    </row>
    <row r="130" spans="1:1" x14ac:dyDescent="0.2">
      <c r="A130" s="24" t="s">
        <v>789</v>
      </c>
    </row>
    <row r="131" spans="1:1" x14ac:dyDescent="0.2">
      <c r="A131" s="24" t="s">
        <v>790</v>
      </c>
    </row>
    <row r="132" spans="1:1" ht="48.75" customHeight="1" x14ac:dyDescent="0.2">
      <c r="A132" s="24" t="s">
        <v>791</v>
      </c>
    </row>
    <row r="133" spans="1:1" x14ac:dyDescent="0.2">
      <c r="A133" s="24" t="s">
        <v>792</v>
      </c>
    </row>
    <row r="134" spans="1:1" ht="36" customHeight="1" x14ac:dyDescent="0.2">
      <c r="A134" s="24" t="s">
        <v>793</v>
      </c>
    </row>
    <row r="135" spans="1:1" x14ac:dyDescent="0.2">
      <c r="A135" s="24" t="s">
        <v>794</v>
      </c>
    </row>
    <row r="136" spans="1:1" x14ac:dyDescent="0.2">
      <c r="A136" s="24" t="s">
        <v>795</v>
      </c>
    </row>
    <row r="137" spans="1:1" x14ac:dyDescent="0.2">
      <c r="A137" s="24" t="s">
        <v>796</v>
      </c>
    </row>
    <row r="138" spans="1:1" x14ac:dyDescent="0.2">
      <c r="A138" s="24" t="s">
        <v>797</v>
      </c>
    </row>
    <row r="139" spans="1:1" x14ac:dyDescent="0.2">
      <c r="A139" s="24" t="s">
        <v>798</v>
      </c>
    </row>
    <row r="140" spans="1:1" ht="47.25" x14ac:dyDescent="0.2">
      <c r="A140" s="24" t="s">
        <v>799</v>
      </c>
    </row>
    <row r="141" spans="1:1" x14ac:dyDescent="0.2">
      <c r="A141" s="459" t="s">
        <v>800</v>
      </c>
    </row>
    <row r="142" spans="1:1" ht="31.5" x14ac:dyDescent="0.2">
      <c r="A142" s="24" t="s">
        <v>801</v>
      </c>
    </row>
    <row r="143" spans="1:1" x14ac:dyDescent="0.2">
      <c r="A143" s="24" t="s">
        <v>802</v>
      </c>
    </row>
    <row r="144" spans="1:1" x14ac:dyDescent="0.2">
      <c r="A144" s="24" t="s">
        <v>803</v>
      </c>
    </row>
    <row r="145" spans="1:1" x14ac:dyDescent="0.2">
      <c r="A145" s="24" t="s">
        <v>804</v>
      </c>
    </row>
    <row r="146" spans="1:1" x14ac:dyDescent="0.2">
      <c r="A146" s="24" t="s">
        <v>805</v>
      </c>
    </row>
    <row r="147" spans="1:1" x14ac:dyDescent="0.2">
      <c r="A147" s="24" t="s">
        <v>806</v>
      </c>
    </row>
    <row r="148" spans="1:1" ht="15.75" customHeight="1" x14ac:dyDescent="0.2">
      <c r="A148" s="24" t="s">
        <v>807</v>
      </c>
    </row>
    <row r="149" spans="1:1" x14ac:dyDescent="0.2">
      <c r="A149" s="24" t="s">
        <v>808</v>
      </c>
    </row>
    <row r="150" spans="1:1" ht="31.5" x14ac:dyDescent="0.2">
      <c r="A150" s="24" t="s">
        <v>809</v>
      </c>
    </row>
    <row r="151" spans="1:1" x14ac:dyDescent="0.2">
      <c r="A151" s="24" t="s">
        <v>810</v>
      </c>
    </row>
    <row r="152" spans="1:1" x14ac:dyDescent="0.2">
      <c r="A152" s="24" t="s">
        <v>811</v>
      </c>
    </row>
    <row r="153" spans="1:1" x14ac:dyDescent="0.2">
      <c r="A153" s="24" t="s">
        <v>812</v>
      </c>
    </row>
    <row r="154" spans="1:1" x14ac:dyDescent="0.2">
      <c r="A154" s="24" t="s">
        <v>813</v>
      </c>
    </row>
    <row r="155" spans="1:1" ht="15.75" customHeight="1" x14ac:dyDescent="0.2">
      <c r="A155" s="24" t="s">
        <v>814</v>
      </c>
    </row>
    <row r="156" spans="1:1" x14ac:dyDescent="0.2">
      <c r="A156" s="24" t="s">
        <v>815</v>
      </c>
    </row>
    <row r="157" spans="1:1" x14ac:dyDescent="0.2">
      <c r="A157" s="24" t="s">
        <v>816</v>
      </c>
    </row>
    <row r="158" spans="1:1" x14ac:dyDescent="0.2">
      <c r="A158" s="24" t="s">
        <v>817</v>
      </c>
    </row>
    <row r="160" spans="1:1" x14ac:dyDescent="0.2">
      <c r="A160" s="544" t="s">
        <v>818</v>
      </c>
    </row>
    <row r="161" spans="1:1" ht="31.5" x14ac:dyDescent="0.2">
      <c r="A161" s="24" t="s">
        <v>819</v>
      </c>
    </row>
    <row r="163" spans="1:1" x14ac:dyDescent="0.2">
      <c r="A163" s="544" t="s">
        <v>820</v>
      </c>
    </row>
    <row r="164" spans="1:1" x14ac:dyDescent="0.2">
      <c r="A164" s="24" t="s">
        <v>821</v>
      </c>
    </row>
    <row r="165" spans="1:1" ht="15.75" customHeight="1" x14ac:dyDescent="0.2">
      <c r="A165" s="24" t="s">
        <v>822</v>
      </c>
    </row>
    <row r="167" spans="1:1" x14ac:dyDescent="0.2">
      <c r="A167" s="544" t="s">
        <v>823</v>
      </c>
    </row>
    <row r="168" spans="1:1" x14ac:dyDescent="0.2">
      <c r="A168" s="24" t="s">
        <v>824</v>
      </c>
    </row>
    <row r="170" spans="1:1" ht="19.5" customHeight="1" x14ac:dyDescent="0.2">
      <c r="A170" s="544" t="s">
        <v>825</v>
      </c>
    </row>
    <row r="171" spans="1:1" x14ac:dyDescent="0.2">
      <c r="A171" s="24" t="s">
        <v>826</v>
      </c>
    </row>
    <row r="173" spans="1:1" x14ac:dyDescent="0.2">
      <c r="A173" s="544" t="s">
        <v>827</v>
      </c>
    </row>
    <row r="174" spans="1:1" x14ac:dyDescent="0.2">
      <c r="A174" s="289" t="s">
        <v>828</v>
      </c>
    </row>
    <row r="175" spans="1:1" x14ac:dyDescent="0.2">
      <c r="A175" s="289" t="s">
        <v>829</v>
      </c>
    </row>
    <row r="177" spans="1:1" x14ac:dyDescent="0.2">
      <c r="A177" s="544" t="s">
        <v>830</v>
      </c>
    </row>
    <row r="178" spans="1:1" x14ac:dyDescent="0.2">
      <c r="A178" s="24" t="s">
        <v>831</v>
      </c>
    </row>
    <row r="179" spans="1:1" x14ac:dyDescent="0.2">
      <c r="A179" s="24" t="s">
        <v>832</v>
      </c>
    </row>
    <row r="180" spans="1:1" x14ac:dyDescent="0.2">
      <c r="A180" s="24" t="s">
        <v>833</v>
      </c>
    </row>
    <row r="182" spans="1:1" x14ac:dyDescent="0.2">
      <c r="A182" s="544" t="s">
        <v>834</v>
      </c>
    </row>
    <row r="183" spans="1:1" x14ac:dyDescent="0.2">
      <c r="A183" s="289" t="s">
        <v>835</v>
      </c>
    </row>
    <row r="184" spans="1:1" x14ac:dyDescent="0.2">
      <c r="A184" s="289" t="s">
        <v>836</v>
      </c>
    </row>
    <row r="185" spans="1:1" ht="31.5" x14ac:dyDescent="0.2">
      <c r="A185" s="289" t="s">
        <v>837</v>
      </c>
    </row>
    <row r="186" spans="1:1" x14ac:dyDescent="0.2">
      <c r="A186" s="289" t="s">
        <v>838</v>
      </c>
    </row>
    <row r="187" spans="1:1" x14ac:dyDescent="0.2">
      <c r="A187" s="289" t="s">
        <v>839</v>
      </c>
    </row>
    <row r="188" spans="1:1" x14ac:dyDescent="0.2">
      <c r="A188" s="289" t="s">
        <v>840</v>
      </c>
    </row>
    <row r="189" spans="1:1" x14ac:dyDescent="0.2">
      <c r="A189" s="289" t="s">
        <v>841</v>
      </c>
    </row>
    <row r="190" spans="1:1" x14ac:dyDescent="0.2">
      <c r="A190" s="289" t="s">
        <v>842</v>
      </c>
    </row>
    <row r="191" spans="1:1" x14ac:dyDescent="0.2">
      <c r="A191" s="289" t="s">
        <v>843</v>
      </c>
    </row>
    <row r="192" spans="1:1" x14ac:dyDescent="0.2">
      <c r="A192" s="289" t="s">
        <v>844</v>
      </c>
    </row>
    <row r="193" spans="1:1" x14ac:dyDescent="0.2">
      <c r="A193" s="289" t="s">
        <v>845</v>
      </c>
    </row>
    <row r="194" spans="1:1" x14ac:dyDescent="0.2">
      <c r="A194" s="289" t="s">
        <v>846</v>
      </c>
    </row>
    <row r="195" spans="1:1" x14ac:dyDescent="0.2">
      <c r="A195" s="289" t="s">
        <v>847</v>
      </c>
    </row>
    <row r="196" spans="1:1" x14ac:dyDescent="0.2">
      <c r="A196" s="289" t="s">
        <v>848</v>
      </c>
    </row>
    <row r="197" spans="1:1" x14ac:dyDescent="0.2">
      <c r="A197" s="289" t="s">
        <v>849</v>
      </c>
    </row>
    <row r="198" spans="1:1" x14ac:dyDescent="0.2">
      <c r="A198" s="289" t="s">
        <v>850</v>
      </c>
    </row>
    <row r="199" spans="1:1" x14ac:dyDescent="0.2">
      <c r="A199" s="289" t="s">
        <v>851</v>
      </c>
    </row>
    <row r="200" spans="1:1" ht="18" customHeight="1" x14ac:dyDescent="0.2">
      <c r="A200" s="289" t="s">
        <v>852</v>
      </c>
    </row>
    <row r="201" spans="1:1" x14ac:dyDescent="0.2">
      <c r="A201" s="289" t="s">
        <v>853</v>
      </c>
    </row>
    <row r="202" spans="1:1" x14ac:dyDescent="0.2">
      <c r="A202" s="289" t="s">
        <v>854</v>
      </c>
    </row>
    <row r="203" spans="1:1" x14ac:dyDescent="0.2">
      <c r="A203" s="289" t="s">
        <v>855</v>
      </c>
    </row>
    <row r="204" spans="1:1" x14ac:dyDescent="0.2">
      <c r="A204" s="289" t="s">
        <v>856</v>
      </c>
    </row>
    <row r="205" spans="1:1" ht="16.5" customHeight="1" x14ac:dyDescent="0.2">
      <c r="A205" s="289" t="s">
        <v>857</v>
      </c>
    </row>
    <row r="206" spans="1:1" x14ac:dyDescent="0.2">
      <c r="A206" s="289" t="s">
        <v>858</v>
      </c>
    </row>
    <row r="207" spans="1:1" x14ac:dyDescent="0.2">
      <c r="A207" s="289" t="s">
        <v>859</v>
      </c>
    </row>
    <row r="208" spans="1:1" x14ac:dyDescent="0.2">
      <c r="A208" s="289" t="s">
        <v>860</v>
      </c>
    </row>
    <row r="209" spans="1:1" x14ac:dyDescent="0.2">
      <c r="A209" s="289" t="s">
        <v>861</v>
      </c>
    </row>
    <row r="210" spans="1:1" x14ac:dyDescent="0.2">
      <c r="A210" s="289" t="s">
        <v>862</v>
      </c>
    </row>
    <row r="212" spans="1:1" x14ac:dyDescent="0.2">
      <c r="A212" s="544" t="s">
        <v>863</v>
      </c>
    </row>
    <row r="213" spans="1:1" x14ac:dyDescent="0.2">
      <c r="A213" s="24" t="s">
        <v>864</v>
      </c>
    </row>
    <row r="214" spans="1:1" x14ac:dyDescent="0.2">
      <c r="A214" s="24" t="s">
        <v>865</v>
      </c>
    </row>
    <row r="215" spans="1:1" ht="17.25" customHeight="1" x14ac:dyDescent="0.2">
      <c r="A215" s="24" t="s">
        <v>866</v>
      </c>
    </row>
    <row r="217" spans="1:1" x14ac:dyDescent="0.2">
      <c r="A217" s="544" t="s">
        <v>867</v>
      </c>
    </row>
    <row r="218" spans="1:1" x14ac:dyDescent="0.2">
      <c r="A218" s="24" t="s">
        <v>868</v>
      </c>
    </row>
    <row r="219" spans="1:1" x14ac:dyDescent="0.2">
      <c r="A219" s="24" t="s">
        <v>869</v>
      </c>
    </row>
    <row r="221" spans="1:1" ht="21.75" customHeight="1" x14ac:dyDescent="0.2">
      <c r="A221" s="544" t="s">
        <v>870</v>
      </c>
    </row>
    <row r="222" spans="1:1" x14ac:dyDescent="0.2">
      <c r="A222" s="547" t="s">
        <v>871</v>
      </c>
    </row>
    <row r="223" spans="1:1" ht="16.5" customHeight="1" x14ac:dyDescent="0.2">
      <c r="A223" s="547" t="s">
        <v>872</v>
      </c>
    </row>
    <row r="224" spans="1:1" x14ac:dyDescent="0.2">
      <c r="A224" s="547" t="s">
        <v>873</v>
      </c>
    </row>
    <row r="225" spans="1:1" x14ac:dyDescent="0.2">
      <c r="A225" s="24" t="s">
        <v>874</v>
      </c>
    </row>
    <row r="227" spans="1:1" x14ac:dyDescent="0.2">
      <c r="A227" s="439" t="s">
        <v>875</v>
      </c>
    </row>
    <row r="228" spans="1:1" x14ac:dyDescent="0.2">
      <c r="A228" s="548" t="s">
        <v>876</v>
      </c>
    </row>
    <row r="229" spans="1:1" x14ac:dyDescent="0.2">
      <c r="A229" s="24" t="s">
        <v>877</v>
      </c>
    </row>
    <row r="230" spans="1:1" x14ac:dyDescent="0.2">
      <c r="A230" s="24" t="s">
        <v>878</v>
      </c>
    </row>
    <row r="231" spans="1:1" ht="31.5" x14ac:dyDescent="0.2">
      <c r="A231" s="549" t="s">
        <v>879</v>
      </c>
    </row>
    <row r="232" spans="1:1" ht="16.5" customHeight="1" x14ac:dyDescent="0.2">
      <c r="A232" s="24" t="s">
        <v>880</v>
      </c>
    </row>
    <row r="233" spans="1:1" x14ac:dyDescent="0.2">
      <c r="A233" s="24" t="s">
        <v>881</v>
      </c>
    </row>
    <row r="234" spans="1:1" x14ac:dyDescent="0.2">
      <c r="A234" s="24" t="s">
        <v>882</v>
      </c>
    </row>
    <row r="235" spans="1:1" x14ac:dyDescent="0.2">
      <c r="A235" s="24" t="s">
        <v>883</v>
      </c>
    </row>
    <row r="236" spans="1:1" x14ac:dyDescent="0.2">
      <c r="A236" s="24" t="s">
        <v>884</v>
      </c>
    </row>
    <row r="238" spans="1:1" x14ac:dyDescent="0.2">
      <c r="A238" s="439" t="s">
        <v>885</v>
      </c>
    </row>
    <row r="239" spans="1:1" x14ac:dyDescent="0.2">
      <c r="A239" s="24" t="s">
        <v>886</v>
      </c>
    </row>
    <row r="240" spans="1:1" x14ac:dyDescent="0.2">
      <c r="A240" s="24" t="s">
        <v>887</v>
      </c>
    </row>
    <row r="241" spans="1:1" x14ac:dyDescent="0.2">
      <c r="A241" s="24" t="s">
        <v>888</v>
      </c>
    </row>
    <row r="242" spans="1:1" x14ac:dyDescent="0.2">
      <c r="A242" s="24" t="s">
        <v>889</v>
      </c>
    </row>
    <row r="244" spans="1:1" x14ac:dyDescent="0.2">
      <c r="A244" s="439" t="s">
        <v>890</v>
      </c>
    </row>
    <row r="245" spans="1:1" x14ac:dyDescent="0.2">
      <c r="A245" s="24" t="s">
        <v>891</v>
      </c>
    </row>
    <row r="247" spans="1:1" x14ac:dyDescent="0.2">
      <c r="A247" s="439" t="s">
        <v>892</v>
      </c>
    </row>
    <row r="248" spans="1:1" x14ac:dyDescent="0.2">
      <c r="A248" s="24" t="s">
        <v>893</v>
      </c>
    </row>
    <row r="249" spans="1:1" ht="32.25" customHeight="1" x14ac:dyDescent="0.2"/>
    <row r="250" spans="1:1" ht="36" customHeight="1" x14ac:dyDescent="0.2">
      <c r="A250" s="439" t="s">
        <v>894</v>
      </c>
    </row>
    <row r="251" spans="1:1" ht="35.25" customHeight="1" x14ac:dyDescent="0.2">
      <c r="A251" s="24" t="s">
        <v>895</v>
      </c>
    </row>
    <row r="252" spans="1:1" ht="18" customHeight="1" x14ac:dyDescent="0.2">
      <c r="A252" s="24" t="s">
        <v>896</v>
      </c>
    </row>
    <row r="253" spans="1:1" ht="36" customHeight="1" x14ac:dyDescent="0.2">
      <c r="A253" s="24" t="s">
        <v>897</v>
      </c>
    </row>
    <row r="255" spans="1:1" ht="33.75" customHeight="1" x14ac:dyDescent="0.2">
      <c r="A255" s="439" t="s">
        <v>898</v>
      </c>
    </row>
    <row r="256" spans="1:1" ht="18.75" customHeight="1" x14ac:dyDescent="0.2">
      <c r="A256" s="24" t="s">
        <v>44</v>
      </c>
    </row>
    <row r="257" spans="1:1" ht="17.25" customHeight="1" x14ac:dyDescent="0.2">
      <c r="A257" s="24" t="s">
        <v>899</v>
      </c>
    </row>
    <row r="258" spans="1:1" ht="17.25" customHeight="1" x14ac:dyDescent="0.2">
      <c r="A258" s="24" t="s">
        <v>900</v>
      </c>
    </row>
    <row r="259" spans="1:1" x14ac:dyDescent="0.2">
      <c r="A259" s="24" t="s">
        <v>392</v>
      </c>
    </row>
    <row r="260" spans="1:1" x14ac:dyDescent="0.2">
      <c r="A260" s="24" t="s">
        <v>45</v>
      </c>
    </row>
    <row r="261" spans="1:1" x14ac:dyDescent="0.2">
      <c r="A261" s="24" t="s">
        <v>46</v>
      </c>
    </row>
    <row r="262" spans="1:1" ht="31.5" x14ac:dyDescent="0.2">
      <c r="A262" s="24" t="s">
        <v>47</v>
      </c>
    </row>
    <row r="263" spans="1:1" ht="31.5" x14ac:dyDescent="0.2">
      <c r="A263" s="24" t="s">
        <v>901</v>
      </c>
    </row>
    <row r="264" spans="1:1" ht="14.25" customHeight="1" x14ac:dyDescent="0.2">
      <c r="A264" s="24" t="s">
        <v>393</v>
      </c>
    </row>
    <row r="265" spans="1:1" x14ac:dyDescent="0.2">
      <c r="A265" s="24" t="s">
        <v>48</v>
      </c>
    </row>
    <row r="266" spans="1:1" ht="31.5" x14ac:dyDescent="0.2">
      <c r="A266" s="24" t="s">
        <v>902</v>
      </c>
    </row>
    <row r="267" spans="1:1" x14ac:dyDescent="0.2">
      <c r="A267" s="24" t="s">
        <v>903</v>
      </c>
    </row>
    <row r="268" spans="1:1" ht="31.5" x14ac:dyDescent="0.2">
      <c r="A268" s="24" t="s">
        <v>394</v>
      </c>
    </row>
    <row r="269" spans="1:1" x14ac:dyDescent="0.2">
      <c r="A269" s="24" t="s">
        <v>395</v>
      </c>
    </row>
    <row r="270" spans="1:1" x14ac:dyDescent="0.2">
      <c r="A270" s="24" t="s">
        <v>49</v>
      </c>
    </row>
    <row r="271" spans="1:1" x14ac:dyDescent="0.2">
      <c r="A271" s="24" t="s">
        <v>50</v>
      </c>
    </row>
    <row r="272" spans="1:1" x14ac:dyDescent="0.2">
      <c r="A272" s="24" t="s">
        <v>904</v>
      </c>
    </row>
    <row r="273" spans="1:1" ht="18" customHeight="1" x14ac:dyDescent="0.2">
      <c r="A273" s="24" t="s">
        <v>905</v>
      </c>
    </row>
    <row r="274" spans="1:1" ht="51" customHeight="1" x14ac:dyDescent="0.2">
      <c r="A274" s="24" t="s">
        <v>906</v>
      </c>
    </row>
    <row r="276" spans="1:1" x14ac:dyDescent="0.2">
      <c r="A276" s="439" t="s">
        <v>907</v>
      </c>
    </row>
    <row r="277" spans="1:1" x14ac:dyDescent="0.2">
      <c r="A277" s="24" t="s">
        <v>908</v>
      </c>
    </row>
    <row r="278" spans="1:1" x14ac:dyDescent="0.2">
      <c r="A278" s="24" t="s">
        <v>909</v>
      </c>
    </row>
    <row r="279" spans="1:1" x14ac:dyDescent="0.2">
      <c r="A279" s="24" t="s">
        <v>910</v>
      </c>
    </row>
    <row r="280" spans="1:1" x14ac:dyDescent="0.2">
      <c r="A280" s="24" t="s">
        <v>911</v>
      </c>
    </row>
    <row r="281" spans="1:1" x14ac:dyDescent="0.2">
      <c r="A281" s="439" t="s">
        <v>912</v>
      </c>
    </row>
    <row r="282" spans="1:1" ht="31.5" x14ac:dyDescent="0.2">
      <c r="A282" s="24" t="s">
        <v>913</v>
      </c>
    </row>
    <row r="283" spans="1:1" x14ac:dyDescent="0.2">
      <c r="A283" s="24" t="s">
        <v>914</v>
      </c>
    </row>
    <row r="286" spans="1:1" x14ac:dyDescent="0.2">
      <c r="A286" s="439" t="s">
        <v>30</v>
      </c>
    </row>
    <row r="287" spans="1:1" ht="47.25" x14ac:dyDescent="0.2">
      <c r="A287" s="24" t="s">
        <v>915</v>
      </c>
    </row>
    <row r="288" spans="1:1" x14ac:dyDescent="0.2">
      <c r="A288" s="24" t="s">
        <v>916</v>
      </c>
    </row>
    <row r="289" spans="1:1" x14ac:dyDescent="0.2">
      <c r="A289" s="24" t="s">
        <v>917</v>
      </c>
    </row>
    <row r="290" spans="1:1" x14ac:dyDescent="0.2">
      <c r="A290" s="24" t="s">
        <v>918</v>
      </c>
    </row>
    <row r="291" spans="1:1" x14ac:dyDescent="0.2">
      <c r="A291" s="24" t="s">
        <v>919</v>
      </c>
    </row>
    <row r="292" spans="1:1" x14ac:dyDescent="0.2">
      <c r="A292" s="24" t="s">
        <v>920</v>
      </c>
    </row>
    <row r="293" spans="1:1" x14ac:dyDescent="0.2">
      <c r="A293" s="24" t="s">
        <v>921</v>
      </c>
    </row>
    <row r="294" spans="1:1" x14ac:dyDescent="0.2">
      <c r="A294" s="24" t="s">
        <v>922</v>
      </c>
    </row>
    <row r="295" spans="1:1" x14ac:dyDescent="0.2">
      <c r="A295" s="24" t="s">
        <v>923</v>
      </c>
    </row>
    <row r="296" spans="1:1" ht="31.5" x14ac:dyDescent="0.2">
      <c r="A296" s="24" t="s">
        <v>924</v>
      </c>
    </row>
    <row r="297" spans="1:1" ht="31.5" x14ac:dyDescent="0.2">
      <c r="A297" s="24" t="s">
        <v>925</v>
      </c>
    </row>
    <row r="298" spans="1:1" x14ac:dyDescent="0.2">
      <c r="A298" s="24" t="s">
        <v>926</v>
      </c>
    </row>
    <row r="299" spans="1:1" x14ac:dyDescent="0.2">
      <c r="A299" s="24" t="s">
        <v>927</v>
      </c>
    </row>
    <row r="300" spans="1:1" x14ac:dyDescent="0.2">
      <c r="A300" s="24" t="s">
        <v>928</v>
      </c>
    </row>
    <row r="301" spans="1:1" x14ac:dyDescent="0.2">
      <c r="A301" s="24" t="s">
        <v>929</v>
      </c>
    </row>
    <row r="302" spans="1:1" x14ac:dyDescent="0.2">
      <c r="A302" s="24" t="s">
        <v>930</v>
      </c>
    </row>
    <row r="303" spans="1:1" ht="31.5" x14ac:dyDescent="0.2">
      <c r="A303" s="24" t="s">
        <v>931</v>
      </c>
    </row>
    <row r="304" spans="1:1" x14ac:dyDescent="0.2">
      <c r="A304" s="24" t="s">
        <v>932</v>
      </c>
    </row>
    <row r="305" spans="1:1" x14ac:dyDescent="0.2">
      <c r="A305" s="24" t="s">
        <v>933</v>
      </c>
    </row>
    <row r="306" spans="1:1" ht="31.5" x14ac:dyDescent="0.2">
      <c r="A306" s="24" t="s">
        <v>934</v>
      </c>
    </row>
    <row r="307" spans="1:1" x14ac:dyDescent="0.2">
      <c r="A307" s="24" t="s">
        <v>935</v>
      </c>
    </row>
    <row r="308" spans="1:1" x14ac:dyDescent="0.2">
      <c r="A308" s="24" t="s">
        <v>936</v>
      </c>
    </row>
    <row r="309" spans="1:1" x14ac:dyDescent="0.2">
      <c r="A309" s="24" t="s">
        <v>937</v>
      </c>
    </row>
    <row r="310" spans="1:1" ht="19.5" customHeight="1" x14ac:dyDescent="0.2">
      <c r="A310" s="24" t="s">
        <v>938</v>
      </c>
    </row>
    <row r="311" spans="1:1" ht="18" customHeight="1" x14ac:dyDescent="0.2">
      <c r="A311" s="24" t="s">
        <v>939</v>
      </c>
    </row>
    <row r="312" spans="1:1" x14ac:dyDescent="0.2">
      <c r="A312" s="24" t="s">
        <v>940</v>
      </c>
    </row>
    <row r="313" spans="1:1" x14ac:dyDescent="0.2">
      <c r="A313" s="24" t="s">
        <v>941</v>
      </c>
    </row>
    <row r="314" spans="1:1" x14ac:dyDescent="0.2">
      <c r="A314" s="24" t="s">
        <v>942</v>
      </c>
    </row>
    <row r="315" spans="1:1" x14ac:dyDescent="0.2">
      <c r="A315" s="24" t="s">
        <v>943</v>
      </c>
    </row>
    <row r="316" spans="1:1" ht="31.5" x14ac:dyDescent="0.2">
      <c r="A316" s="24" t="s">
        <v>944</v>
      </c>
    </row>
    <row r="317" spans="1:1" x14ac:dyDescent="0.2">
      <c r="A317" s="24" t="s">
        <v>945</v>
      </c>
    </row>
    <row r="319" spans="1:1" x14ac:dyDescent="0.2">
      <c r="A319" s="24" t="s">
        <v>946</v>
      </c>
    </row>
    <row r="320" spans="1:1" x14ac:dyDescent="0.2">
      <c r="A320" s="24" t="s">
        <v>947</v>
      </c>
    </row>
  </sheetData>
  <sheetProtection sheet="1" objects="1" scenarios="1"/>
  <pageMargins left="0.32" right="0.31"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00B0F0"/>
    <pageSetUpPr fitToPage="1"/>
  </sheetPr>
  <dimension ref="A1:G91"/>
  <sheetViews>
    <sheetView tabSelected="1" topLeftCell="A45" zoomScaleNormal="100" workbookViewId="0">
      <selection activeCell="A74" sqref="A74:E74"/>
    </sheetView>
  </sheetViews>
  <sheetFormatPr defaultRowHeight="15.75" x14ac:dyDescent="0.2"/>
  <cols>
    <col min="1" max="1" width="20.77734375" style="23" customWidth="1"/>
    <col min="2" max="2" width="9.77734375" style="23" customWidth="1"/>
    <col min="3" max="3" width="5.77734375" style="23" customWidth="1"/>
    <col min="4" max="5" width="15.77734375" style="23" customWidth="1"/>
    <col min="6" max="6" width="15.44140625" style="23" customWidth="1"/>
    <col min="7" max="16384" width="8.88671875" style="74"/>
  </cols>
  <sheetData>
    <row r="1" spans="1:6" x14ac:dyDescent="0.2">
      <c r="A1" s="26">
        <f>inputPrYr!C3</f>
        <v>0</v>
      </c>
      <c r="B1" s="26"/>
      <c r="C1" s="26"/>
      <c r="D1" s="26"/>
      <c r="E1" s="26"/>
      <c r="F1" s="26">
        <f>inputPrYr!C5</f>
        <v>2025</v>
      </c>
    </row>
    <row r="2" spans="1:6" x14ac:dyDescent="0.2">
      <c r="A2" s="603" t="s">
        <v>177</v>
      </c>
      <c r="B2" s="603"/>
      <c r="C2" s="603"/>
      <c r="D2" s="603"/>
      <c r="E2" s="603"/>
      <c r="F2" s="603"/>
    </row>
    <row r="3" spans="1:6" ht="15" customHeight="1" x14ac:dyDescent="0.2">
      <c r="A3" s="26"/>
      <c r="B3" s="26"/>
      <c r="C3" s="26"/>
      <c r="D3" s="26"/>
      <c r="E3" s="26"/>
      <c r="F3" s="155"/>
    </row>
    <row r="4" spans="1:6" x14ac:dyDescent="0.2">
      <c r="A4" s="606" t="str">
        <f>CONCATENATE("To the Clerk of ",inputPrYr!C3,", State of Kansas")</f>
        <v>To the Clerk of , State of Kansas</v>
      </c>
      <c r="B4" s="607"/>
      <c r="C4" s="607"/>
      <c r="D4" s="607"/>
      <c r="E4" s="607"/>
      <c r="F4" s="607"/>
    </row>
    <row r="5" spans="1:6" x14ac:dyDescent="0.2">
      <c r="A5" s="606" t="s">
        <v>5</v>
      </c>
      <c r="B5" s="608"/>
      <c r="C5" s="608"/>
      <c r="D5" s="608"/>
      <c r="E5" s="608"/>
      <c r="F5" s="608"/>
    </row>
    <row r="6" spans="1:6" x14ac:dyDescent="0.2">
      <c r="A6" s="604">
        <f>(inputPrYr!C3)</f>
        <v>0</v>
      </c>
      <c r="B6" s="605"/>
      <c r="C6" s="605"/>
      <c r="D6" s="605"/>
      <c r="E6" s="605"/>
      <c r="F6" s="605"/>
    </row>
    <row r="7" spans="1:6" x14ac:dyDescent="0.2">
      <c r="A7" s="79" t="s">
        <v>57</v>
      </c>
      <c r="B7" s="30"/>
      <c r="C7" s="30"/>
      <c r="D7" s="30"/>
      <c r="E7" s="30"/>
      <c r="F7" s="30"/>
    </row>
    <row r="8" spans="1:6" x14ac:dyDescent="0.2">
      <c r="A8" s="79" t="s">
        <v>58</v>
      </c>
      <c r="B8" s="30"/>
      <c r="C8" s="30"/>
      <c r="D8" s="30"/>
      <c r="E8" s="30"/>
      <c r="F8" s="30"/>
    </row>
    <row r="9" spans="1:6" x14ac:dyDescent="0.2">
      <c r="A9" s="79" t="str">
        <f>CONCATENATE("maximum expenditure for the various funds for the year ",F1,"; and")</f>
        <v>maximum expenditure for the various funds for the year 2025; and</v>
      </c>
      <c r="B9" s="30"/>
      <c r="C9" s="30"/>
      <c r="D9" s="30"/>
      <c r="E9" s="30"/>
      <c r="F9" s="30"/>
    </row>
    <row r="10" spans="1:6" x14ac:dyDescent="0.2">
      <c r="A10" s="79" t="str">
        <f>CONCATENATE("(3) the Amount(s) of ",F1-1," Ad Valorem Tax are within statutory limitations.")</f>
        <v>(3) the Amount(s) of 2024 Ad Valorem Tax are within statutory limitations.</v>
      </c>
      <c r="B10" s="30"/>
      <c r="C10" s="30"/>
      <c r="D10" s="30"/>
      <c r="E10" s="30"/>
      <c r="F10" s="30"/>
    </row>
    <row r="11" spans="1:6" ht="8.25" customHeight="1" x14ac:dyDescent="0.2">
      <c r="A11" s="25"/>
      <c r="B11" s="26"/>
      <c r="C11" s="26"/>
      <c r="D11" s="155"/>
      <c r="E11" s="155"/>
      <c r="F11" s="155"/>
    </row>
    <row r="12" spans="1:6" ht="17.25" customHeight="1" x14ac:dyDescent="0.2">
      <c r="A12" s="26"/>
      <c r="B12" s="26"/>
      <c r="C12" s="26"/>
      <c r="D12" s="596" t="str">
        <f>CONCATENATE("",F1," Adopted Budget")</f>
        <v>2025 Adopted Budget</v>
      </c>
      <c r="E12" s="597"/>
      <c r="F12" s="598"/>
    </row>
    <row r="13" spans="1:6" ht="24.95" customHeight="1" x14ac:dyDescent="0.2">
      <c r="A13" s="26"/>
      <c r="B13" s="26"/>
      <c r="C13" s="601" t="s">
        <v>146</v>
      </c>
      <c r="D13" s="599" t="s">
        <v>538</v>
      </c>
      <c r="E13" s="601" t="str">
        <f>CONCATENATE("Amount of ",F1-1," Ad Valorem Tax")</f>
        <v>Amount of 2024 Ad Valorem Tax</v>
      </c>
      <c r="F13" s="601" t="s">
        <v>539</v>
      </c>
    </row>
    <row r="14" spans="1:6" ht="24.95" customHeight="1" x14ac:dyDescent="0.2">
      <c r="A14" s="81" t="s">
        <v>59</v>
      </c>
      <c r="B14" s="44"/>
      <c r="C14" s="602"/>
      <c r="D14" s="600"/>
      <c r="E14" s="573"/>
      <c r="F14" s="602"/>
    </row>
    <row r="15" spans="1:6" ht="12.75" customHeight="1" x14ac:dyDescent="0.2">
      <c r="A15" s="60" t="s">
        <v>322</v>
      </c>
      <c r="B15" s="45"/>
      <c r="C15" s="491">
        <v>2</v>
      </c>
      <c r="D15" s="478"/>
      <c r="E15" s="478"/>
      <c r="F15" s="478"/>
    </row>
    <row r="16" spans="1:6" x14ac:dyDescent="0.2">
      <c r="A16" s="164" t="s">
        <v>199</v>
      </c>
      <c r="B16" s="47"/>
      <c r="C16" s="491">
        <v>3</v>
      </c>
      <c r="D16" s="478"/>
      <c r="E16" s="478"/>
      <c r="F16" s="478"/>
    </row>
    <row r="17" spans="1:7" x14ac:dyDescent="0.2">
      <c r="A17" s="60" t="s">
        <v>61</v>
      </c>
      <c r="B17" s="45"/>
      <c r="C17" s="78">
        <v>4</v>
      </c>
      <c r="D17" s="492"/>
      <c r="E17" s="492"/>
      <c r="F17" s="492"/>
    </row>
    <row r="18" spans="1:7" x14ac:dyDescent="0.2">
      <c r="A18" s="60" t="s">
        <v>62</v>
      </c>
      <c r="B18" s="45"/>
      <c r="C18" s="434">
        <v>5</v>
      </c>
      <c r="D18" s="492"/>
      <c r="E18" s="492"/>
      <c r="F18" s="492"/>
    </row>
    <row r="19" spans="1:7" x14ac:dyDescent="0.2">
      <c r="A19" s="493" t="s">
        <v>63</v>
      </c>
      <c r="B19" s="494" t="s">
        <v>64</v>
      </c>
      <c r="C19" s="38"/>
      <c r="D19" s="495"/>
      <c r="E19" s="495"/>
      <c r="F19" s="495"/>
    </row>
    <row r="20" spans="1:7" ht="15.75" customHeight="1" x14ac:dyDescent="0.2">
      <c r="A20" s="34" t="str">
        <f>inputPrYr!B17</f>
        <v>General</v>
      </c>
      <c r="B20" s="433" t="str">
        <f>inputPrYr!C17</f>
        <v>79-1946</v>
      </c>
      <c r="C20" s="78">
        <v>6</v>
      </c>
      <c r="D20" s="496" t="str">
        <f>IF(General!$E$105&lt;&gt;0,General!$E$105,"  ")</f>
        <v xml:space="preserve">  </v>
      </c>
      <c r="E20" s="497">
        <f>IF(General!$E$112&lt;&gt;0,General!$E$112,0)</f>
        <v>0</v>
      </c>
      <c r="F20" s="342" t="str">
        <f>IF(AND(General!E112=0,F68&gt;=0),"",IF(AND(E20&gt;0,F68=0),"",IF(AND(E20&gt;0,F68&gt;0),ROUND(E20/F68*1000,3))))</f>
        <v/>
      </c>
    </row>
    <row r="21" spans="1:7" ht="15.75" customHeight="1" x14ac:dyDescent="0.2">
      <c r="A21" s="34" t="str">
        <f>inputPrYr!B18</f>
        <v>Debt Service</v>
      </c>
      <c r="B21" s="433" t="str">
        <f>inputPrYr!C18</f>
        <v>10-113</v>
      </c>
      <c r="C21" s="78" t="str">
        <f>IF('Debt Service'!C65&gt;0,'Debt Service'!C65,"")</f>
        <v/>
      </c>
      <c r="D21" s="496" t="str">
        <f>IF('Debt Service'!$E$52&lt;&gt;0,'Debt Service'!$E$52,"  ")</f>
        <v xml:space="preserve">  </v>
      </c>
      <c r="E21" s="497">
        <f>IF('Debt Service'!$E$59&lt;&gt;0,'Debt Service'!$E$59,0)</f>
        <v>0</v>
      </c>
      <c r="F21" s="342" t="str">
        <f>IF(AND('Debt Service'!E59=0,F68&gt;=0),"",IF(AND(E21&gt;0,F68=0),"",IF(AND(E21&gt;F68&gt;0),ROUND(E21/F68*1000,3))))</f>
        <v/>
      </c>
    </row>
    <row r="22" spans="1:7" ht="15.75" customHeight="1" x14ac:dyDescent="0.2">
      <c r="A22" s="34" t="str">
        <f>inputPrYr!B19</f>
        <v>Road &amp; Bridge</v>
      </c>
      <c r="B22" s="433" t="str">
        <f>inputPrYr!C19</f>
        <v>68-5,101</v>
      </c>
      <c r="C22" s="78" t="str">
        <f>IF('Road &amp; Bridge'!C57&gt;0,'Road &amp; Bridge'!C57,"")</f>
        <v/>
      </c>
      <c r="D22" s="496" t="str">
        <f>IF('Road &amp; Bridge'!$E$103&lt;&gt;0,'Road &amp; Bridge'!$E$103,"  ")</f>
        <v xml:space="preserve">  </v>
      </c>
      <c r="E22" s="497">
        <f>IF('Road &amp; Bridge'!$E$110&lt;&gt;0,'Road &amp; Bridge'!$E$110,0)</f>
        <v>0</v>
      </c>
      <c r="F22" s="342" t="str">
        <f>IF(AND('Road &amp; Bridge'!E110=0,F68&gt;=0),"",IF(AND(E22&gt;0,F68=0),"",IF(AND(E22&gt;0,F68&gt;0),ROUND(E22/F68*1000,3))))</f>
        <v/>
      </c>
    </row>
    <row r="23" spans="1:7" ht="15.75" customHeight="1" x14ac:dyDescent="0.2">
      <c r="A23" s="50" t="str">
        <f>IF((inputPrYr!$B20&gt;"  "),(inputPrYr!$B20),"  ")</f>
        <v xml:space="preserve">  </v>
      </c>
      <c r="B23" s="433" t="str">
        <f>IF((inputPrYr!C20&gt;0),(inputPrYr!C20),"  ")</f>
        <v xml:space="preserve">  </v>
      </c>
      <c r="C23" s="78" t="str">
        <f>IF('Levy Page 10'!C87&gt;0,'Levy Page 10'!C87,"  ")</f>
        <v xml:space="preserve">  </v>
      </c>
      <c r="D23" s="496" t="str">
        <f>IF('Levy Page 10'!$E$35&lt;&gt;0,'Levy Page 10'!$E$35,"  ")</f>
        <v xml:space="preserve">  </v>
      </c>
      <c r="E23" s="497">
        <f>IF('Levy Page 10'!$E$42&lt;&gt;0,'Levy Page 10'!$E$42,0)</f>
        <v>0</v>
      </c>
      <c r="F23" s="342" t="str">
        <f>IF(AND('Levy Page 10'!E42=0,$F$68&gt;=0),"",IF(AND(E23&gt;0,$F$68=0),"",IF(AND(E23&gt;0,F$68&gt;0),ROUND(E23/$F$68*1000,3))))</f>
        <v/>
      </c>
      <c r="G23" s="551"/>
    </row>
    <row r="24" spans="1:7" ht="15.75" customHeight="1" x14ac:dyDescent="0.2">
      <c r="A24" s="50" t="str">
        <f>IF((inputPrYr!$B21&gt;"  "),(inputPrYr!$B21),"  ")</f>
        <v xml:space="preserve">  </v>
      </c>
      <c r="B24" s="433" t="str">
        <f>IF((inputPrYr!C21&gt;0),(inputPrYr!C21),"  ")</f>
        <v xml:space="preserve">  </v>
      </c>
      <c r="C24" s="78" t="str">
        <f>IF('Levy Page 10'!C87&gt;0,'Levy Page 10'!C87,"  ")</f>
        <v xml:space="preserve">  </v>
      </c>
      <c r="D24" s="496" t="str">
        <f>IF('Levy Page 10'!$E$74&lt;&gt;0,'Levy Page 10'!$E$74,"  ")</f>
        <v xml:space="preserve">  </v>
      </c>
      <c r="E24" s="497">
        <f>IF('Levy Page 10'!$E$81&lt;&gt;0,'Levy Page 10'!$E$81,0)</f>
        <v>0</v>
      </c>
      <c r="F24" s="342" t="str">
        <f>IF(AND('Levy Page 10'!E81=0,$F$68&gt;=0),"",IF(AND(E24&gt;0,$F$68=0),"",IF(AND(E24&gt;0,F$68&gt;0),ROUND(E24/$F$68*1000,3))))</f>
        <v/>
      </c>
      <c r="G24" s="551"/>
    </row>
    <row r="25" spans="1:7" ht="15.75" customHeight="1" x14ac:dyDescent="0.2">
      <c r="A25" s="50" t="str">
        <f>IF((inputPrYr!$B22&gt;"  "),(inputPrYr!$B22),"  ")</f>
        <v xml:space="preserve">  </v>
      </c>
      <c r="B25" s="433" t="str">
        <f>IF((inputPrYr!C22&gt;0),(inputPrYr!C22),"  ")</f>
        <v xml:space="preserve">  </v>
      </c>
      <c r="C25" s="78" t="str">
        <f>IF('Levy Page 11'!C89&gt;0,'Levy Page 11'!C89,"  ")</f>
        <v xml:space="preserve">  </v>
      </c>
      <c r="D25" s="496" t="str">
        <f>IF('Levy Page 11'!$E$35&lt;&gt;0,'Levy Page 11'!$E$35,"  ")</f>
        <v xml:space="preserve">  </v>
      </c>
      <c r="E25" s="497">
        <f>IF('Levy Page 11'!$E$42&lt;&gt;0,'Levy Page 11'!$E$42,0)</f>
        <v>0</v>
      </c>
      <c r="F25" s="342" t="str">
        <f>IF(AND('Levy Page 11'!E42=0,$F$68&gt;=0),"",IF(AND(E25&gt;0,$F$68=0),"",IF(AND(E25&gt;0,F$68&gt;0),ROUND(E25/$F$68*1000,3))))</f>
        <v/>
      </c>
      <c r="G25" s="551"/>
    </row>
    <row r="26" spans="1:7" ht="15.75" customHeight="1" x14ac:dyDescent="0.2">
      <c r="A26" s="50" t="str">
        <f>IF((inputPrYr!$B23&gt;"  "),(inputPrYr!$B23),"  ")</f>
        <v xml:space="preserve">  </v>
      </c>
      <c r="B26" s="433" t="str">
        <f>IF((inputPrYr!C23&gt;0),(inputPrYr!C23),"  ")</f>
        <v xml:space="preserve">  </v>
      </c>
      <c r="C26" s="78" t="str">
        <f>IF('Levy Page 11'!C89&gt;0,'Levy Page 11'!C89,"  ")</f>
        <v xml:space="preserve">  </v>
      </c>
      <c r="D26" s="496" t="str">
        <f>IF('Levy Page 11'!$E$76&lt;&gt;0,'Levy Page 11'!$E$76,"  ")</f>
        <v xml:space="preserve">  </v>
      </c>
      <c r="E26" s="497">
        <f>IF('Levy Page 11'!$E$83&lt;&gt;0,'Levy Page 11'!$E$83,0)</f>
        <v>0</v>
      </c>
      <c r="F26" s="342" t="str">
        <f>IF(AND('Levy Page 11'!E83=0,$F$68&gt;=0),"",IF(AND(E26&gt;0,$F$68=0),"",IF(AND(E26&gt;0,F$68&gt;0),ROUND(E26/$F$68*1000,3))))</f>
        <v/>
      </c>
      <c r="G26" s="551"/>
    </row>
    <row r="27" spans="1:7" ht="15.75" customHeight="1" x14ac:dyDescent="0.2">
      <c r="A27" s="50" t="str">
        <f>IF((inputPrYr!$B24&gt;"  "),(inputPrYr!$B24),"  ")</f>
        <v xml:space="preserve">  </v>
      </c>
      <c r="B27" s="433" t="str">
        <f>IF((inputPrYr!C24&gt;0),(inputPrYr!C24),"  ")</f>
        <v xml:space="preserve">  </v>
      </c>
      <c r="C27" s="78" t="str">
        <f>IF('Levy Page 12'!C88&gt;0,'Levy Page 12'!C88,"  ")</f>
        <v xml:space="preserve">  </v>
      </c>
      <c r="D27" s="496" t="str">
        <f>IF('Levy Page 12'!$E$34&lt;&gt;0,'Levy Page 12'!$E$34,"  ")</f>
        <v xml:space="preserve">  </v>
      </c>
      <c r="E27" s="497">
        <f>IF('Levy Page 12'!$E$41&lt;&gt;0,'Levy Page 12'!$E$41,0)</f>
        <v>0</v>
      </c>
      <c r="F27" s="342" t="str">
        <f>IF(AND('Levy Page 12'!$E$41=0,$F$68&gt;=0),"",IF(AND(E27&gt;0,$F$68=0),"",IF(AND(E27&gt;0,F$68&gt;0),ROUND(E27/$F$68*1000,3))))</f>
        <v/>
      </c>
      <c r="G27" s="551"/>
    </row>
    <row r="28" spans="1:7" ht="15.75" customHeight="1" x14ac:dyDescent="0.2">
      <c r="A28" s="50" t="str">
        <f>IF((inputPrYr!$B25&gt;"  "),(inputPrYr!$B25),"  ")</f>
        <v xml:space="preserve">  </v>
      </c>
      <c r="B28" s="433" t="str">
        <f>IF((inputPrYr!C25&gt;0),(inputPrYr!C25),"  ")</f>
        <v xml:space="preserve">  </v>
      </c>
      <c r="C28" s="78" t="str">
        <f>IF('Levy Page 12'!C88&gt;0,'Levy Page 12'!C88,"  ")</f>
        <v xml:space="preserve">  </v>
      </c>
      <c r="D28" s="496" t="str">
        <f>IF('Levy Page 12'!$E$75&lt;&gt;0,'Levy Page 12'!$E$75,"  ")</f>
        <v xml:space="preserve">  </v>
      </c>
      <c r="E28" s="497">
        <f>IF('Levy Page 12'!$E$82&lt;&gt;0,'Levy Page 12'!$E$82,0)</f>
        <v>0</v>
      </c>
      <c r="F28" s="342" t="str">
        <f>IF(AND('Levy Page 12'!$E$82=0,$F$68&gt;=0),"",IF(AND(E28&gt;0,$F$68=0),"",IF(AND(E28&gt;0,F$68&gt;0),ROUND(E28/$F$68*1000,3))))</f>
        <v/>
      </c>
      <c r="G28" s="551"/>
    </row>
    <row r="29" spans="1:7" ht="15.75" customHeight="1" x14ac:dyDescent="0.2">
      <c r="A29" s="50" t="str">
        <f>IF((inputPrYr!$B26&gt;"  "),(inputPrYr!$B26),"  ")</f>
        <v xml:space="preserve">  </v>
      </c>
      <c r="B29" s="433" t="str">
        <f>IF((inputPrYr!C26&gt;0),(inputPrYr!C26),"  ")</f>
        <v xml:space="preserve">  </v>
      </c>
      <c r="C29" s="78" t="str">
        <f>IF('Levy Page 13'!C87&gt;0,'Levy Page 13'!C87,"  ")</f>
        <v xml:space="preserve">  </v>
      </c>
      <c r="D29" s="496" t="str">
        <f>IF('Levy Page 13'!$E$34&lt;&gt;0,'Levy Page 13'!$E$34,"  ")</f>
        <v xml:space="preserve">  </v>
      </c>
      <c r="E29" s="497">
        <f>IF('Levy Page 13'!$E$41&lt;&gt;0,'Levy Page 13'!$E$41,0)</f>
        <v>0</v>
      </c>
      <c r="F29" s="342" t="str">
        <f>IF(AND('Levy Page 13'!$E$41=0,$F$68&gt;=0),"",IF(AND(E29&gt;0,$F$68=0),"",IF(AND(E29&gt;0,F$68&gt;0),ROUND(E29/$F$68*1000,3))))</f>
        <v/>
      </c>
      <c r="G29" s="551"/>
    </row>
    <row r="30" spans="1:7" ht="15.75" customHeight="1" x14ac:dyDescent="0.2">
      <c r="A30" s="50" t="str">
        <f>IF((inputPrYr!$B27&gt;"  "),(inputPrYr!$B27),"  ")</f>
        <v xml:space="preserve">  </v>
      </c>
      <c r="B30" s="433" t="str">
        <f>IF((inputPrYr!C27&gt;0),(inputPrYr!C27),"  ")</f>
        <v xml:space="preserve">  </v>
      </c>
      <c r="C30" s="78" t="str">
        <f>IF('Levy Page 13'!C87&gt;0,'Levy Page 13'!C87,"  ")</f>
        <v xml:space="preserve">  </v>
      </c>
      <c r="D30" s="496" t="str">
        <f>IF('Levy Page 13'!$E$74&lt;&gt;0,'Levy Page 13'!$E$74,"  ")</f>
        <v xml:space="preserve">  </v>
      </c>
      <c r="E30" s="497">
        <f>IF('Levy Page 13'!$E$81&lt;&gt;0,'Levy Page 13'!$E$81,0)</f>
        <v>0</v>
      </c>
      <c r="F30" s="342" t="str">
        <f>IF(AND('Levy Page 13'!$E$81=0,$F$68&gt;=0),"",IF(AND(E30&gt;0,$F$68=0),"",IF(AND(E30&gt;0,F$68&gt;0),ROUND(E30/$F$68*1000,3))))</f>
        <v/>
      </c>
      <c r="G30" s="551"/>
    </row>
    <row r="31" spans="1:7" ht="15.75" customHeight="1" x14ac:dyDescent="0.2">
      <c r="A31" s="50" t="str">
        <f>IF((inputPrYr!$B28&gt;"  "),(inputPrYr!$B28),"  ")</f>
        <v xml:space="preserve">  </v>
      </c>
      <c r="B31" s="433" t="str">
        <f>IF((inputPrYr!C28&gt;0),(inputPrYr!C28),"  ")</f>
        <v xml:space="preserve">  </v>
      </c>
      <c r="C31" s="78" t="str">
        <f>IF('Levy Page 14'!C86&gt;0,'Levy Page 14'!C86,"  ")</f>
        <v xml:space="preserve">  </v>
      </c>
      <c r="D31" s="496" t="str">
        <f>IF('Levy Page 14'!$E$33&lt;&gt;0,'Levy Page 14'!$E$33,"  ")</f>
        <v xml:space="preserve">  </v>
      </c>
      <c r="E31" s="497">
        <f>IF('Levy Page 14'!$E$40&lt;&gt;0,'Levy Page 14'!$E$40,0)</f>
        <v>0</v>
      </c>
      <c r="F31" s="342" t="str">
        <f>IF(AND('Levy Page 14'!$E$40=0,$F$68&gt;=0),"",IF(AND(E31&gt;0,$F$68=0),"",IF(AND(E31&gt;0,F$68&gt;0),ROUND(E31/$F$68*1000,3))))</f>
        <v/>
      </c>
      <c r="G31" s="551"/>
    </row>
    <row r="32" spans="1:7" ht="15.75" customHeight="1" x14ac:dyDescent="0.2">
      <c r="A32" s="50" t="str">
        <f>IF((inputPrYr!$B29&gt;"  "),(inputPrYr!$B29),"  ")</f>
        <v xml:space="preserve">  </v>
      </c>
      <c r="B32" s="433" t="str">
        <f>IF((inputPrYr!C29&gt;0),(inputPrYr!C29),"  ")</f>
        <v xml:space="preserve">  </v>
      </c>
      <c r="C32" s="78" t="str">
        <f>IF('Levy Page 14'!C86&gt;0,'Levy Page 14'!C86,"  ")</f>
        <v xml:space="preserve">  </v>
      </c>
      <c r="D32" s="496" t="str">
        <f>IF('Levy Page 14'!$E$73&lt;&gt;0,'Levy Page 14'!$E$73,"  ")</f>
        <v xml:space="preserve">  </v>
      </c>
      <c r="E32" s="497">
        <f>IF('Levy Page 14'!$E$80&lt;&gt;0,'Levy Page 14'!$E$80,0)</f>
        <v>0</v>
      </c>
      <c r="F32" s="342" t="str">
        <f>IF(AND('Levy Page 14'!$E$80=0,$F$68&gt;=0),"",IF(AND(E32&gt;0,$F$68=0),"",IF(AND(E32&gt;0,F$68&gt;0),ROUND(E32/$F$68*1000,3))))</f>
        <v/>
      </c>
      <c r="G32" s="551"/>
    </row>
    <row r="33" spans="1:7" ht="15.75" customHeight="1" x14ac:dyDescent="0.2">
      <c r="A33" s="50" t="str">
        <f>IF((inputPrYr!$B30&gt;"  "),(inputPrYr!$B30),"  ")</f>
        <v xml:space="preserve">  </v>
      </c>
      <c r="B33" s="433" t="str">
        <f>IF((inputPrYr!C30&gt;0),(inputPrYr!C30),"  ")</f>
        <v xml:space="preserve">  </v>
      </c>
      <c r="C33" s="78" t="str">
        <f>IF('Levy Page 15'!C87&gt;0,'Levy Page 15'!C87,"  ")</f>
        <v xml:space="preserve">  </v>
      </c>
      <c r="D33" s="496" t="str">
        <f>IF('Levy Page 15'!$E$33&lt;&gt;0,'Levy Page 15'!$E$33,"  ")</f>
        <v xml:space="preserve">  </v>
      </c>
      <c r="E33" s="497">
        <f>IF('Levy Page 15'!$E$40&lt;&gt;0,'Levy Page 15'!$E$40,0)</f>
        <v>0</v>
      </c>
      <c r="F33" s="342" t="str">
        <f>IF(AND('Levy Page 15'!$E$40=0,$F$68&gt;=0),"",IF(AND(E33&gt;0,$F$68=0),"",IF(AND(E33&gt;0,F$68&gt;0),ROUND(E33/$F$68*1000,3))))</f>
        <v/>
      </c>
      <c r="G33" s="551"/>
    </row>
    <row r="34" spans="1:7" ht="15.75" customHeight="1" x14ac:dyDescent="0.2">
      <c r="A34" s="50" t="str">
        <f>IF((inputPrYr!$B31&gt;"  "),(inputPrYr!$B31),"  ")</f>
        <v xml:space="preserve">  </v>
      </c>
      <c r="B34" s="433" t="str">
        <f>IF((inputPrYr!C31&gt;0),(inputPrYr!C31),"  ")</f>
        <v xml:space="preserve">  </v>
      </c>
      <c r="C34" s="78" t="str">
        <f>IF('Levy Page 15'!C87&gt;0,'Levy Page 15'!C87,"  ")</f>
        <v xml:space="preserve">  </v>
      </c>
      <c r="D34" s="496" t="str">
        <f>IF('Levy Page 15'!$E$74&lt;&gt;0,'Levy Page 15'!$E$74,"  ")</f>
        <v xml:space="preserve">  </v>
      </c>
      <c r="E34" s="497">
        <f>IF('Levy Page 15'!$E$81&lt;&gt;0,'Levy Page 15'!$E$81,0)</f>
        <v>0</v>
      </c>
      <c r="F34" s="342" t="str">
        <f>IF(AND('Levy Page 15'!$E$81=0,$F$68&gt;=0),"",IF(AND(E34&gt;0,$F$68=0),"",IF(AND(E34&gt;0,F$68&gt;0),ROUND(E34/$F$68*1000,3))))</f>
        <v/>
      </c>
      <c r="G34" s="551"/>
    </row>
    <row r="35" spans="1:7" ht="15.75" customHeight="1" x14ac:dyDescent="0.2">
      <c r="A35" s="50" t="str">
        <f>IF((inputPrYr!$B32&gt;"  "),(inputPrYr!$B32),"  ")</f>
        <v xml:space="preserve">  </v>
      </c>
      <c r="B35" s="433" t="str">
        <f>IF((inputPrYr!C32&gt;0),(inputPrYr!C32),"  ")</f>
        <v xml:space="preserve">  </v>
      </c>
      <c r="C35" s="78" t="str">
        <f>IF('Levy Page 16'!C86&gt;0,'Levy Page 16'!C86,"  ")</f>
        <v xml:space="preserve">  </v>
      </c>
      <c r="D35" s="496" t="str">
        <f>IF('Levy Page 16'!$E$33&lt;&gt;0,'Levy Page 16'!$E$33,"  ")</f>
        <v xml:space="preserve">  </v>
      </c>
      <c r="E35" s="497">
        <f>IF('Levy Page 16'!$E$40&lt;&gt;0,'Levy Page 16'!$E$40,0)</f>
        <v>0</v>
      </c>
      <c r="F35" s="342" t="str">
        <f>IF(AND('Levy Page 16'!$E$40=0,$F$68&gt;=0),"",IF(AND(E35&gt;0,$F$68=0),"",IF(AND(E35&gt;0,F$68&gt;0),ROUND(E35/$F$68*1000,3))))</f>
        <v/>
      </c>
      <c r="G35" s="551"/>
    </row>
    <row r="36" spans="1:7" ht="15.75" customHeight="1" x14ac:dyDescent="0.2">
      <c r="A36" s="50" t="str">
        <f>IF((inputPrYr!$B33&gt;"  "),(inputPrYr!$B33),"  ")</f>
        <v xml:space="preserve">  </v>
      </c>
      <c r="B36" s="433" t="str">
        <f>IF((inputPrYr!C33&gt;0),(inputPrYr!C33),"  ")</f>
        <v xml:space="preserve">  </v>
      </c>
      <c r="C36" s="78" t="str">
        <f>IF('Levy Page 16'!C86&gt;0,'Levy Page 16'!C86,"  ")</f>
        <v xml:space="preserve">  </v>
      </c>
      <c r="D36" s="496" t="str">
        <f>IF('Levy Page 16'!$E$73&lt;&gt;0,'Levy Page 16'!$E$73,"  ")</f>
        <v xml:space="preserve">  </v>
      </c>
      <c r="E36" s="497">
        <f>IF('Levy Page 16'!$E$80&lt;&gt;0,'Levy Page 16'!$E$80,0)</f>
        <v>0</v>
      </c>
      <c r="F36" s="342" t="str">
        <f>IF(AND('Levy Page 16'!$E$80=0,$F$68&gt;=0),"",IF(AND(E36&gt;0,$F$68=0),"",IF(AND(E36&gt;0,F$68&gt;0),ROUND(E36/$F$68*1000,3))))</f>
        <v/>
      </c>
      <c r="G36" s="551"/>
    </row>
    <row r="37" spans="1:7" ht="15.75" customHeight="1" x14ac:dyDescent="0.2">
      <c r="A37" s="50" t="str">
        <f>IF((inputPrYr!$B34&gt;"  "),(inputPrYr!$B34),"  ")</f>
        <v xml:space="preserve">  </v>
      </c>
      <c r="B37" s="433" t="str">
        <f>IF((inputPrYr!C34&gt;0),(inputPrYr!C34),"  ")</f>
        <v xml:space="preserve">  </v>
      </c>
      <c r="C37" s="78" t="str">
        <f>IF('Levy Page 17'!C86&gt;0,'Levy Page 17'!C86,"  ")</f>
        <v xml:space="preserve">  </v>
      </c>
      <c r="D37" s="496" t="str">
        <f>IF('Levy Page 17'!$E$33&lt;&gt;0,'Levy Page 17'!$E$33,"  ")</f>
        <v xml:space="preserve">  </v>
      </c>
      <c r="E37" s="497">
        <f>IF('Levy Page 17'!$E$40&lt;&gt;0,'Levy Page 17'!$E$40,0)</f>
        <v>0</v>
      </c>
      <c r="F37" s="342" t="str">
        <f>IF(AND('Levy Page 17'!$E$40=0,$F$68&gt;=0),"",IF(AND(E37&gt;0,$F$68=0),"",IF(AND(E37&gt;0,F$68&gt;0),ROUND(E37/$F$68*1000,3))))</f>
        <v/>
      </c>
      <c r="G37" s="551"/>
    </row>
    <row r="38" spans="1:7" ht="15.75" customHeight="1" x14ac:dyDescent="0.2">
      <c r="A38" s="50" t="str">
        <f>IF((inputPrYr!$B35&gt;"  "),(inputPrYr!$B35),"  ")</f>
        <v xml:space="preserve">  </v>
      </c>
      <c r="B38" s="433" t="str">
        <f>IF((inputPrYr!C35&gt;0),(inputPrYr!C35),"  ")</f>
        <v xml:space="preserve">  </v>
      </c>
      <c r="C38" s="78" t="str">
        <f>IF('Levy Page 17'!C86&gt;0,'Levy Page 17'!C86,"  ")</f>
        <v xml:space="preserve">  </v>
      </c>
      <c r="D38" s="496" t="str">
        <f>IF('Levy Page 17'!$E$73&lt;&gt;0,'Levy Page 17'!$E$73,"  ")</f>
        <v xml:space="preserve">  </v>
      </c>
      <c r="E38" s="497">
        <f>IF('Levy Page 17'!$E$80&lt;&gt;0,'Levy Page 17'!$E$80,0)</f>
        <v>0</v>
      </c>
      <c r="F38" s="342" t="str">
        <f>IF(AND('Levy Page 17'!$E$80=0,$F$68&gt;=0),"",IF(AND(E38&gt;0,$F$68=0),"",IF(AND(E38&gt;0,F$68&gt;0),ROUND(E38/$F$68*1000,3))))</f>
        <v/>
      </c>
      <c r="G38" s="551"/>
    </row>
    <row r="39" spans="1:7" ht="15.75" customHeight="1" x14ac:dyDescent="0.2">
      <c r="A39" s="50" t="str">
        <f>IF((inputPrYr!$B36&gt;"  "),(inputPrYr!$B36),"  ")</f>
        <v xml:space="preserve">  </v>
      </c>
      <c r="B39" s="433" t="str">
        <f>IF((inputPrYr!C36&gt;0),(inputPrYr!C36),"  ")</f>
        <v xml:space="preserve">  </v>
      </c>
      <c r="C39" s="78" t="str">
        <f>IF('Levy Page 18'!C87&gt;0,'Levy Page 18'!C87,"  ")</f>
        <v xml:space="preserve">  </v>
      </c>
      <c r="D39" s="496" t="str">
        <f>IF('Levy Page 18'!$E$33&lt;&gt;0,'Levy Page 18'!$E$33,"  ")</f>
        <v xml:space="preserve">  </v>
      </c>
      <c r="E39" s="497">
        <f>IF('Levy Page 18'!$E$40&lt;&gt;0,'Levy Page 18'!$E$40,0)</f>
        <v>0</v>
      </c>
      <c r="F39" s="342" t="str">
        <f>IF(AND('Levy Page 18'!$E$40=0,$F$68&gt;=0),"",IF(AND(E39&gt;0,$F$68=0),"",IF(AND(E39&gt;0,F$68&gt;0),ROUND(E39/$F$68*1000,3))))</f>
        <v/>
      </c>
      <c r="G39" s="551"/>
    </row>
    <row r="40" spans="1:7" ht="15.75" customHeight="1" x14ac:dyDescent="0.2">
      <c r="A40" s="50" t="str">
        <f>IF((inputPrYr!$B37&gt;"  "),(inputPrYr!$B37),"  ")</f>
        <v xml:space="preserve">  </v>
      </c>
      <c r="B40" s="433" t="str">
        <f>IF((inputPrYr!C37&gt;0),(inputPrYr!C37),"  ")</f>
        <v xml:space="preserve">  </v>
      </c>
      <c r="C40" s="78" t="str">
        <f>IF('Levy Page 18'!C87&gt;0,'Levy Page 18'!C87,"  ")</f>
        <v xml:space="preserve">  </v>
      </c>
      <c r="D40" s="496" t="str">
        <f>IF('Levy Page 18'!$E$74&lt;&gt;0,'Levy Page 18'!$E$74,"  ")</f>
        <v xml:space="preserve">  </v>
      </c>
      <c r="E40" s="497">
        <f>IF('Levy Page 18'!$E$81&lt;&gt;0,'Levy Page 18'!$E$81,0)</f>
        <v>0</v>
      </c>
      <c r="F40" s="342" t="str">
        <f>IF(AND('Levy Page 18'!$E$81=0,$F$68&gt;=0),"",IF(AND(E40&gt;0,$F$68=0),"",IF(AND(E40&gt;0,F$68&gt;0),ROUND(E40/$F$68*1000,3))))</f>
        <v/>
      </c>
      <c r="G40" s="551"/>
    </row>
    <row r="41" spans="1:7" ht="15.75" customHeight="1" x14ac:dyDescent="0.2">
      <c r="A41" s="50" t="str">
        <f>IF((inputPrYr!$B38&gt;"  "),(inputPrYr!$B38),"  ")</f>
        <v xml:space="preserve">  </v>
      </c>
      <c r="B41" s="433" t="str">
        <f>IF((inputPrYr!C38&gt;0),(inputPrYr!C38),"  ")</f>
        <v xml:space="preserve">  </v>
      </c>
      <c r="C41" s="78" t="str">
        <f>IF('Levy Page 19'!C87&gt;0,'Levy Page 19'!C87,"  ")</f>
        <v xml:space="preserve">  </v>
      </c>
      <c r="D41" s="496" t="str">
        <f>IF('Levy Page 19'!E33&lt;&gt;0,'Levy Page 19'!E33,"  ")</f>
        <v xml:space="preserve">  </v>
      </c>
      <c r="E41" s="497">
        <f>IF('Levy Page 19'!E40&lt;&gt;0,'Levy Page 19'!E40,0)</f>
        <v>0</v>
      </c>
      <c r="F41" s="342" t="str">
        <f>IF(AND('Levy Page 19'!$E$40=0,$F$68&gt;=0),"",IF(AND(E41&gt;0,$F$68=0),"",IF(AND(E41&gt;0,F$68&gt;0),ROUND(E41/$F$68*1000,3))))</f>
        <v/>
      </c>
      <c r="G41" s="551"/>
    </row>
    <row r="42" spans="1:7" ht="15.75" customHeight="1" x14ac:dyDescent="0.2">
      <c r="A42" s="50" t="str">
        <f>IF((inputPrYr!$B39&gt;"  "),(inputPrYr!$B39),"  ")</f>
        <v xml:space="preserve">  </v>
      </c>
      <c r="B42" s="433" t="str">
        <f>IF((inputPrYr!C39&gt;0),(inputPrYr!C39),"  ")</f>
        <v xml:space="preserve">  </v>
      </c>
      <c r="C42" s="78" t="str">
        <f>IF('Levy Page 19'!C87&gt;0,'Levy Page 19'!C87,"  ")</f>
        <v xml:space="preserve">  </v>
      </c>
      <c r="D42" s="496" t="str">
        <f>IF('Levy Page 19'!E74&lt;&gt;0,'Levy Page 19'!E74,"  ")</f>
        <v xml:space="preserve">  </v>
      </c>
      <c r="E42" s="497">
        <f>IF('Levy Page 19'!E81&lt;&gt;0,'Levy Page 19'!E81,0)</f>
        <v>0</v>
      </c>
      <c r="F42" s="342" t="str">
        <f>IF(AND('Levy Page 19'!$E$81=0,$F$68&gt;=0),"",IF(AND(E42&gt;0,$F$68=0),"",IF(AND(E42&gt;0,F$68&gt;0),ROUND(E42/$F$68*1000,3))))</f>
        <v/>
      </c>
      <c r="G42" s="551"/>
    </row>
    <row r="43" spans="1:7" ht="15.75" customHeight="1" x14ac:dyDescent="0.2">
      <c r="A43" s="50" t="str">
        <f>IF((inputPrYr!$B40&gt;"  "),(inputPrYr!$B40),"  ")</f>
        <v xml:space="preserve">  </v>
      </c>
      <c r="B43" s="433" t="str">
        <f>IF((inputPrYr!C40&gt;0),(inputPrYr!C40),"  ")</f>
        <v xml:space="preserve">  </v>
      </c>
      <c r="C43" s="78" t="str">
        <f>IF('Levy Page 20'!C87&gt;0,'Levy Page 20'!C87,"  ")</f>
        <v xml:space="preserve">  </v>
      </c>
      <c r="D43" s="496" t="str">
        <f>IF('Levy Page 20'!$E$33&lt;&gt;0,'Levy Page 20'!$E$33,"  ")</f>
        <v xml:space="preserve">  </v>
      </c>
      <c r="E43" s="497">
        <f>IF('Levy Page 20'!$E$40&lt;&gt;0,'Levy Page 20'!$E$40,0)</f>
        <v>0</v>
      </c>
      <c r="F43" s="342" t="str">
        <f>IF(AND('Levy Page 20'!$E$40=0,$F$68&gt;=0),"",IF(AND(E43&gt;0,$F$68=0),"",IF(AND(E43&gt;0,F$68&gt;0),ROUND(E43/$F$68*1000,3))))</f>
        <v/>
      </c>
      <c r="G43" s="551"/>
    </row>
    <row r="44" spans="1:7" ht="15.75" customHeight="1" x14ac:dyDescent="0.2">
      <c r="A44" s="50" t="str">
        <f>IF((inputPrYr!$B41&gt;"  "),(inputPrYr!$B41),"  ")</f>
        <v xml:space="preserve">  </v>
      </c>
      <c r="B44" s="433" t="str">
        <f>IF((inputPrYr!C41&gt;0),(inputPrYr!C41),"  ")</f>
        <v xml:space="preserve">  </v>
      </c>
      <c r="C44" s="78" t="str">
        <f>IF('Levy Page 20'!C87&gt;0,'Levy Page 20'!C87,"  ")</f>
        <v xml:space="preserve">  </v>
      </c>
      <c r="D44" s="496" t="str">
        <f>IF('Levy Page 20'!$E$74&lt;&gt;0,'Levy Page 20'!$E$74,"  ")</f>
        <v xml:space="preserve">  </v>
      </c>
      <c r="E44" s="497">
        <f>IF('Levy Page 20'!$E$81&lt;&gt;0,'Levy Page 20'!$E$81,0)</f>
        <v>0</v>
      </c>
      <c r="F44" s="342" t="str">
        <f>IF(AND('Levy Page 20'!$E$81=0,$F$68&gt;=0),"",IF(AND(E44&gt;0,$F$68=0),"",IF(AND(E44&gt;0,F$68&gt;0),ROUND(E44/$F$68*1000,3))))</f>
        <v/>
      </c>
    </row>
    <row r="45" spans="1:7" ht="15.75" customHeight="1" x14ac:dyDescent="0.2">
      <c r="A45" s="50" t="str">
        <f>IF((inputPrYr!$B44&gt;"  "),(inputPrYr!$B44),"  ")</f>
        <v xml:space="preserve">  </v>
      </c>
      <c r="B45" s="96"/>
      <c r="C45" s="78" t="str">
        <f>IF('No Levy Page 21'!C64&gt;0,'No Levy Page 21'!C64,"  ")</f>
        <v xml:space="preserve">  </v>
      </c>
      <c r="D45" s="496" t="str">
        <f>IF('No Levy Page 21'!$E$27&lt;&gt;0,'No Levy Page 21'!$E$27,"  ")</f>
        <v xml:space="preserve">  </v>
      </c>
      <c r="E45" s="498"/>
      <c r="F45" s="498"/>
    </row>
    <row r="46" spans="1:7" ht="15.75" customHeight="1" x14ac:dyDescent="0.2">
      <c r="A46" s="50" t="str">
        <f>IF((inputPrYr!$B45&gt;"  "),(inputPrYr!$B45),"  ")</f>
        <v xml:space="preserve">  </v>
      </c>
      <c r="B46" s="96"/>
      <c r="C46" s="78" t="str">
        <f>IF('No Levy Page 21'!C64&gt;0,'No Levy Page 21'!C64,"  ")</f>
        <v xml:space="preserve">  </v>
      </c>
      <c r="D46" s="496" t="str">
        <f>IF('No Levy Page 21'!$E$56&lt;&gt;0,'No Levy Page 21'!$E$56,"  ")</f>
        <v xml:space="preserve">  </v>
      </c>
      <c r="E46" s="498"/>
      <c r="F46" s="498"/>
    </row>
    <row r="47" spans="1:7" ht="15.75" customHeight="1" x14ac:dyDescent="0.2">
      <c r="A47" s="50" t="str">
        <f>IF((inputPrYr!$B46&gt;"  "),(inputPrYr!$B46),"  ")</f>
        <v xml:space="preserve">  </v>
      </c>
      <c r="B47" s="96"/>
      <c r="C47" s="78" t="str">
        <f>IF('No Levy Page 22'!C65&gt;0,'No Levy Page 22'!C65,"  ")</f>
        <v xml:space="preserve">  </v>
      </c>
      <c r="D47" s="496" t="str">
        <f>IF('No Levy Page 22'!$E$27&lt;&gt;0,'No Levy Page 22'!$E$27,"  ")</f>
        <v xml:space="preserve">  </v>
      </c>
      <c r="E47" s="498"/>
      <c r="F47" s="498"/>
    </row>
    <row r="48" spans="1:7" ht="15.75" customHeight="1" x14ac:dyDescent="0.2">
      <c r="A48" s="50" t="str">
        <f>IF((inputPrYr!$B47&gt;"  "),(inputPrYr!$B47),"  ")</f>
        <v xml:space="preserve">  </v>
      </c>
      <c r="B48" s="96"/>
      <c r="C48" s="78" t="str">
        <f>IF('No Levy Page 22'!C65&gt;0,'No Levy Page 22'!C65,"  ")</f>
        <v xml:space="preserve">  </v>
      </c>
      <c r="D48" s="496" t="str">
        <f>IF('No Levy Page 22'!$E$57&lt;&gt;0,'No Levy Page 22'!$E$57,"  ")</f>
        <v xml:space="preserve">  </v>
      </c>
      <c r="E48" s="498"/>
      <c r="F48" s="498"/>
    </row>
    <row r="49" spans="1:6" ht="15.75" customHeight="1" x14ac:dyDescent="0.2">
      <c r="A49" s="50" t="str">
        <f>IF((inputPrYr!$B48&gt;"  "),(inputPrYr!$B48),"  ")</f>
        <v xml:space="preserve">  </v>
      </c>
      <c r="B49" s="96"/>
      <c r="C49" s="78" t="str">
        <f>IF('No Levy Page 23'!C64&gt;0,'No Levy Page 23'!C64,"  ")</f>
        <v xml:space="preserve">  </v>
      </c>
      <c r="D49" s="496" t="str">
        <f>IF('No Levy Page 23'!$E$27&lt;&gt;0,'No Levy Page 23'!$E$27,"  ")</f>
        <v xml:space="preserve">  </v>
      </c>
      <c r="E49" s="498"/>
      <c r="F49" s="498"/>
    </row>
    <row r="50" spans="1:6" ht="15.75" customHeight="1" x14ac:dyDescent="0.2">
      <c r="A50" s="50" t="str">
        <f>IF((inputPrYr!$B49&gt;"  "),(inputPrYr!$B49),"  ")</f>
        <v xml:space="preserve">  </v>
      </c>
      <c r="B50" s="96"/>
      <c r="C50" s="78" t="str">
        <f>IF('No Levy Page 23'!C64&gt;0,'No Levy Page 23'!C64,"  ")</f>
        <v xml:space="preserve">  </v>
      </c>
      <c r="D50" s="496" t="str">
        <f>IF('No Levy Page 23'!$E$56&lt;&gt;0,'No Levy Page 23'!$E$56,"  ")</f>
        <v xml:space="preserve">  </v>
      </c>
      <c r="E50" s="498"/>
      <c r="F50" s="498"/>
    </row>
    <row r="51" spans="1:6" ht="15.75" customHeight="1" x14ac:dyDescent="0.2">
      <c r="A51" s="50" t="str">
        <f>IF((inputPrYr!$B50&gt;"  "),(inputPrYr!$B50),"  ")</f>
        <v xml:space="preserve">  </v>
      </c>
      <c r="B51" s="96"/>
      <c r="C51" s="78" t="str">
        <f>IF('No Levy Page 24'!C64&gt;0,'No Levy Page 24'!C64,"  ")</f>
        <v xml:space="preserve">  </v>
      </c>
      <c r="D51" s="496" t="str">
        <f>IF('No Levy Page 24'!$E$27&lt;&gt;0,'No Levy Page 24'!$E$27,"  ")</f>
        <v xml:space="preserve">  </v>
      </c>
      <c r="E51" s="498"/>
      <c r="F51" s="498"/>
    </row>
    <row r="52" spans="1:6" ht="15.75" customHeight="1" x14ac:dyDescent="0.2">
      <c r="A52" s="50" t="str">
        <f>IF((inputPrYr!$B51&gt;"  "),(inputPrYr!$B51),"  ")</f>
        <v xml:space="preserve">  </v>
      </c>
      <c r="B52" s="96"/>
      <c r="C52" s="78" t="str">
        <f>IF('No Levy Page 24'!C64&gt;0,'No Levy Page 24'!C64,"  ")</f>
        <v xml:space="preserve">  </v>
      </c>
      <c r="D52" s="496" t="str">
        <f>IF('No Levy Page 24'!$E$56&lt;&gt;0,'No Levy Page 24'!$E$56,"  ")</f>
        <v xml:space="preserve">  </v>
      </c>
      <c r="E52" s="498"/>
      <c r="F52" s="498"/>
    </row>
    <row r="53" spans="1:6" ht="15.75" customHeight="1" x14ac:dyDescent="0.2">
      <c r="A53" s="50" t="str">
        <f>IF((inputPrYr!$B52&gt;"  "),(inputPrYr!$B52),"  ")</f>
        <v xml:space="preserve">  </v>
      </c>
      <c r="B53" s="96"/>
      <c r="C53" s="78" t="str">
        <f>IF('No Levy Page 25'!C65&gt;0,'No Levy Page 25'!C65,"  ")</f>
        <v xml:space="preserve">  </v>
      </c>
      <c r="D53" s="496" t="str">
        <f>IF('No Levy Page 25'!$E$27&lt;&gt;0,'No Levy Page 25'!$E$27,"  ")</f>
        <v xml:space="preserve">  </v>
      </c>
      <c r="E53" s="498"/>
      <c r="F53" s="498"/>
    </row>
    <row r="54" spans="1:6" ht="15.75" customHeight="1" x14ac:dyDescent="0.2">
      <c r="A54" s="50" t="str">
        <f>IF((inputPrYr!$B53&gt;"  "),(inputPrYr!$B53),"  ")</f>
        <v xml:space="preserve">  </v>
      </c>
      <c r="B54" s="96"/>
      <c r="C54" s="78" t="str">
        <f>IF('No Levy Page 25'!C65&gt;0,'No Levy Page 25'!C65,"  ")</f>
        <v xml:space="preserve">  </v>
      </c>
      <c r="D54" s="496" t="str">
        <f>IF('No Levy Page 25'!$E$57&lt;&gt;0,'No Levy Page 25'!$E$57,"  ")</f>
        <v xml:space="preserve">  </v>
      </c>
      <c r="E54" s="498"/>
      <c r="F54" s="498"/>
    </row>
    <row r="55" spans="1:6" ht="15.75" customHeight="1" x14ac:dyDescent="0.2">
      <c r="A55" s="50" t="str">
        <f>IF((inputPrYr!$B54&gt;"  "),(inputPrYr!$B54),"  ")</f>
        <v xml:space="preserve">  </v>
      </c>
      <c r="B55" s="96"/>
      <c r="C55" s="78" t="str">
        <f>IF('No Levy Page 26'!C65&gt;0,'No Levy Page 26'!C65,"  ")</f>
        <v xml:space="preserve">  </v>
      </c>
      <c r="D55" s="496" t="str">
        <f>IF('No Levy Page 26'!$E$27&lt;&gt;0,'No Levy Page 26'!$E$27,"  ")</f>
        <v xml:space="preserve">  </v>
      </c>
      <c r="E55" s="498"/>
      <c r="F55" s="498"/>
    </row>
    <row r="56" spans="1:6" ht="15.75" customHeight="1" x14ac:dyDescent="0.2">
      <c r="A56" s="50" t="str">
        <f>IF((inputPrYr!$B55&gt;"  "),(inputPrYr!$B55),"  ")</f>
        <v xml:space="preserve">  </v>
      </c>
      <c r="B56" s="96"/>
      <c r="C56" s="78" t="str">
        <f>IF('No Levy Page 26'!C65&gt;0,'No Levy Page 26'!C65,"  ")</f>
        <v xml:space="preserve">  </v>
      </c>
      <c r="D56" s="496" t="str">
        <f>IF('No Levy Page 26'!$E$57&lt;&gt;0,'No Levy Page 26'!$E$57,"  ")</f>
        <v xml:space="preserve">  </v>
      </c>
      <c r="E56" s="499"/>
      <c r="F56" s="499"/>
    </row>
    <row r="57" spans="1:6" ht="15.75" customHeight="1" x14ac:dyDescent="0.2">
      <c r="A57" s="50" t="str">
        <f>IF((inputPrYr!$B56&gt;"  "),(inputPrYr!$B56),"  ")</f>
        <v xml:space="preserve">  </v>
      </c>
      <c r="B57" s="96"/>
      <c r="C57" s="78" t="str">
        <f>IF('No Levy Page 27'!C65&gt;0,'No Levy Page 27'!C65,"  ")</f>
        <v xml:space="preserve">  </v>
      </c>
      <c r="D57" s="496" t="str">
        <f>IF('No Levy Page 27'!$E$27&lt;&gt;0,'No Levy Page 27'!$E$27,"  ")</f>
        <v xml:space="preserve">  </v>
      </c>
      <c r="E57" s="499"/>
      <c r="F57" s="499"/>
    </row>
    <row r="58" spans="1:6" ht="15.75" customHeight="1" x14ac:dyDescent="0.2">
      <c r="A58" s="50" t="str">
        <f>IF((inputPrYr!$B57&gt;"  "),(inputPrYr!$B57),"  ")</f>
        <v xml:space="preserve">  </v>
      </c>
      <c r="B58" s="96"/>
      <c r="C58" s="78" t="str">
        <f>IF('No Levy Page 27'!C65&gt;0,'No Levy Page 27'!C65,"  ")</f>
        <v xml:space="preserve">  </v>
      </c>
      <c r="D58" s="496" t="str">
        <f>IF('No Levy Page 27'!$E$57&lt;&gt;0,'No Levy Page 27'!$E$57,"  ")</f>
        <v xml:space="preserve">  </v>
      </c>
      <c r="E58" s="499"/>
      <c r="F58" s="499"/>
    </row>
    <row r="59" spans="1:6" ht="15.75" customHeight="1" x14ac:dyDescent="0.2">
      <c r="A59" s="50" t="str">
        <f>IF((inputPrYr!$B58&gt;"  "),(inputPrYr!$B58),"  ")</f>
        <v xml:space="preserve">  </v>
      </c>
      <c r="B59" s="96"/>
      <c r="C59" s="78" t="str">
        <f>IF('No Levy Page 28'!C65&gt;0,'No Levy Page 28'!C65,"  ")</f>
        <v xml:space="preserve">  </v>
      </c>
      <c r="D59" s="496" t="str">
        <f>IF('No Levy Page 28'!$E$27&lt;&gt;0,'No Levy Page 28'!$E$27,"  ")</f>
        <v xml:space="preserve">  </v>
      </c>
      <c r="E59" s="499"/>
      <c r="F59" s="499"/>
    </row>
    <row r="60" spans="1:6" ht="15.75" customHeight="1" x14ac:dyDescent="0.2">
      <c r="A60" s="50" t="str">
        <f>IF((inputPrYr!$B59&gt;"  "),(inputPrYr!$B59),"  ")</f>
        <v xml:space="preserve">  </v>
      </c>
      <c r="B60" s="38"/>
      <c r="C60" s="78" t="str">
        <f>IF('No Levy Page 28'!C65&gt;0,'No Levy Page 28'!C65,"  ")</f>
        <v xml:space="preserve">  </v>
      </c>
      <c r="D60" s="496" t="str">
        <f>IF('No Levy Page 28'!$E$57&lt;&gt;0,'No Levy Page 28'!$E$57,"  ")</f>
        <v xml:space="preserve">  </v>
      </c>
      <c r="E60" s="499"/>
      <c r="F60" s="499"/>
    </row>
    <row r="61" spans="1:6" ht="15.75" customHeight="1" x14ac:dyDescent="0.2">
      <c r="A61" s="50" t="str">
        <f>IF((inputPrYr!$B63&gt;"  "),('Non-Budgeted Funds A'!$A3),"  ")</f>
        <v xml:space="preserve">  </v>
      </c>
      <c r="B61" s="38"/>
      <c r="C61" s="78" t="str">
        <f>IF('Non-Budgeted Funds A'!$F$37&gt;0,'Non-Budgeted Funds A'!$F$37,"  ")</f>
        <v xml:space="preserve">  </v>
      </c>
      <c r="D61" s="496"/>
      <c r="E61" s="499"/>
      <c r="F61" s="499"/>
    </row>
    <row r="62" spans="1:6" ht="15.75" customHeight="1" x14ac:dyDescent="0.2">
      <c r="A62" s="50" t="str">
        <f>IF((inputPrYr!$B69&gt;"  "),('Non-Budgeted Funds B'!$A3),"  ")</f>
        <v xml:space="preserve">  </v>
      </c>
      <c r="B62" s="38"/>
      <c r="C62" s="78" t="str">
        <f>IF('Non-Budgeted Funds B'!$F$37&gt;0,'Non-Budgeted Funds B'!$F$37,"  ")</f>
        <v xml:space="preserve">  </v>
      </c>
      <c r="D62" s="496"/>
      <c r="E62" s="499"/>
      <c r="F62" s="499"/>
    </row>
    <row r="63" spans="1:6" ht="15.75" customHeight="1" x14ac:dyDescent="0.2">
      <c r="A63" s="50" t="str">
        <f>IF((inputPrYr!$B75&gt;"  "),('Non-Budgeted Funds C'!$A3),"  ")</f>
        <v xml:space="preserve">  </v>
      </c>
      <c r="B63" s="38"/>
      <c r="C63" s="78" t="str">
        <f>IF('Non-Budgeted Funds C'!$F$37&gt;0,'Non-Budgeted Funds C'!$F$37,"  ")</f>
        <v xml:space="preserve">  </v>
      </c>
      <c r="D63" s="496"/>
      <c r="E63" s="499"/>
      <c r="F63" s="499"/>
    </row>
    <row r="64" spans="1:6" ht="15.75" customHeight="1" x14ac:dyDescent="0.2">
      <c r="A64" s="50" t="str">
        <f>IF((inputPrYr!$B81&gt;"  "),('Non-Budgeted Funds D'!$A3),"  ")</f>
        <v xml:space="preserve">  </v>
      </c>
      <c r="B64" s="38"/>
      <c r="C64" s="78" t="str">
        <f>IF('Non-Budgeted Funds D'!$F$37&gt;0,'Non-Budgeted Funds D'!$F$37,"  ")</f>
        <v xml:space="preserve">  </v>
      </c>
      <c r="D64" s="496"/>
      <c r="E64" s="499"/>
      <c r="F64" s="499"/>
    </row>
    <row r="65" spans="1:6" ht="15.75" customHeight="1" thickBot="1" x14ac:dyDescent="0.25">
      <c r="A65" s="476" t="s">
        <v>77</v>
      </c>
      <c r="B65" s="472"/>
      <c r="C65" s="477" t="s">
        <v>66</v>
      </c>
      <c r="D65" s="210">
        <f>SUM(D20:D64)</f>
        <v>0</v>
      </c>
      <c r="E65" s="210">
        <f>SUM(E20:E64)</f>
        <v>0</v>
      </c>
      <c r="F65" s="210" t="str">
        <f>IF(SUM(F20:F44)=0,"",SUM(F20:F44))</f>
        <v/>
      </c>
    </row>
    <row r="66" spans="1:6" ht="15.75" customHeight="1" thickTop="1" x14ac:dyDescent="0.2">
      <c r="A66" s="591" t="s">
        <v>540</v>
      </c>
      <c r="B66" s="592"/>
      <c r="C66" s="478" t="str">
        <f>IF('Budget Hearing Notice'!E81&gt;0, 'Budget Hearing Notice'!E81, " ")</f>
        <v xml:space="preserve"> </v>
      </c>
      <c r="D66" s="294"/>
      <c r="E66" s="26"/>
      <c r="F66" s="26"/>
    </row>
    <row r="67" spans="1:6" ht="15.75" customHeight="1" x14ac:dyDescent="0.2">
      <c r="A67" s="591" t="s">
        <v>541</v>
      </c>
      <c r="B67" s="592"/>
      <c r="C67" s="78" t="str">
        <f>IF('Budget Hearing Notice 2'!E42&gt;0, 'Budget Hearing Notice 2'!E42, " ")</f>
        <v xml:space="preserve"> </v>
      </c>
      <c r="D67" s="294"/>
      <c r="E67" s="26"/>
      <c r="F67" s="550" t="s">
        <v>205</v>
      </c>
    </row>
    <row r="68" spans="1:6" ht="15.75" customHeight="1" x14ac:dyDescent="0.2">
      <c r="A68" s="590" t="s">
        <v>542</v>
      </c>
      <c r="B68" s="590"/>
      <c r="C68" s="78" t="str">
        <f>IF('Combined Rate-Bud Hearing Notic'!E81&gt;0, 'Combined Rate-Bud Hearing Notic'!E81, " ")</f>
        <v xml:space="preserve"> </v>
      </c>
      <c r="D68" s="31"/>
      <c r="E68" s="26"/>
      <c r="F68" s="593"/>
    </row>
    <row r="69" spans="1:6" ht="15.75" customHeight="1" x14ac:dyDescent="0.2">
      <c r="A69" s="590" t="s">
        <v>543</v>
      </c>
      <c r="B69" s="590"/>
      <c r="C69" s="78" t="str">
        <f>IF('Combined Rate-Bud Hearing Not 2'!E42&gt;0, 'Combined Rate-Bud Hearing Not 2'!E42, " ")</f>
        <v xml:space="preserve"> </v>
      </c>
      <c r="D69" s="31"/>
      <c r="E69" s="26"/>
      <c r="F69" s="593"/>
    </row>
    <row r="70" spans="1:6" ht="15.75" customHeight="1" x14ac:dyDescent="0.2">
      <c r="A70" s="60" t="s">
        <v>544</v>
      </c>
      <c r="B70" s="479"/>
      <c r="C70" s="78" t="str">
        <f>IF('RNR Hearing Notice'!E14&gt;0, 'RNR Hearing Notice'!E14, " ")</f>
        <v xml:space="preserve"> </v>
      </c>
      <c r="D70" s="31"/>
      <c r="E70" s="26"/>
      <c r="F70" s="571" t="str">
        <f>CONCATENATE("Nov 1, ",F1-1," Total Assessed Valuation")</f>
        <v>Nov 1, 2024 Total Assessed Valuation</v>
      </c>
    </row>
    <row r="71" spans="1:6" ht="15.75" customHeight="1" x14ac:dyDescent="0.2">
      <c r="A71" s="587" t="s">
        <v>211</v>
      </c>
      <c r="B71" s="588"/>
      <c r="C71" s="78" t="str">
        <f>IF('NR Rebate'!C51&gt;0, 'NR Rebate'!C51, " ")</f>
        <v xml:space="preserve"> </v>
      </c>
      <c r="D71" s="89"/>
      <c r="E71" s="480"/>
      <c r="F71" s="609"/>
    </row>
    <row r="72" spans="1:6" ht="15.75" customHeight="1" x14ac:dyDescent="0.2">
      <c r="A72" s="25"/>
      <c r="B72" s="26"/>
      <c r="C72" s="32"/>
      <c r="D72" s="500"/>
      <c r="E72" s="481"/>
      <c r="F72" s="26"/>
    </row>
    <row r="73" spans="1:6" ht="15.75" customHeight="1" x14ac:dyDescent="0.2">
      <c r="A73" s="429"/>
      <c r="B73" s="482"/>
      <c r="C73" s="483"/>
      <c r="D73" s="26"/>
      <c r="E73" s="125" t="s">
        <v>545</v>
      </c>
      <c r="F73" s="484">
        <f>inputOth!E15</f>
        <v>0</v>
      </c>
    </row>
    <row r="74" spans="1:6" ht="15.75" customHeight="1" x14ac:dyDescent="0.2">
      <c r="A74" s="594" t="s">
        <v>955</v>
      </c>
      <c r="B74" s="595"/>
      <c r="C74" s="595"/>
      <c r="D74" s="595"/>
      <c r="E74" s="595"/>
      <c r="F74" s="96" t="str">
        <f>IF(E65&gt;inputPrYr!E42,"YES","NO")</f>
        <v>NO</v>
      </c>
    </row>
    <row r="75" spans="1:6" ht="15.75" customHeight="1" x14ac:dyDescent="0.2">
      <c r="A75" s="26"/>
      <c r="B75" s="26"/>
      <c r="C75" s="26"/>
      <c r="D75" s="26"/>
      <c r="E75" s="26"/>
      <c r="F75" s="26"/>
    </row>
    <row r="76" spans="1:6" ht="15.75" customHeight="1" x14ac:dyDescent="0.2">
      <c r="A76" s="25" t="s">
        <v>67</v>
      </c>
      <c r="B76" s="26"/>
      <c r="C76" s="25"/>
      <c r="D76" s="26"/>
      <c r="E76" s="26"/>
      <c r="F76" s="26"/>
    </row>
    <row r="77" spans="1:6" ht="15.75" customHeight="1" x14ac:dyDescent="0.2">
      <c r="A77" s="486"/>
      <c r="B77" s="26"/>
      <c r="C77" s="485"/>
      <c r="D77" s="589" t="s">
        <v>546</v>
      </c>
      <c r="E77" s="589"/>
      <c r="F77" s="589"/>
    </row>
    <row r="78" spans="1:6" ht="15.75" customHeight="1" x14ac:dyDescent="0.2">
      <c r="A78" s="25" t="s">
        <v>207</v>
      </c>
      <c r="B78" s="26"/>
      <c r="C78" s="26"/>
      <c r="D78" s="26"/>
      <c r="E78" s="155"/>
      <c r="F78" s="155"/>
    </row>
    <row r="79" spans="1:6" ht="15.75" customHeight="1" x14ac:dyDescent="0.2">
      <c r="A79" s="486"/>
      <c r="B79" s="90"/>
      <c r="C79" s="485"/>
      <c r="D79" s="589" t="s">
        <v>547</v>
      </c>
      <c r="E79" s="589"/>
      <c r="F79" s="589"/>
    </row>
    <row r="80" spans="1:6" ht="15.75" customHeight="1" x14ac:dyDescent="0.2">
      <c r="A80" s="487"/>
      <c r="B80" s="26"/>
      <c r="C80" s="26"/>
      <c r="D80" s="26"/>
      <c r="E80" s="488"/>
      <c r="F80" s="488"/>
    </row>
    <row r="81" spans="1:6" ht="15.75" customHeight="1" x14ac:dyDescent="0.2">
      <c r="A81" s="26" t="s">
        <v>323</v>
      </c>
      <c r="B81" s="90"/>
      <c r="C81" s="485"/>
      <c r="D81" s="589" t="s">
        <v>547</v>
      </c>
      <c r="E81" s="589"/>
      <c r="F81" s="589"/>
    </row>
    <row r="82" spans="1:6" ht="15.75" customHeight="1" x14ac:dyDescent="0.2">
      <c r="A82" s="487"/>
      <c r="B82" s="26"/>
      <c r="C82" s="26"/>
      <c r="D82" s="26"/>
      <c r="E82" s="488"/>
      <c r="F82" s="53"/>
    </row>
    <row r="83" spans="1:6" x14ac:dyDescent="0.2">
      <c r="A83" s="90"/>
      <c r="B83" s="90"/>
      <c r="C83" s="485"/>
      <c r="D83" s="589" t="s">
        <v>547</v>
      </c>
      <c r="E83" s="589"/>
      <c r="F83" s="589"/>
    </row>
    <row r="84" spans="1:6" x14ac:dyDescent="0.2">
      <c r="A84" s="27" t="s">
        <v>548</v>
      </c>
      <c r="B84" s="135">
        <f>F1-1</f>
        <v>2024</v>
      </c>
      <c r="C84" s="26"/>
      <c r="D84" s="26"/>
      <c r="E84" s="26"/>
      <c r="F84" s="26"/>
    </row>
    <row r="85" spans="1:6" x14ac:dyDescent="0.2">
      <c r="A85" s="31"/>
      <c r="B85" s="26"/>
      <c r="C85" s="485"/>
      <c r="D85" s="589" t="s">
        <v>547</v>
      </c>
      <c r="E85" s="589"/>
      <c r="F85" s="589"/>
    </row>
    <row r="86" spans="1:6" x14ac:dyDescent="0.2">
      <c r="A86" s="174"/>
      <c r="B86" s="26"/>
      <c r="C86" s="485"/>
      <c r="D86" s="606" t="s">
        <v>68</v>
      </c>
      <c r="E86" s="606"/>
      <c r="F86" s="606"/>
    </row>
    <row r="87" spans="1:6" x14ac:dyDescent="0.2">
      <c r="A87" s="489" t="s">
        <v>69</v>
      </c>
      <c r="B87" s="26"/>
      <c r="C87" s="32"/>
      <c r="D87" s="26"/>
      <c r="E87" s="26"/>
      <c r="F87" s="26"/>
    </row>
    <row r="88" spans="1:6" x14ac:dyDescent="0.2">
      <c r="A88" s="26"/>
      <c r="B88" s="26"/>
      <c r="C88" s="26"/>
      <c r="D88" s="26"/>
      <c r="E88" s="26"/>
      <c r="F88" s="26"/>
    </row>
    <row r="89" spans="1:6" x14ac:dyDescent="0.2">
      <c r="A89" s="490" t="s">
        <v>355</v>
      </c>
      <c r="B89" s="347"/>
      <c r="C89" s="347"/>
      <c r="D89" s="347"/>
      <c r="E89" s="347"/>
      <c r="F89" s="397"/>
    </row>
    <row r="90" spans="1:6" x14ac:dyDescent="0.2">
      <c r="A90" s="126"/>
      <c r="B90" s="26"/>
      <c r="C90" s="26"/>
      <c r="D90" s="26"/>
      <c r="E90" s="26"/>
      <c r="F90" s="312"/>
    </row>
    <row r="91" spans="1:6" x14ac:dyDescent="0.2">
      <c r="A91" s="403"/>
      <c r="B91" s="44"/>
      <c r="C91" s="44"/>
      <c r="D91" s="44"/>
      <c r="E91" s="44"/>
      <c r="F91" s="47"/>
    </row>
  </sheetData>
  <mergeCells count="23">
    <mergeCell ref="D81:F81"/>
    <mergeCell ref="D83:F83"/>
    <mergeCell ref="D85:F85"/>
    <mergeCell ref="D86:F86"/>
    <mergeCell ref="F70:F71"/>
    <mergeCell ref="D12:F12"/>
    <mergeCell ref="D13:D14"/>
    <mergeCell ref="F13:F14"/>
    <mergeCell ref="A2:F2"/>
    <mergeCell ref="E13:E14"/>
    <mergeCell ref="A6:F6"/>
    <mergeCell ref="A4:F4"/>
    <mergeCell ref="A5:F5"/>
    <mergeCell ref="C13:C14"/>
    <mergeCell ref="A71:B71"/>
    <mergeCell ref="D77:F77"/>
    <mergeCell ref="D79:F79"/>
    <mergeCell ref="A68:B68"/>
    <mergeCell ref="A66:B66"/>
    <mergeCell ref="A67:B67"/>
    <mergeCell ref="A69:B69"/>
    <mergeCell ref="F68:F69"/>
    <mergeCell ref="A74:E74"/>
  </mergeCells>
  <phoneticPr fontId="0" type="noConversion"/>
  <pageMargins left="0.5" right="0.5" top="0" bottom="0.23" header="0" footer="0"/>
  <pageSetup scale="58" orientation="portrait" blackAndWhite="1" horizontalDpi="120" verticalDpi="144" r:id="rId1"/>
  <headerFooter alignWithMargins="0">
    <oddHeader xml:space="preserve">&amp;RState of Kansas
County
</oddHeader>
    <oddFooter>&amp;CPage No. 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rgb="FF00B0F0"/>
    <pageSetUpPr fitToPage="1"/>
  </sheetPr>
  <dimension ref="A1:G63"/>
  <sheetViews>
    <sheetView workbookViewId="0">
      <selection activeCell="D43" sqref="D43"/>
    </sheetView>
  </sheetViews>
  <sheetFormatPr defaultRowHeight="15.75" x14ac:dyDescent="0.2"/>
  <cols>
    <col min="1" max="1" width="34.44140625" style="23" customWidth="1"/>
    <col min="2" max="2" width="9.77734375" style="23" customWidth="1"/>
    <col min="3" max="3" width="5.77734375" style="23" customWidth="1"/>
    <col min="4" max="7" width="12.77734375" style="23" customWidth="1"/>
    <col min="8" max="16384" width="8.88671875" style="23"/>
  </cols>
  <sheetData>
    <row r="1" spans="1:7" x14ac:dyDescent="0.2">
      <c r="A1" s="57">
        <f>inputPrYr!C3</f>
        <v>0</v>
      </c>
      <c r="B1" s="26"/>
      <c r="C1" s="26"/>
      <c r="D1" s="26"/>
      <c r="E1" s="26"/>
      <c r="F1" s="26"/>
      <c r="G1" s="26">
        <f>inputPrYr!C5</f>
        <v>2025</v>
      </c>
    </row>
    <row r="2" spans="1:7" x14ac:dyDescent="0.2">
      <c r="A2" s="610" t="s">
        <v>10</v>
      </c>
      <c r="B2" s="610"/>
      <c r="C2" s="610"/>
      <c r="D2" s="610"/>
      <c r="E2" s="610"/>
      <c r="F2" s="610"/>
      <c r="G2" s="610"/>
    </row>
    <row r="3" spans="1:7" x14ac:dyDescent="0.2">
      <c r="A3" s="79"/>
      <c r="B3" s="30"/>
      <c r="C3" s="30"/>
      <c r="D3" s="79"/>
      <c r="E3" s="79"/>
      <c r="F3" s="79"/>
      <c r="G3" s="79"/>
    </row>
    <row r="4" spans="1:7" x14ac:dyDescent="0.2">
      <c r="A4" s="26"/>
      <c r="B4" s="26"/>
      <c r="C4" s="26"/>
      <c r="D4" s="596" t="str">
        <f>CONCATENATE("",G1," Proposed Budget")</f>
        <v>2025 Proposed Budget</v>
      </c>
      <c r="E4" s="597"/>
      <c r="F4" s="597"/>
      <c r="G4" s="598"/>
    </row>
    <row r="5" spans="1:7" ht="24.95" customHeight="1" x14ac:dyDescent="0.2">
      <c r="A5" s="26"/>
      <c r="B5" s="26"/>
      <c r="C5" s="601" t="s">
        <v>146</v>
      </c>
      <c r="D5" s="601" t="s">
        <v>538</v>
      </c>
      <c r="E5" s="601" t="str">
        <f>CONCATENATE("Amount of ",G1-1,"      Ad Valorem Tax")</f>
        <v>Amount of 2024      Ad Valorem Tax</v>
      </c>
      <c r="F5" s="601" t="s">
        <v>206</v>
      </c>
      <c r="G5" s="601" t="s">
        <v>539</v>
      </c>
    </row>
    <row r="6" spans="1:7" ht="24.95" customHeight="1" x14ac:dyDescent="0.2">
      <c r="A6" s="81" t="s">
        <v>59</v>
      </c>
      <c r="B6" s="44"/>
      <c r="C6" s="602"/>
      <c r="D6" s="602"/>
      <c r="E6" s="573"/>
      <c r="F6" s="602"/>
      <c r="G6" s="602"/>
    </row>
    <row r="7" spans="1:7" x14ac:dyDescent="0.2">
      <c r="A7" s="83" t="s">
        <v>9</v>
      </c>
      <c r="B7" s="84" t="s">
        <v>64</v>
      </c>
      <c r="C7" s="38"/>
      <c r="D7" s="38"/>
      <c r="E7" s="38"/>
      <c r="F7" s="38"/>
      <c r="G7" s="38"/>
    </row>
    <row r="8" spans="1:7" x14ac:dyDescent="0.2">
      <c r="A8" s="85"/>
      <c r="B8" s="59"/>
      <c r="C8" s="59"/>
      <c r="D8" s="59"/>
      <c r="E8" s="59"/>
      <c r="F8" s="59"/>
      <c r="G8" s="77"/>
    </row>
    <row r="9" spans="1:7" x14ac:dyDescent="0.2">
      <c r="A9" s="59"/>
      <c r="B9" s="59"/>
      <c r="C9" s="59"/>
      <c r="D9" s="59"/>
      <c r="E9" s="59"/>
      <c r="F9" s="59"/>
      <c r="G9" s="77"/>
    </row>
    <row r="10" spans="1:7" x14ac:dyDescent="0.2">
      <c r="A10" s="59"/>
      <c r="B10" s="59"/>
      <c r="C10" s="59"/>
      <c r="D10" s="59"/>
      <c r="E10" s="59"/>
      <c r="F10" s="59"/>
      <c r="G10" s="77"/>
    </row>
    <row r="11" spans="1:7" x14ac:dyDescent="0.2">
      <c r="A11" s="59"/>
      <c r="B11" s="59"/>
      <c r="C11" s="59"/>
      <c r="D11" s="59"/>
      <c r="E11" s="59"/>
      <c r="F11" s="59"/>
      <c r="G11" s="77"/>
    </row>
    <row r="12" spans="1:7" x14ac:dyDescent="0.2">
      <c r="A12" s="59"/>
      <c r="B12" s="59"/>
      <c r="C12" s="59"/>
      <c r="D12" s="59"/>
      <c r="E12" s="59"/>
      <c r="F12" s="59"/>
      <c r="G12" s="77"/>
    </row>
    <row r="13" spans="1:7" x14ac:dyDescent="0.2">
      <c r="A13" s="59"/>
      <c r="B13" s="59"/>
      <c r="C13" s="59"/>
      <c r="D13" s="59"/>
      <c r="E13" s="59"/>
      <c r="F13" s="59"/>
      <c r="G13" s="77"/>
    </row>
    <row r="14" spans="1:7" x14ac:dyDescent="0.2">
      <c r="A14" s="59"/>
      <c r="B14" s="59"/>
      <c r="C14" s="59"/>
      <c r="D14" s="59"/>
      <c r="E14" s="59"/>
      <c r="F14" s="59"/>
      <c r="G14" s="77"/>
    </row>
    <row r="15" spans="1:7" x14ac:dyDescent="0.2">
      <c r="A15" s="59"/>
      <c r="B15" s="59"/>
      <c r="C15" s="59"/>
      <c r="D15" s="59"/>
      <c r="E15" s="59"/>
      <c r="F15" s="59"/>
      <c r="G15" s="77"/>
    </row>
    <row r="16" spans="1:7" x14ac:dyDescent="0.2">
      <c r="A16" s="59"/>
      <c r="B16" s="59"/>
      <c r="C16" s="59"/>
      <c r="D16" s="59"/>
      <c r="E16" s="59"/>
      <c r="F16" s="59"/>
      <c r="G16" s="77"/>
    </row>
    <row r="17" spans="1:7" x14ac:dyDescent="0.2">
      <c r="A17" s="59"/>
      <c r="B17" s="59"/>
      <c r="C17" s="59"/>
      <c r="D17" s="59"/>
      <c r="E17" s="59"/>
      <c r="F17" s="59"/>
      <c r="G17" s="77"/>
    </row>
    <row r="18" spans="1:7" x14ac:dyDescent="0.2">
      <c r="A18" s="59"/>
      <c r="B18" s="59"/>
      <c r="C18" s="59"/>
      <c r="D18" s="59"/>
      <c r="E18" s="59"/>
      <c r="F18" s="59"/>
      <c r="G18" s="77"/>
    </row>
    <row r="19" spans="1:7" x14ac:dyDescent="0.2">
      <c r="A19" s="59"/>
      <c r="B19" s="59"/>
      <c r="C19" s="59"/>
      <c r="D19" s="59"/>
      <c r="E19" s="59"/>
      <c r="F19" s="59"/>
      <c r="G19" s="77"/>
    </row>
    <row r="20" spans="1:7" x14ac:dyDescent="0.2">
      <c r="A20" s="59"/>
      <c r="B20" s="59"/>
      <c r="C20" s="59"/>
      <c r="D20" s="59"/>
      <c r="E20" s="59"/>
      <c r="F20" s="59"/>
      <c r="G20" s="77"/>
    </row>
    <row r="21" spans="1:7" x14ac:dyDescent="0.2">
      <c r="A21" s="59"/>
      <c r="B21" s="59"/>
      <c r="C21" s="59"/>
      <c r="D21" s="59"/>
      <c r="E21" s="59"/>
      <c r="F21" s="59"/>
      <c r="G21" s="77"/>
    </row>
    <row r="22" spans="1:7" x14ac:dyDescent="0.2">
      <c r="A22" s="59"/>
      <c r="B22" s="59"/>
      <c r="C22" s="59"/>
      <c r="D22" s="59"/>
      <c r="E22" s="59"/>
      <c r="F22" s="59"/>
      <c r="G22" s="77"/>
    </row>
    <row r="23" spans="1:7" x14ac:dyDescent="0.2">
      <c r="A23" s="59"/>
      <c r="B23" s="59"/>
      <c r="C23" s="59"/>
      <c r="D23" s="59"/>
      <c r="E23" s="59"/>
      <c r="F23" s="59"/>
      <c r="G23" s="77"/>
    </row>
    <row r="24" spans="1:7" x14ac:dyDescent="0.2">
      <c r="A24" s="59"/>
      <c r="B24" s="59"/>
      <c r="C24" s="59"/>
      <c r="D24" s="59"/>
      <c r="E24" s="59"/>
      <c r="F24" s="59"/>
      <c r="G24" s="77"/>
    </row>
    <row r="25" spans="1:7" x14ac:dyDescent="0.2">
      <c r="A25" s="59"/>
      <c r="B25" s="59"/>
      <c r="C25" s="59"/>
      <c r="D25" s="59"/>
      <c r="E25" s="59"/>
      <c r="F25" s="59"/>
      <c r="G25" s="77"/>
    </row>
    <row r="26" spans="1:7" x14ac:dyDescent="0.2">
      <c r="A26" s="59"/>
      <c r="B26" s="59"/>
      <c r="C26" s="59"/>
      <c r="D26" s="59"/>
      <c r="E26" s="59"/>
      <c r="F26" s="59"/>
      <c r="G26" s="77"/>
    </row>
    <row r="27" spans="1:7" x14ac:dyDescent="0.2">
      <c r="A27" s="59"/>
      <c r="B27" s="41"/>
      <c r="C27" s="59"/>
      <c r="D27" s="59"/>
      <c r="E27" s="41"/>
      <c r="F27" s="41"/>
      <c r="G27" s="77"/>
    </row>
    <row r="28" spans="1:7" x14ac:dyDescent="0.2">
      <c r="A28" s="59"/>
      <c r="B28" s="41"/>
      <c r="C28" s="59"/>
      <c r="D28" s="59"/>
      <c r="E28" s="41"/>
      <c r="F28" s="41"/>
      <c r="G28" s="77"/>
    </row>
    <row r="29" spans="1:7" x14ac:dyDescent="0.2">
      <c r="A29" s="59"/>
      <c r="B29" s="41"/>
      <c r="C29" s="59"/>
      <c r="D29" s="59"/>
      <c r="E29" s="41"/>
      <c r="F29" s="41"/>
      <c r="G29" s="77"/>
    </row>
    <row r="30" spans="1:7" x14ac:dyDescent="0.2">
      <c r="A30" s="59"/>
      <c r="B30" s="41"/>
      <c r="C30" s="59"/>
      <c r="D30" s="59"/>
      <c r="E30" s="41"/>
      <c r="F30" s="41"/>
      <c r="G30" s="77"/>
    </row>
    <row r="31" spans="1:7" x14ac:dyDescent="0.2">
      <c r="A31" s="59"/>
      <c r="B31" s="41"/>
      <c r="C31" s="59"/>
      <c r="D31" s="59"/>
      <c r="E31" s="41"/>
      <c r="F31" s="41"/>
      <c r="G31" s="77"/>
    </row>
    <row r="32" spans="1:7" x14ac:dyDescent="0.2">
      <c r="A32" s="59"/>
      <c r="B32" s="41"/>
      <c r="C32" s="59"/>
      <c r="D32" s="59"/>
      <c r="E32" s="41"/>
      <c r="F32" s="41"/>
      <c r="G32" s="77"/>
    </row>
    <row r="33" spans="1:7" x14ac:dyDescent="0.2">
      <c r="A33" s="59"/>
      <c r="B33" s="41"/>
      <c r="C33" s="59"/>
      <c r="D33" s="59"/>
      <c r="E33" s="41"/>
      <c r="F33" s="41"/>
      <c r="G33" s="77"/>
    </row>
    <row r="34" spans="1:7" x14ac:dyDescent="0.2">
      <c r="A34" s="59"/>
      <c r="B34" s="41"/>
      <c r="C34" s="59"/>
      <c r="D34" s="59"/>
      <c r="E34" s="41"/>
      <c r="F34" s="41"/>
      <c r="G34" s="77"/>
    </row>
    <row r="35" spans="1:7" x14ac:dyDescent="0.2">
      <c r="A35" s="59"/>
      <c r="B35" s="41"/>
      <c r="C35" s="59"/>
      <c r="D35" s="59"/>
      <c r="E35" s="41"/>
      <c r="F35" s="41"/>
      <c r="G35" s="77"/>
    </row>
    <row r="36" spans="1:7" x14ac:dyDescent="0.2">
      <c r="A36" s="59"/>
      <c r="B36" s="41"/>
      <c r="C36" s="59"/>
      <c r="D36" s="59"/>
      <c r="E36" s="41"/>
      <c r="F36" s="41"/>
      <c r="G36" s="77"/>
    </row>
    <row r="37" spans="1:7" ht="16.5" thickBot="1" x14ac:dyDescent="0.25">
      <c r="A37" s="471" t="s">
        <v>65</v>
      </c>
      <c r="B37" s="472"/>
      <c r="C37" s="473" t="s">
        <v>66</v>
      </c>
      <c r="D37" s="474">
        <f>SUM(D8:D36)</f>
        <v>0</v>
      </c>
      <c r="E37" s="474">
        <f>SUM(E8:E36)</f>
        <v>0</v>
      </c>
      <c r="F37" s="475"/>
      <c r="G37" s="475"/>
    </row>
    <row r="38" spans="1:7" ht="16.5" thickTop="1" x14ac:dyDescent="0.2">
      <c r="A38" s="25"/>
      <c r="B38" s="26"/>
      <c r="C38" s="155"/>
      <c r="D38" s="201"/>
      <c r="E38" s="201"/>
      <c r="F38" s="216"/>
      <c r="G38" s="216"/>
    </row>
    <row r="39" spans="1:7" x14ac:dyDescent="0.2">
      <c r="A39" s="25"/>
      <c r="B39" s="26"/>
      <c r="C39" s="155"/>
      <c r="D39" s="201"/>
      <c r="E39" s="201"/>
      <c r="F39" s="216"/>
      <c r="G39" s="216"/>
    </row>
    <row r="40" spans="1:7" x14ac:dyDescent="0.2">
      <c r="A40" s="27" t="s">
        <v>948</v>
      </c>
      <c r="B40" s="135">
        <f>G1-1</f>
        <v>2024</v>
      </c>
      <c r="C40" s="26"/>
      <c r="D40" s="552"/>
      <c r="E40" s="26"/>
      <c r="F40" s="26"/>
      <c r="G40" s="26"/>
    </row>
    <row r="41" spans="1:7" x14ac:dyDescent="0.2">
      <c r="A41" s="31"/>
      <c r="B41" s="26"/>
      <c r="C41" s="485"/>
      <c r="D41" s="552"/>
      <c r="E41" s="589"/>
      <c r="F41" s="589"/>
      <c r="G41" s="589"/>
    </row>
    <row r="42" spans="1:7" x14ac:dyDescent="0.2">
      <c r="A42" s="174"/>
      <c r="B42" s="26"/>
      <c r="C42" s="485"/>
      <c r="D42" s="552"/>
      <c r="E42" s="606"/>
      <c r="F42" s="606"/>
      <c r="G42" s="606"/>
    </row>
    <row r="43" spans="1:7" x14ac:dyDescent="0.2">
      <c r="A43" s="489" t="s">
        <v>69</v>
      </c>
      <c r="B43" s="26"/>
      <c r="C43" s="32"/>
      <c r="D43" s="552"/>
      <c r="E43" s="26"/>
      <c r="F43" s="26"/>
      <c r="G43" s="26"/>
    </row>
    <row r="44" spans="1:7" x14ac:dyDescent="0.2">
      <c r="A44" s="25"/>
      <c r="B44" s="26"/>
      <c r="C44" s="155"/>
      <c r="D44" s="26"/>
      <c r="E44" s="26"/>
      <c r="F44" s="57"/>
      <c r="G44" s="26"/>
    </row>
    <row r="45" spans="1:7" x14ac:dyDescent="0.2">
      <c r="A45" s="25"/>
      <c r="B45" s="26"/>
      <c r="C45" s="57"/>
      <c r="D45" s="26"/>
      <c r="E45" s="26"/>
      <c r="F45" s="26"/>
      <c r="G45" s="26"/>
    </row>
    <row r="46" spans="1:7" x14ac:dyDescent="0.2">
      <c r="A46" s="422" t="s">
        <v>354</v>
      </c>
      <c r="B46" s="347"/>
      <c r="C46" s="347"/>
      <c r="D46" s="347"/>
      <c r="E46" s="347"/>
      <c r="F46" s="347"/>
      <c r="G46" s="397"/>
    </row>
    <row r="47" spans="1:7" x14ac:dyDescent="0.2">
      <c r="A47" s="398"/>
      <c r="B47" s="53"/>
      <c r="C47" s="396"/>
      <c r="D47" s="53"/>
      <c r="E47" s="53"/>
      <c r="F47" s="53"/>
      <c r="G47" s="313"/>
    </row>
    <row r="48" spans="1:7" x14ac:dyDescent="0.2">
      <c r="A48" s="399"/>
      <c r="B48" s="400"/>
      <c r="C48" s="400"/>
      <c r="D48" s="400"/>
      <c r="E48" s="400"/>
      <c r="F48" s="400"/>
      <c r="G48" s="401"/>
    </row>
    <row r="49" spans="1:7" x14ac:dyDescent="0.2">
      <c r="A49" s="27"/>
      <c r="B49" s="53"/>
      <c r="C49" s="396"/>
      <c r="D49" s="53"/>
      <c r="E49" s="53"/>
      <c r="F49" s="53"/>
      <c r="G49" s="53"/>
    </row>
    <row r="59" spans="1:7" x14ac:dyDescent="0.2">
      <c r="A59" s="56"/>
      <c r="B59" s="56"/>
      <c r="C59" s="56"/>
      <c r="D59" s="56"/>
      <c r="E59" s="56"/>
      <c r="F59" s="56"/>
      <c r="G59" s="56"/>
    </row>
    <row r="63" spans="1:7" x14ac:dyDescent="0.2">
      <c r="A63" s="56"/>
      <c r="B63" s="56"/>
      <c r="C63" s="56"/>
      <c r="D63" s="87"/>
      <c r="E63" s="56"/>
      <c r="F63" s="56"/>
      <c r="G63" s="56"/>
    </row>
  </sheetData>
  <sheetProtection sheet="1" objects="1" scenarios="1"/>
  <mergeCells count="9">
    <mergeCell ref="E41:G41"/>
    <mergeCell ref="E42:G42"/>
    <mergeCell ref="E5:E6"/>
    <mergeCell ref="F5:F6"/>
    <mergeCell ref="A2:G2"/>
    <mergeCell ref="D4:G4"/>
    <mergeCell ref="C5:C6"/>
    <mergeCell ref="D5:D6"/>
    <mergeCell ref="G5:G6"/>
  </mergeCells>
  <phoneticPr fontId="0" type="noConversion"/>
  <pageMargins left="0.5" right="0.5" top="0" bottom="0.23" header="0" footer="0"/>
  <pageSetup scale="91" orientation="portrait" blackAndWhite="1" horizontalDpi="120" verticalDpi="144" r:id="rId1"/>
  <headerFooter alignWithMargins="0">
    <oddHeader xml:space="preserve">&amp;RState of Kansas
County
</oddHeader>
    <oddFooter>&amp;CPage No. 1a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00B0F0"/>
    <pageSetUpPr fitToPage="1"/>
  </sheetPr>
  <dimension ref="A1:K55"/>
  <sheetViews>
    <sheetView workbookViewId="0">
      <selection activeCell="B15" sqref="B15"/>
    </sheetView>
  </sheetViews>
  <sheetFormatPr defaultRowHeight="15.75" x14ac:dyDescent="0.25"/>
  <cols>
    <col min="1" max="1" width="18.77734375" style="2" customWidth="1"/>
    <col min="2" max="2" width="12.77734375" style="2" customWidth="1"/>
    <col min="3" max="3" width="0.21875" style="2" customWidth="1"/>
    <col min="4" max="8" width="11.77734375" style="2" customWidth="1"/>
    <col min="9" max="16384" width="8.88671875" style="2"/>
  </cols>
  <sheetData>
    <row r="1" spans="1:8" x14ac:dyDescent="0.25">
      <c r="A1" s="15">
        <f>inputPrYr!C3</f>
        <v>0</v>
      </c>
      <c r="B1" s="9"/>
      <c r="C1" s="9"/>
      <c r="D1" s="9"/>
      <c r="E1" s="9"/>
      <c r="F1" s="8"/>
      <c r="G1" s="8"/>
      <c r="H1" s="17">
        <f>inputPrYr!C5</f>
        <v>2025</v>
      </c>
    </row>
    <row r="2" spans="1:8" x14ac:dyDescent="0.25">
      <c r="A2" s="9"/>
      <c r="B2" s="9"/>
      <c r="C2" s="9"/>
      <c r="D2" s="9"/>
      <c r="E2" s="9"/>
      <c r="F2" s="8"/>
      <c r="G2" s="8"/>
      <c r="H2" s="8"/>
    </row>
    <row r="3" spans="1:8" x14ac:dyDescent="0.25">
      <c r="A3" s="611" t="s">
        <v>341</v>
      </c>
      <c r="B3" s="611"/>
      <c r="C3" s="611"/>
      <c r="D3" s="611"/>
      <c r="E3" s="611"/>
      <c r="F3" s="611"/>
      <c r="G3" s="611"/>
      <c r="H3" s="611"/>
    </row>
    <row r="4" spans="1:8" x14ac:dyDescent="0.25">
      <c r="A4" s="11"/>
      <c r="B4" s="12"/>
      <c r="C4" s="12"/>
      <c r="D4" s="12"/>
      <c r="E4" s="12"/>
      <c r="F4" s="9"/>
      <c r="G4" s="9"/>
      <c r="H4" s="9"/>
    </row>
    <row r="5" spans="1:8" ht="21.75" customHeight="1" x14ac:dyDescent="0.25">
      <c r="A5" s="616" t="str">
        <f>CONCATENATE("Budgeted Funds for ",H1-1,"")</f>
        <v>Budgeted Funds for 2024</v>
      </c>
      <c r="B5" s="601" t="str">
        <f>CONCATENATE("Ad Valorem Levy Tax Year ",H1-2,"")</f>
        <v>Ad Valorem Levy Tax Year 2023</v>
      </c>
      <c r="C5" s="612" t="str">
        <f>CONCATENATE("Budget Tax Levy Rate for ",H1-1,"")</f>
        <v>Budget Tax Levy Rate for 2024</v>
      </c>
      <c r="D5" s="596" t="str">
        <f>CONCATENATE("Allocation for Year ",H1,"")</f>
        <v>Allocation for Year 2025</v>
      </c>
      <c r="E5" s="614"/>
      <c r="F5" s="614"/>
      <c r="G5" s="614"/>
      <c r="H5" s="615"/>
    </row>
    <row r="6" spans="1:8" x14ac:dyDescent="0.25">
      <c r="A6" s="617"/>
      <c r="B6" s="573"/>
      <c r="C6" s="613"/>
      <c r="D6" s="82" t="s">
        <v>76</v>
      </c>
      <c r="E6" s="82" t="s">
        <v>188</v>
      </c>
      <c r="F6" s="82" t="s">
        <v>194</v>
      </c>
      <c r="G6" s="388" t="s">
        <v>339</v>
      </c>
      <c r="H6" s="388" t="s">
        <v>340</v>
      </c>
    </row>
    <row r="7" spans="1:8" x14ac:dyDescent="0.25">
      <c r="A7" s="14" t="str">
        <f>(inputPrYr!B17)</f>
        <v>General</v>
      </c>
      <c r="B7" s="78">
        <f>(inputPrYr!E17)</f>
        <v>0</v>
      </c>
      <c r="C7" s="468" t="str">
        <f>IF(inputPrYr!F17&gt;0,(inputPrYr!F17),"  ")</f>
        <v xml:space="preserve">  </v>
      </c>
      <c r="D7" s="78">
        <f>IF(inputPrYr!E17&gt;0,D34-SUM(D8:D31),0)</f>
        <v>0</v>
      </c>
      <c r="E7" s="78">
        <f>IF(inputPrYr!E17=0,0,E36-SUM(E8:E31))</f>
        <v>0</v>
      </c>
      <c r="F7" s="78">
        <f>IF(inputPrYr!E17=0,0,F38-SUM(F8:F31))</f>
        <v>0</v>
      </c>
      <c r="G7" s="78">
        <f>IF(inputPrYr!E17=0,0,G40-SUM(G8:G31))</f>
        <v>0</v>
      </c>
      <c r="H7" s="78">
        <f>IF(inputPrYr!E17=0,0,H42-SUM(H8:H31))</f>
        <v>0</v>
      </c>
    </row>
    <row r="8" spans="1:8" x14ac:dyDescent="0.25">
      <c r="A8" s="14" t="str">
        <f>(inputPrYr!B18)</f>
        <v>Debt Service</v>
      </c>
      <c r="B8" s="78" t="str">
        <f>IF(inputPrYr!E18&gt;0,inputPrYr!E18," ")</f>
        <v xml:space="preserve"> </v>
      </c>
      <c r="C8" s="468" t="str">
        <f>IF(inputPrYr!F18&gt;0,(inputPrYr!F18),"  ")</f>
        <v xml:space="preserve">  </v>
      </c>
      <c r="D8" s="78" t="str">
        <f>IF(inputPrYr!$E$18&gt;0,ROUND(+B8*D$45,0)," ")</f>
        <v xml:space="preserve"> </v>
      </c>
      <c r="E8" s="78" t="str">
        <f>IF(inputPrYr!$E$18&gt;0,ROUND(+B8*E$47,0)," ")</f>
        <v xml:space="preserve"> </v>
      </c>
      <c r="F8" s="78" t="str">
        <f>IF(inputPrYr!$E$18&gt;0,ROUND(+B8*F$49,0)," ")</f>
        <v xml:space="preserve"> </v>
      </c>
      <c r="G8" s="78" t="str">
        <f>IF(inputPrYr!$E$18&gt;0,ROUND(B8*G$51,0)," ")</f>
        <v xml:space="preserve"> </v>
      </c>
      <c r="H8" s="78" t="str">
        <f>IF(inputPrYr!$E$18&gt;0,ROUND(B8*H$53,0)," ")</f>
        <v xml:space="preserve"> </v>
      </c>
    </row>
    <row r="9" spans="1:8" x14ac:dyDescent="0.25">
      <c r="A9" s="14" t="str">
        <f>(inputPrYr!B19)</f>
        <v>Road &amp; Bridge</v>
      </c>
      <c r="B9" s="78" t="str">
        <f>IF(inputPrYr!E19&gt;0,inputPrYr!E19," ")</f>
        <v xml:space="preserve"> </v>
      </c>
      <c r="C9" s="468" t="str">
        <f>IF(inputPrYr!F19&gt;0,(inputPrYr!F19),"  ")</f>
        <v xml:space="preserve">  </v>
      </c>
      <c r="D9" s="78" t="str">
        <f>IF(inputPrYr!$E$19&gt;0,ROUND(+B9*D$45,0)," ")</f>
        <v xml:space="preserve"> </v>
      </c>
      <c r="E9" s="78" t="str">
        <f>IF(inputPrYr!$E$19&gt;0,ROUND(+B9*E$47,0)," ")</f>
        <v xml:space="preserve"> </v>
      </c>
      <c r="F9" s="78" t="str">
        <f>IF(inputPrYr!$E$19&gt;0,ROUND(+B9*F$49,0)," ")</f>
        <v xml:space="preserve"> </v>
      </c>
      <c r="G9" s="78" t="str">
        <f>IF(inputPrYr!$E$19&gt;0,ROUND(B9*G$51,0)," ")</f>
        <v xml:space="preserve"> </v>
      </c>
      <c r="H9" s="78" t="str">
        <f>IF(inputPrYr!$E$19&gt;0,ROUND(B9*H$53,0)," ")</f>
        <v xml:space="preserve"> </v>
      </c>
    </row>
    <row r="10" spans="1:8" x14ac:dyDescent="0.25">
      <c r="A10" s="14" t="str">
        <f>IF((inputPrYr!$B20&gt;" "),(inputPrYr!$B20),"  ")</f>
        <v xml:space="preserve">  </v>
      </c>
      <c r="B10" s="78" t="str">
        <f>IF(inputPrYr!E20&gt;0,inputPrYr!E20,"  ")</f>
        <v xml:space="preserve">  </v>
      </c>
      <c r="C10" s="468" t="str">
        <f>IF(inputPrYr!F20&gt;0,(inputPrYr!F20),"  ")</f>
        <v xml:space="preserve">  </v>
      </c>
      <c r="D10" s="78" t="str">
        <f>IF(inputPrYr!$E$20&gt;0,ROUND(+B10*D$45,0)," ")</f>
        <v xml:space="preserve"> </v>
      </c>
      <c r="E10" s="78" t="str">
        <f>IF(inputPrYr!$E$20&gt;0,ROUND(+B10*E$47,0)," ")</f>
        <v xml:space="preserve"> </v>
      </c>
      <c r="F10" s="78" t="str">
        <f>IF(inputPrYr!$E$20&gt;0,ROUND(+B10*F$49,0)," ")</f>
        <v xml:space="preserve"> </v>
      </c>
      <c r="G10" s="78" t="str">
        <f>IF(inputPrYr!$E$20&gt;0,ROUND(B10*G$51,0)," ")</f>
        <v xml:space="preserve"> </v>
      </c>
      <c r="H10" s="78" t="str">
        <f>IF(inputPrYr!$E$20&gt;0,ROUND(B10*H$53,0)," ")</f>
        <v xml:space="preserve"> </v>
      </c>
    </row>
    <row r="11" spans="1:8" x14ac:dyDescent="0.25">
      <c r="A11" s="14" t="str">
        <f>IF((inputPrYr!$B21&gt;" "),(inputPrYr!$B21),"  ")</f>
        <v xml:space="preserve">  </v>
      </c>
      <c r="B11" s="78" t="str">
        <f>IF(inputPrYr!E21&gt;0,inputPrYr!E21,"  ")</f>
        <v xml:space="preserve">  </v>
      </c>
      <c r="C11" s="468" t="str">
        <f>IF(inputPrYr!F21&gt;0,(inputPrYr!F21),"  ")</f>
        <v xml:space="preserve">  </v>
      </c>
      <c r="D11" s="78" t="str">
        <f>IF(inputPrYr!E21&gt;0,ROUND(+B11*D$45,0),"  ")</f>
        <v xml:space="preserve">  </v>
      </c>
      <c r="E11" s="78" t="str">
        <f>IF(inputPrYr!E21&gt;0,ROUND(+B11*E$47,0),"  ")</f>
        <v xml:space="preserve">  </v>
      </c>
      <c r="F11" s="78" t="str">
        <f>IF(inputPrYr!E21&gt;0,ROUND(+B11*F$49,0),"  ")</f>
        <v xml:space="preserve">  </v>
      </c>
      <c r="G11" s="78" t="str">
        <f>IF(inputPrYr!E21&gt;0,ROUND(B11*G$51,0),"  ")</f>
        <v xml:space="preserve">  </v>
      </c>
      <c r="H11" s="78" t="str">
        <f>IF(inputPrYr!E21&gt;0,ROUND(B11*H$53,0),"  ")</f>
        <v xml:space="preserve">  </v>
      </c>
    </row>
    <row r="12" spans="1:8" x14ac:dyDescent="0.25">
      <c r="A12" s="14" t="str">
        <f>IF((inputPrYr!$B22&gt;" "),(inputPrYr!$B22),"  ")</f>
        <v xml:space="preserve">  </v>
      </c>
      <c r="B12" s="78" t="str">
        <f>IF(inputPrYr!E22&gt;0,inputPrYr!E22,"  ")</f>
        <v xml:space="preserve">  </v>
      </c>
      <c r="C12" s="468" t="str">
        <f>IF(inputPrYr!F22&gt;0,(inputPrYr!F22),"  ")</f>
        <v xml:space="preserve">  </v>
      </c>
      <c r="D12" s="78" t="str">
        <f>IF(inputPrYr!E22&gt;0,ROUND(+B12*D$45,0),"  ")</f>
        <v xml:space="preserve">  </v>
      </c>
      <c r="E12" s="78" t="str">
        <f>IF(inputPrYr!E22&gt;0,ROUND(+B12*E$47,0),"  ")</f>
        <v xml:space="preserve">  </v>
      </c>
      <c r="F12" s="78" t="str">
        <f>IF(inputPrYr!E22&gt;0,ROUND(+B12*F$49,0),"  ")</f>
        <v xml:space="preserve">  </v>
      </c>
      <c r="G12" s="78" t="str">
        <f>IF(inputPrYr!E22&gt;0,ROUND(B12*G$51,0),"  ")</f>
        <v xml:space="preserve">  </v>
      </c>
      <c r="H12" s="78" t="str">
        <f>IF(inputPrYr!E22&gt;0,ROUND(B12*H$53,0),"  ")</f>
        <v xml:space="preserve">  </v>
      </c>
    </row>
    <row r="13" spans="1:8" x14ac:dyDescent="0.25">
      <c r="A13" s="14" t="str">
        <f>IF((inputPrYr!$B23&gt;" "),(inputPrYr!$B23),"  ")</f>
        <v xml:space="preserve">  </v>
      </c>
      <c r="B13" s="78" t="str">
        <f>IF(inputPrYr!E23&gt;0,inputPrYr!E23,"  ")</f>
        <v xml:space="preserve">  </v>
      </c>
      <c r="C13" s="468" t="str">
        <f>IF(inputPrYr!F23&gt;0,(inputPrYr!F23),"  ")</f>
        <v xml:space="preserve">  </v>
      </c>
      <c r="D13" s="78" t="str">
        <f>IF(inputPrYr!E23&gt;0,ROUND(+B13*D$45,0),"  ")</f>
        <v xml:space="preserve">  </v>
      </c>
      <c r="E13" s="78" t="str">
        <f>IF(inputPrYr!E23&gt;0,ROUND(+B13*E$47,0),"  ")</f>
        <v xml:space="preserve">  </v>
      </c>
      <c r="F13" s="78" t="str">
        <f>IF(inputPrYr!E23&gt;0,ROUND(+B13*F$49,0),"  ")</f>
        <v xml:space="preserve">  </v>
      </c>
      <c r="G13" s="78" t="str">
        <f>IF(inputPrYr!E23&gt;0,ROUND(B13*G$51,0),"  ")</f>
        <v xml:space="preserve">  </v>
      </c>
      <c r="H13" s="78" t="str">
        <f>IF(inputPrYr!E23&gt;0,ROUND(B13*H$53,0),"  ")</f>
        <v xml:space="preserve">  </v>
      </c>
    </row>
    <row r="14" spans="1:8" x14ac:dyDescent="0.25">
      <c r="A14" s="14" t="str">
        <f>IF((inputPrYr!$B24&gt;" "),(inputPrYr!$B24),"  ")</f>
        <v xml:space="preserve">  </v>
      </c>
      <c r="B14" s="78" t="str">
        <f>IF(inputPrYr!E24&gt;0,inputPrYr!E24,"  ")</f>
        <v xml:space="preserve">  </v>
      </c>
      <c r="C14" s="468" t="str">
        <f>IF(inputPrYr!F24&gt;0,(inputPrYr!F24),"  ")</f>
        <v xml:space="preserve">  </v>
      </c>
      <c r="D14" s="78" t="str">
        <f>IF(inputPrYr!E24&gt;0,ROUND(+B14*D$45,0),"  ")</f>
        <v xml:space="preserve">  </v>
      </c>
      <c r="E14" s="78" t="str">
        <f>IF(inputPrYr!E24&gt;0,ROUND(+B14*E$47,0),"  ")</f>
        <v xml:space="preserve">  </v>
      </c>
      <c r="F14" s="78" t="str">
        <f>IF(inputPrYr!E24&gt;0,ROUND(+B14*F$49,0),"  ")</f>
        <v xml:space="preserve">  </v>
      </c>
      <c r="G14" s="78" t="str">
        <f>IF(inputPrYr!E24&gt;0,ROUND(B14*G$51,0),"  ")</f>
        <v xml:space="preserve">  </v>
      </c>
      <c r="H14" s="78" t="str">
        <f>IF(inputPrYr!E24&gt;0,ROUND(B14*H$53,0),"  ")</f>
        <v xml:space="preserve">  </v>
      </c>
    </row>
    <row r="15" spans="1:8" x14ac:dyDescent="0.25">
      <c r="A15" s="14" t="str">
        <f>IF((inputPrYr!$B25&gt;" "),(inputPrYr!$B25),"  ")</f>
        <v xml:space="preserve">  </v>
      </c>
      <c r="B15" s="78" t="str">
        <f>IF(inputPrYr!E25&gt;0,inputPrYr!E25,"  ")</f>
        <v xml:space="preserve">  </v>
      </c>
      <c r="C15" s="468" t="str">
        <f>IF(inputPrYr!F25&gt;0,(inputPrYr!F25),"  ")</f>
        <v xml:space="preserve">  </v>
      </c>
      <c r="D15" s="78" t="str">
        <f>IF(inputPrYr!E25&gt;0,ROUND(+B15*D$45,0),"  ")</f>
        <v xml:space="preserve">  </v>
      </c>
      <c r="E15" s="78" t="str">
        <f>IF(inputPrYr!E25&gt;0,ROUND(+B15*E$47,0),"  ")</f>
        <v xml:space="preserve">  </v>
      </c>
      <c r="F15" s="78" t="str">
        <f>IF(inputPrYr!E25&gt;0,ROUND(+B15*F$49,0),"  ")</f>
        <v xml:space="preserve">  </v>
      </c>
      <c r="G15" s="78" t="str">
        <f>IF(inputPrYr!E25&gt;0,ROUND(B15*G$51,0),"  ")</f>
        <v xml:space="preserve">  </v>
      </c>
      <c r="H15" s="78" t="str">
        <f>IF(inputPrYr!E25&gt;0,ROUND(B15*H$53,0),"  ")</f>
        <v xml:space="preserve">  </v>
      </c>
    </row>
    <row r="16" spans="1:8" x14ac:dyDescent="0.25">
      <c r="A16" s="14" t="str">
        <f>IF((inputPrYr!$B26&gt;" "),(inputPrYr!$B26),"  ")</f>
        <v xml:space="preserve">  </v>
      </c>
      <c r="B16" s="78" t="str">
        <f>IF(inputPrYr!E26&gt;0,inputPrYr!E26,"  ")</f>
        <v xml:space="preserve">  </v>
      </c>
      <c r="C16" s="468" t="str">
        <f>IF(inputPrYr!F26&gt;0,(inputPrYr!F26),"  ")</f>
        <v xml:space="preserve">  </v>
      </c>
      <c r="D16" s="78" t="str">
        <f>IF(inputPrYr!E26&gt;0,ROUND(+B16*D$45,0),"  ")</f>
        <v xml:space="preserve">  </v>
      </c>
      <c r="E16" s="78" t="str">
        <f>IF(inputPrYr!E26&gt;0,ROUND(+B16*E$47,0),"  ")</f>
        <v xml:space="preserve">  </v>
      </c>
      <c r="F16" s="78" t="str">
        <f>IF(inputPrYr!E26&gt;0,ROUND(+B16*F$49,0),"  ")</f>
        <v xml:space="preserve">  </v>
      </c>
      <c r="G16" s="78" t="str">
        <f>IF(inputPrYr!E26&gt;0,ROUND(B16*G$51,0),"  ")</f>
        <v xml:space="preserve">  </v>
      </c>
      <c r="H16" s="78" t="str">
        <f>IF(inputPrYr!E26&gt;0,ROUND(B16*H$53,0),"  ")</f>
        <v xml:space="preserve">  </v>
      </c>
    </row>
    <row r="17" spans="1:11" x14ac:dyDescent="0.25">
      <c r="A17" s="14" t="str">
        <f>IF((inputPrYr!$B27&gt;" "),(inputPrYr!$B27),"  ")</f>
        <v xml:space="preserve">  </v>
      </c>
      <c r="B17" s="78" t="str">
        <f>IF(inputPrYr!E27&gt;0,inputPrYr!E27,"  ")</f>
        <v xml:space="preserve">  </v>
      </c>
      <c r="C17" s="468" t="str">
        <f>IF(inputPrYr!F27&gt;0,(inputPrYr!F27),"  ")</f>
        <v xml:space="preserve">  </v>
      </c>
      <c r="D17" s="78" t="str">
        <f>IF(inputPrYr!E27&gt;0,ROUND(+B17*D$45,0),"  ")</f>
        <v xml:space="preserve">  </v>
      </c>
      <c r="E17" s="78" t="str">
        <f>IF(inputPrYr!E27&gt;0,ROUND(+B17*E$47,0),"  ")</f>
        <v xml:space="preserve">  </v>
      </c>
      <c r="F17" s="78" t="str">
        <f>IF(inputPrYr!E27&gt;0,ROUND(+B17*F$49,0),"  ")</f>
        <v xml:space="preserve">  </v>
      </c>
      <c r="G17" s="78" t="str">
        <f>IF(inputPrYr!E27&gt;0,ROUND(B17*G$51,0),"  ")</f>
        <v xml:space="preserve">  </v>
      </c>
      <c r="H17" s="78" t="str">
        <f>IF(inputPrYr!E27&gt;0,ROUND(B17*H$53,0),"  ")</f>
        <v xml:space="preserve">  </v>
      </c>
    </row>
    <row r="18" spans="1:11" x14ac:dyDescent="0.25">
      <c r="A18" s="14" t="str">
        <f>IF((inputPrYr!$B28&gt;" "),(inputPrYr!$B28),"  ")</f>
        <v xml:space="preserve">  </v>
      </c>
      <c r="B18" s="78" t="str">
        <f>IF(inputPrYr!E28&gt;0,inputPrYr!E28,"  ")</f>
        <v xml:space="preserve">  </v>
      </c>
      <c r="C18" s="468" t="str">
        <f>IF(inputPrYr!F28&gt;0,(inputPrYr!F28),"  ")</f>
        <v xml:space="preserve">  </v>
      </c>
      <c r="D18" s="78" t="str">
        <f>IF(inputPrYr!E28&gt;0,ROUND(+B18*D$45,0),"  ")</f>
        <v xml:space="preserve">  </v>
      </c>
      <c r="E18" s="78" t="str">
        <f>IF(inputPrYr!E28&gt;0,ROUND(+B18*E$47,0),"  ")</f>
        <v xml:space="preserve">  </v>
      </c>
      <c r="F18" s="78" t="str">
        <f>IF(inputPrYr!E28&gt;0,ROUND(+B18*F$49,0),"  ")</f>
        <v xml:space="preserve">  </v>
      </c>
      <c r="G18" s="78" t="str">
        <f>IF(inputPrYr!E28&gt;0,ROUND(B18*G$51,0),"  ")</f>
        <v xml:space="preserve">  </v>
      </c>
      <c r="H18" s="78" t="str">
        <f>IF(inputPrYr!E28&gt;0,ROUND(B18*H$53,0),"  ")</f>
        <v xml:space="preserve">  </v>
      </c>
    </row>
    <row r="19" spans="1:11" x14ac:dyDescent="0.25">
      <c r="A19" s="14" t="str">
        <f>IF((inputPrYr!$B29&gt;" "),(inputPrYr!$B29),"  ")</f>
        <v xml:space="preserve">  </v>
      </c>
      <c r="B19" s="78" t="str">
        <f>IF(inputPrYr!E29&gt;0,inputPrYr!E29,"  ")</f>
        <v xml:space="preserve">  </v>
      </c>
      <c r="C19" s="468" t="str">
        <f>IF(inputPrYr!F29&gt;0,(inputPrYr!F29),"  ")</f>
        <v xml:space="preserve">  </v>
      </c>
      <c r="D19" s="78" t="str">
        <f>IF(inputPrYr!E29&gt;0,ROUND(+B19*D$45,0),"  ")</f>
        <v xml:space="preserve">  </v>
      </c>
      <c r="E19" s="78" t="str">
        <f>IF(inputPrYr!E29&gt;0,ROUND(+B19*E$47,0),"  ")</f>
        <v xml:space="preserve">  </v>
      </c>
      <c r="F19" s="78" t="str">
        <f>IF(inputPrYr!E29&gt;0,ROUND(+B19*F$49,0),"  ")</f>
        <v xml:space="preserve">  </v>
      </c>
      <c r="G19" s="78" t="str">
        <f>IF(inputPrYr!E29&gt;0,ROUND(B19*G$51,0),"  ")</f>
        <v xml:space="preserve">  </v>
      </c>
      <c r="H19" s="78" t="str">
        <f>IF(inputPrYr!E29&gt;0,ROUND(B19*H$53,0),"  ")</f>
        <v xml:space="preserve">  </v>
      </c>
      <c r="K19" s="470"/>
    </row>
    <row r="20" spans="1:11" x14ac:dyDescent="0.25">
      <c r="A20" s="14" t="str">
        <f>IF((inputPrYr!$B30&gt;" "),(inputPrYr!$B30),"  ")</f>
        <v xml:space="preserve">  </v>
      </c>
      <c r="B20" s="78" t="str">
        <f>IF(inputPrYr!E30&gt;0,inputPrYr!E30,"  ")</f>
        <v xml:space="preserve">  </v>
      </c>
      <c r="C20" s="468" t="str">
        <f>IF(inputPrYr!F30&gt;0,(inputPrYr!F30),"  ")</f>
        <v xml:space="preserve">  </v>
      </c>
      <c r="D20" s="78" t="str">
        <f>IF(inputPrYr!E30&gt;0,ROUND(+B20*D$45,0),"  ")</f>
        <v xml:space="preserve">  </v>
      </c>
      <c r="E20" s="78" t="str">
        <f>IF(inputPrYr!E30&gt;0,ROUND(+B20*E$47,0),"  ")</f>
        <v xml:space="preserve">  </v>
      </c>
      <c r="F20" s="78" t="str">
        <f>IF(inputPrYr!E30&gt;0,ROUND(+B20*F$49,0),"  ")</f>
        <v xml:space="preserve">  </v>
      </c>
      <c r="G20" s="78" t="str">
        <f>IF(inputPrYr!E30&gt;0,ROUND(B20*G$51,0),"  ")</f>
        <v xml:space="preserve">  </v>
      </c>
      <c r="H20" s="78" t="str">
        <f>IF(inputPrYr!E30&gt;0,ROUND(B20*H$53,0),"  ")</f>
        <v xml:space="preserve">  </v>
      </c>
    </row>
    <row r="21" spans="1:11" x14ac:dyDescent="0.25">
      <c r="A21" s="14" t="str">
        <f>IF((inputPrYr!$B31&gt;" "),(inputPrYr!$B31),"  ")</f>
        <v xml:space="preserve">  </v>
      </c>
      <c r="B21" s="78" t="str">
        <f>IF(inputPrYr!E31&gt;0,inputPrYr!E31,"  ")</f>
        <v xml:space="preserve">  </v>
      </c>
      <c r="C21" s="468" t="str">
        <f>IF(inputPrYr!F31&gt;0,(inputPrYr!F31),"  ")</f>
        <v xml:space="preserve">  </v>
      </c>
      <c r="D21" s="78" t="str">
        <f>IF(inputPrYr!E31&gt;0,ROUND(+B21*D$45,0),"  ")</f>
        <v xml:space="preserve">  </v>
      </c>
      <c r="E21" s="78" t="str">
        <f>IF(inputPrYr!E31&gt;0,ROUND(+B21*E$47,0),"  ")</f>
        <v xml:space="preserve">  </v>
      </c>
      <c r="F21" s="78" t="str">
        <f>IF(inputPrYr!E31&gt;0,ROUND(+B21*F$49,0),"  ")</f>
        <v xml:space="preserve">  </v>
      </c>
      <c r="G21" s="78" t="str">
        <f>IF(inputPrYr!E31&gt;0,ROUND(B21*G$51,0),"  ")</f>
        <v xml:space="preserve">  </v>
      </c>
      <c r="H21" s="78" t="str">
        <f>IF(inputPrYr!E31&gt;0,ROUND(B21*H$53,0),"  ")</f>
        <v xml:space="preserve">  </v>
      </c>
    </row>
    <row r="22" spans="1:11" x14ac:dyDescent="0.25">
      <c r="A22" s="14" t="str">
        <f>IF((inputPrYr!$B32&gt;" "),(inputPrYr!$B32),"  ")</f>
        <v xml:space="preserve">  </v>
      </c>
      <c r="B22" s="78" t="str">
        <f>IF(inputPrYr!E32&gt;0,inputPrYr!E32,"  ")</f>
        <v xml:space="preserve">  </v>
      </c>
      <c r="C22" s="468" t="str">
        <f>IF(inputPrYr!F32&gt;0,(inputPrYr!F32),"  ")</f>
        <v xml:space="preserve">  </v>
      </c>
      <c r="D22" s="78" t="str">
        <f>IF(inputPrYr!E32&gt;0,ROUND(+B22*D$45,0),"  ")</f>
        <v xml:space="preserve">  </v>
      </c>
      <c r="E22" s="78" t="str">
        <f>IF(inputPrYr!E32&gt;0,ROUND(+B22*E$47,0),"  ")</f>
        <v xml:space="preserve">  </v>
      </c>
      <c r="F22" s="78" t="str">
        <f>IF(inputPrYr!E32&gt;0,ROUND(+B22*F$49,0),"  ")</f>
        <v xml:space="preserve">  </v>
      </c>
      <c r="G22" s="78" t="str">
        <f>IF(inputPrYr!E32&gt;0,ROUND(B22*G$51,0),"  ")</f>
        <v xml:space="preserve">  </v>
      </c>
      <c r="H22" s="78" t="str">
        <f>IF(inputPrYr!E32&gt;0,ROUND(B22*H$53,0),"  ")</f>
        <v xml:space="preserve">  </v>
      </c>
    </row>
    <row r="23" spans="1:11" x14ac:dyDescent="0.25">
      <c r="A23" s="14" t="str">
        <f>IF((inputPrYr!$B33&gt;" "),(inputPrYr!$B33),"  ")</f>
        <v xml:space="preserve">  </v>
      </c>
      <c r="B23" s="78" t="str">
        <f>IF(inputPrYr!E33&gt;0,inputPrYr!E33,"  ")</f>
        <v xml:space="preserve">  </v>
      </c>
      <c r="C23" s="468" t="str">
        <f>IF(inputPrYr!F33&gt;0,(inputPrYr!F33),"  ")</f>
        <v xml:space="preserve">  </v>
      </c>
      <c r="D23" s="78" t="str">
        <f>IF(inputPrYr!E33&gt;0,ROUND(+B23*D$45,0),"  ")</f>
        <v xml:space="preserve">  </v>
      </c>
      <c r="E23" s="78" t="str">
        <f>IF(inputPrYr!E33&gt;0,ROUND(+B23*E$47,0),"  ")</f>
        <v xml:space="preserve">  </v>
      </c>
      <c r="F23" s="78" t="str">
        <f>IF(inputPrYr!E33&gt;0,ROUND(+B23*F$49,0),"  ")</f>
        <v xml:space="preserve">  </v>
      </c>
      <c r="G23" s="78" t="str">
        <f>IF(inputPrYr!E33&gt;0,ROUND(B23*G$51,0),"  ")</f>
        <v xml:space="preserve">  </v>
      </c>
      <c r="H23" s="78" t="str">
        <f>IF(inputPrYr!E33&gt;0,ROUND(B23*H$53,0),"  ")</f>
        <v xml:space="preserve">  </v>
      </c>
    </row>
    <row r="24" spans="1:11" x14ac:dyDescent="0.25">
      <c r="A24" s="14" t="str">
        <f>IF((inputPrYr!$B34&gt;" "),(inputPrYr!$B34),"  ")</f>
        <v xml:space="preserve">  </v>
      </c>
      <c r="B24" s="78" t="str">
        <f>IF(inputPrYr!E34&gt;0,inputPrYr!E34,"  ")</f>
        <v xml:space="preserve">  </v>
      </c>
      <c r="C24" s="468" t="str">
        <f>IF(inputPrYr!F34&gt;0,(inputPrYr!F34),"  ")</f>
        <v xml:space="preserve">  </v>
      </c>
      <c r="D24" s="78" t="str">
        <f>IF(inputPrYr!E34&gt;0,ROUND(+B24*D$45,0),"  ")</f>
        <v xml:space="preserve">  </v>
      </c>
      <c r="E24" s="78" t="str">
        <f>IF(inputPrYr!E34&gt;0,ROUND(+B24*E$47,0),"  ")</f>
        <v xml:space="preserve">  </v>
      </c>
      <c r="F24" s="78" t="str">
        <f>IF(inputPrYr!E34&gt;0,ROUND(+B24*F$49,0),"  ")</f>
        <v xml:space="preserve">  </v>
      </c>
      <c r="G24" s="78" t="str">
        <f>IF(inputPrYr!E34&gt;0,ROUND(B24*G$51,0),"  ")</f>
        <v xml:space="preserve">  </v>
      </c>
      <c r="H24" s="78" t="str">
        <f>IF(inputPrYr!E34&gt;0,ROUND(B24*H$53,0),"  ")</f>
        <v xml:space="preserve">  </v>
      </c>
    </row>
    <row r="25" spans="1:11" x14ac:dyDescent="0.25">
      <c r="A25" s="14" t="str">
        <f>IF((inputPrYr!$B35&gt;" "),(inputPrYr!$B35),"  ")</f>
        <v xml:space="preserve">  </v>
      </c>
      <c r="B25" s="78" t="str">
        <f>IF(inputPrYr!E35&gt;0,inputPrYr!E35,"  ")</f>
        <v xml:space="preserve">  </v>
      </c>
      <c r="C25" s="468" t="str">
        <f>IF(inputPrYr!F35&gt;0,(inputPrYr!F35),"  ")</f>
        <v xml:space="preserve">  </v>
      </c>
      <c r="D25" s="78" t="str">
        <f>IF(inputPrYr!E35&gt;0,ROUND(+B25*D$45,0),"  ")</f>
        <v xml:space="preserve">  </v>
      </c>
      <c r="E25" s="78" t="str">
        <f>IF(inputPrYr!E35&gt;0,ROUND(+B25*E$47,0),"  ")</f>
        <v xml:space="preserve">  </v>
      </c>
      <c r="F25" s="78" t="str">
        <f>IF(inputPrYr!E35&gt;0,ROUND(+B25*F$49,0),"  ")</f>
        <v xml:space="preserve">  </v>
      </c>
      <c r="G25" s="78" t="str">
        <f>IF(inputPrYr!E35&gt;0,ROUND(B25*G$51,0),"  ")</f>
        <v xml:space="preserve">  </v>
      </c>
      <c r="H25" s="78" t="str">
        <f>IF(inputPrYr!E35&gt;0,ROUND(B25*H$53,0),"  ")</f>
        <v xml:space="preserve">  </v>
      </c>
    </row>
    <row r="26" spans="1:11" x14ac:dyDescent="0.25">
      <c r="A26" s="14" t="str">
        <f>IF((inputPrYr!$B36&gt;" "),(inputPrYr!$B36),"  ")</f>
        <v xml:space="preserve">  </v>
      </c>
      <c r="B26" s="78" t="str">
        <f>IF(inputPrYr!E36&gt;0,inputPrYr!E36,"  ")</f>
        <v xml:space="preserve">  </v>
      </c>
      <c r="C26" s="468" t="str">
        <f>IF(inputPrYr!F36&gt;0,(inputPrYr!F36),"  ")</f>
        <v xml:space="preserve">  </v>
      </c>
      <c r="D26" s="78" t="str">
        <f>IF(inputPrYr!E36&gt;0,ROUND(+B26*D$45,0),"  ")</f>
        <v xml:space="preserve">  </v>
      </c>
      <c r="E26" s="78" t="str">
        <f>IF(inputPrYr!E36&gt;0,ROUND(+B26*E$47,0),"  ")</f>
        <v xml:space="preserve">  </v>
      </c>
      <c r="F26" s="78" t="str">
        <f>IF(inputPrYr!E36&gt;0,ROUND(+B26*F$49,0),"  ")</f>
        <v xml:space="preserve">  </v>
      </c>
      <c r="G26" s="78" t="str">
        <f>IF(inputPrYr!E36&gt;0,ROUND(B26*G$51,0),"  ")</f>
        <v xml:space="preserve">  </v>
      </c>
      <c r="H26" s="78" t="str">
        <f>IF(inputPrYr!E36&gt;0,ROUND(B26*H$53,0),"  ")</f>
        <v xml:space="preserve">  </v>
      </c>
    </row>
    <row r="27" spans="1:11" x14ac:dyDescent="0.25">
      <c r="A27" s="14" t="str">
        <f>IF((inputPrYr!$B37&gt;" "),(inputPrYr!$B37),"  ")</f>
        <v xml:space="preserve">  </v>
      </c>
      <c r="B27" s="78" t="str">
        <f>IF(inputPrYr!E37&gt;0,inputPrYr!E37,"  ")</f>
        <v xml:space="preserve">  </v>
      </c>
      <c r="C27" s="468" t="str">
        <f>IF(inputPrYr!F37&gt;0,(inputPrYr!F37),"  ")</f>
        <v xml:space="preserve">  </v>
      </c>
      <c r="D27" s="78" t="str">
        <f>IF(inputPrYr!E37&gt;0,ROUND(+B27*D$45,0),"  ")</f>
        <v xml:space="preserve">  </v>
      </c>
      <c r="E27" s="78" t="str">
        <f>IF(inputPrYr!E37&gt;0,ROUND(+B27*E$47,0),"  ")</f>
        <v xml:space="preserve">  </v>
      </c>
      <c r="F27" s="78" t="str">
        <f>IF(inputPrYr!E37&gt;0,ROUND(+B27*F$49,0),"  ")</f>
        <v xml:space="preserve">  </v>
      </c>
      <c r="G27" s="78" t="str">
        <f>IF(inputPrYr!E37&gt;0,ROUND(B27*G$51,0),"  ")</f>
        <v xml:space="preserve">  </v>
      </c>
      <c r="H27" s="78" t="str">
        <f>IF(inputPrYr!E37&gt;0,ROUND(B27*H$53,0),"  ")</f>
        <v xml:space="preserve">  </v>
      </c>
    </row>
    <row r="28" spans="1:11" x14ac:dyDescent="0.25">
      <c r="A28" s="14" t="str">
        <f>IF((inputPrYr!$B38&gt;" "),(inputPrYr!$B38),"  ")</f>
        <v xml:space="preserve">  </v>
      </c>
      <c r="B28" s="78" t="str">
        <f>IF(inputPrYr!E38&gt;0,inputPrYr!E38,"  ")</f>
        <v xml:space="preserve">  </v>
      </c>
      <c r="C28" s="468" t="str">
        <f>IF(inputPrYr!F38&gt;0,(inputPrYr!F38),"  ")</f>
        <v xml:space="preserve">  </v>
      </c>
      <c r="D28" s="78" t="str">
        <f>IF(inputPrYr!E38&gt;0,ROUND(+B28*D$45,0),"  ")</f>
        <v xml:space="preserve">  </v>
      </c>
      <c r="E28" s="78" t="str">
        <f>IF(inputPrYr!E38&gt;0,ROUND(+B28*E$47,0),"  ")</f>
        <v xml:space="preserve">  </v>
      </c>
      <c r="F28" s="78" t="str">
        <f>IF(inputPrYr!E38&gt;0,ROUND(+B28*F$49,0),"  ")</f>
        <v xml:space="preserve">  </v>
      </c>
      <c r="G28" s="78" t="str">
        <f>IF(inputPrYr!E38&gt;0,ROUND(B28*G$51,0),"  ")</f>
        <v xml:space="preserve">  </v>
      </c>
      <c r="H28" s="78" t="str">
        <f>IF(inputPrYr!E38&gt;0,ROUND(B28*H$53,0),"  ")</f>
        <v xml:space="preserve">  </v>
      </c>
    </row>
    <row r="29" spans="1:11" x14ac:dyDescent="0.25">
      <c r="A29" s="14" t="str">
        <f>IF((inputPrYr!$B39&gt;" "),(inputPrYr!$B39),"  ")</f>
        <v xml:space="preserve">  </v>
      </c>
      <c r="B29" s="78" t="str">
        <f>IF(inputPrYr!E39&gt;0,inputPrYr!E39,"  ")</f>
        <v xml:space="preserve">  </v>
      </c>
      <c r="C29" s="468" t="str">
        <f>IF(inputPrYr!F39&gt;0,(inputPrYr!F39),"  ")</f>
        <v xml:space="preserve">  </v>
      </c>
      <c r="D29" s="78" t="str">
        <f>IF(inputPrYr!E39&gt;0,ROUND(+B29*D$45,0),"  ")</f>
        <v xml:space="preserve">  </v>
      </c>
      <c r="E29" s="78" t="str">
        <f>IF(inputPrYr!E39&gt;0,ROUND(+B29*E$47,0),"  ")</f>
        <v xml:space="preserve">  </v>
      </c>
      <c r="F29" s="78" t="str">
        <f>IF(inputPrYr!E39&gt;0,ROUND(+B29*F$49,0),"  ")</f>
        <v xml:space="preserve">  </v>
      </c>
      <c r="G29" s="78" t="str">
        <f>IF(inputPrYr!E39&gt;0,ROUND(B29*G$51,0),"  ")</f>
        <v xml:space="preserve">  </v>
      </c>
      <c r="H29" s="78" t="str">
        <f>IF(inputPrYr!E39&gt;0,ROUND(B29*H$53,0),"  ")</f>
        <v xml:space="preserve">  </v>
      </c>
    </row>
    <row r="30" spans="1:11" x14ac:dyDescent="0.25">
      <c r="A30" s="14" t="str">
        <f>IF((inputPrYr!$B40&gt;" "),(inputPrYr!$B40),"  ")</f>
        <v xml:space="preserve">  </v>
      </c>
      <c r="B30" s="78" t="str">
        <f>IF(inputPrYr!E40&gt;0,inputPrYr!E40,"  ")</f>
        <v xml:space="preserve">  </v>
      </c>
      <c r="C30" s="468" t="str">
        <f>IF(inputPrYr!F40&gt;0,(inputPrYr!F40),"  ")</f>
        <v xml:space="preserve">  </v>
      </c>
      <c r="D30" s="78" t="str">
        <f>IF(inputPrYr!E40&gt;0,ROUND(+B30*D$45,0),"  ")</f>
        <v xml:space="preserve">  </v>
      </c>
      <c r="E30" s="78" t="str">
        <f>IF(inputPrYr!E40&gt;0,ROUND(+B30*E$47,0),"  ")</f>
        <v xml:space="preserve">  </v>
      </c>
      <c r="F30" s="78" t="str">
        <f>IF(inputPrYr!E40&gt;0,ROUND(+B30*F$49,0),"  ")</f>
        <v xml:space="preserve">  </v>
      </c>
      <c r="G30" s="78" t="str">
        <f>IF(inputPrYr!E40&gt;0,ROUND(B30*G$51,0),"  ")</f>
        <v xml:space="preserve">  </v>
      </c>
      <c r="H30" s="78" t="str">
        <f>IF(inputPrYr!E40&gt;0,ROUND(B30*H$53,0),"  ")</f>
        <v xml:space="preserve">  </v>
      </c>
    </row>
    <row r="31" spans="1:11" x14ac:dyDescent="0.25">
      <c r="A31" s="14" t="str">
        <f>IF((inputPrYr!$B41&gt;" "),(inputPrYr!$B41),"  ")</f>
        <v xml:space="preserve">  </v>
      </c>
      <c r="B31" s="78" t="str">
        <f>IF(inputPrYr!E41&gt;0,inputPrYr!E41,"  ")</f>
        <v xml:space="preserve">  </v>
      </c>
      <c r="C31" s="468" t="str">
        <f>IF(inputPrYr!F41&gt;0,(inputPrYr!F41),"  ")</f>
        <v xml:space="preserve">  </v>
      </c>
      <c r="D31" s="78" t="str">
        <f>IF(inputPrYr!E41&gt;0,ROUND(+B31*D$45,0),"  ")</f>
        <v xml:space="preserve">  </v>
      </c>
      <c r="E31" s="78" t="str">
        <f>IF(inputPrYr!E41&gt;0,ROUND(+B31*E$47,0),"  ")</f>
        <v xml:space="preserve">  </v>
      </c>
      <c r="F31" s="78" t="str">
        <f>IF(inputPrYr!E41&gt;0,ROUND(+B31*F$49,0),"  ")</f>
        <v xml:space="preserve">  </v>
      </c>
      <c r="G31" s="78" t="str">
        <f>IF(inputPrYr!E41&gt;0,ROUND(B31*G$51,0),"  ")</f>
        <v xml:space="preserve">  </v>
      </c>
      <c r="H31" s="78" t="str">
        <f>IF(inputPrYr!E41&gt;0,ROUND(B31*H$53,0),"  ")</f>
        <v xml:space="preserve">  </v>
      </c>
    </row>
    <row r="32" spans="1:11" ht="16.5" thickBot="1" x14ac:dyDescent="0.3">
      <c r="A32" s="34" t="s">
        <v>73</v>
      </c>
      <c r="B32" s="467">
        <f t="shared" ref="B32:H32" si="0">SUM(B7:B31)</f>
        <v>0</v>
      </c>
      <c r="C32" s="469">
        <f t="shared" si="0"/>
        <v>0</v>
      </c>
      <c r="D32" s="467">
        <f t="shared" si="0"/>
        <v>0</v>
      </c>
      <c r="E32" s="467">
        <f t="shared" si="0"/>
        <v>0</v>
      </c>
      <c r="F32" s="467">
        <f t="shared" si="0"/>
        <v>0</v>
      </c>
      <c r="G32" s="467">
        <f t="shared" si="0"/>
        <v>0</v>
      </c>
      <c r="H32" s="467">
        <f t="shared" si="0"/>
        <v>0</v>
      </c>
    </row>
    <row r="33" spans="1:8" ht="16.5" thickTop="1" x14ac:dyDescent="0.25">
      <c r="A33" s="10"/>
      <c r="B33" s="21"/>
      <c r="C33" s="22"/>
      <c r="D33" s="21"/>
      <c r="E33" s="21"/>
      <c r="F33" s="21"/>
      <c r="G33" s="21"/>
      <c r="H33" s="21"/>
    </row>
    <row r="34" spans="1:8" x14ac:dyDescent="0.25">
      <c r="A34" s="25" t="s">
        <v>74</v>
      </c>
      <c r="B34" s="19"/>
      <c r="C34" s="19"/>
      <c r="D34" s="20">
        <f>(inputOth!E18)</f>
        <v>0</v>
      </c>
      <c r="E34" s="19"/>
      <c r="F34" s="16"/>
      <c r="G34" s="16"/>
      <c r="H34" s="16"/>
    </row>
    <row r="35" spans="1:8" x14ac:dyDescent="0.25">
      <c r="A35" s="25"/>
      <c r="B35" s="19"/>
      <c r="C35" s="19"/>
      <c r="D35" s="21"/>
      <c r="E35" s="19"/>
      <c r="F35" s="16"/>
      <c r="G35" s="16"/>
      <c r="H35" s="16"/>
    </row>
    <row r="36" spans="1:8" x14ac:dyDescent="0.25">
      <c r="A36" s="390" t="s">
        <v>342</v>
      </c>
      <c r="B36" s="16"/>
      <c r="C36" s="16"/>
      <c r="D36" s="16"/>
      <c r="E36" s="20">
        <f>(inputOth!E19)</f>
        <v>0</v>
      </c>
      <c r="F36" s="16"/>
      <c r="G36" s="16"/>
      <c r="H36" s="16"/>
    </row>
    <row r="37" spans="1:8" x14ac:dyDescent="0.25">
      <c r="A37" s="25"/>
      <c r="B37" s="16"/>
      <c r="C37" s="16"/>
      <c r="D37" s="16"/>
      <c r="E37" s="21"/>
      <c r="F37" s="16"/>
      <c r="G37" s="16"/>
      <c r="H37" s="16"/>
    </row>
    <row r="38" spans="1:8" x14ac:dyDescent="0.25">
      <c r="A38" s="390" t="s">
        <v>343</v>
      </c>
      <c r="B38" s="16"/>
      <c r="C38" s="16"/>
      <c r="D38" s="16"/>
      <c r="E38" s="16"/>
      <c r="F38" s="20">
        <f>inputOth!E20</f>
        <v>0</v>
      </c>
      <c r="G38" s="21"/>
      <c r="H38" s="21"/>
    </row>
    <row r="39" spans="1:8" x14ac:dyDescent="0.25">
      <c r="A39" s="25"/>
      <c r="B39" s="16"/>
      <c r="C39" s="16"/>
      <c r="D39" s="16"/>
      <c r="E39" s="16"/>
      <c r="F39" s="21"/>
      <c r="G39" s="21"/>
      <c r="H39" s="21"/>
    </row>
    <row r="40" spans="1:8" x14ac:dyDescent="0.25">
      <c r="A40" s="389" t="s">
        <v>344</v>
      </c>
      <c r="B40" s="16"/>
      <c r="C40" s="16"/>
      <c r="D40" s="16"/>
      <c r="E40" s="16"/>
      <c r="F40" s="21"/>
      <c r="G40" s="20">
        <f>inputOth!E21</f>
        <v>0</v>
      </c>
      <c r="H40" s="21"/>
    </row>
    <row r="41" spans="1:8" x14ac:dyDescent="0.25">
      <c r="A41" s="25"/>
      <c r="B41" s="16"/>
      <c r="C41" s="16"/>
      <c r="D41" s="16"/>
      <c r="E41" s="16"/>
      <c r="F41" s="21"/>
      <c r="G41" s="21"/>
      <c r="H41" s="21"/>
    </row>
    <row r="42" spans="1:8" x14ac:dyDescent="0.25">
      <c r="A42" s="389" t="s">
        <v>345</v>
      </c>
      <c r="B42" s="16"/>
      <c r="C42" s="16"/>
      <c r="D42" s="16"/>
      <c r="E42" s="16"/>
      <c r="F42" s="21"/>
      <c r="G42" s="21"/>
      <c r="H42" s="20">
        <f>inputOth!E22</f>
        <v>0</v>
      </c>
    </row>
    <row r="43" spans="1:8" x14ac:dyDescent="0.25">
      <c r="A43" s="383"/>
      <c r="B43" s="384"/>
      <c r="C43" s="384"/>
      <c r="D43" s="384"/>
      <c r="E43" s="384"/>
      <c r="F43" s="384"/>
      <c r="G43" s="384"/>
      <c r="H43" s="384"/>
    </row>
    <row r="44" spans="1:8" x14ac:dyDescent="0.25">
      <c r="A44" s="383"/>
      <c r="B44" s="384"/>
      <c r="C44" s="384"/>
      <c r="D44" s="384"/>
      <c r="E44" s="384"/>
      <c r="F44" s="384"/>
      <c r="G44" s="384"/>
      <c r="H44" s="384"/>
    </row>
    <row r="45" spans="1:8" x14ac:dyDescent="0.25">
      <c r="A45" s="385" t="s">
        <v>75</v>
      </c>
      <c r="B45" s="384"/>
      <c r="C45" s="384"/>
      <c r="D45" s="386">
        <f>IF(B32=0,0,D34/B32)</f>
        <v>0</v>
      </c>
      <c r="E45" s="384"/>
      <c r="F45" s="384"/>
      <c r="G45" s="384"/>
      <c r="H45" s="384"/>
    </row>
    <row r="46" spans="1:8" x14ac:dyDescent="0.25">
      <c r="A46" s="385"/>
      <c r="B46" s="384"/>
      <c r="C46" s="384"/>
      <c r="D46" s="387"/>
      <c r="E46" s="384"/>
      <c r="F46" s="384"/>
      <c r="G46" s="384"/>
      <c r="H46" s="384"/>
    </row>
    <row r="47" spans="1:8" x14ac:dyDescent="0.25">
      <c r="A47" s="385" t="s">
        <v>204</v>
      </c>
      <c r="B47" s="384"/>
      <c r="C47" s="384"/>
      <c r="D47" s="384"/>
      <c r="E47" s="386">
        <f>IF(B32=0,0,E36/B32)</f>
        <v>0</v>
      </c>
      <c r="F47" s="384"/>
      <c r="G47" s="384"/>
      <c r="H47" s="384"/>
    </row>
    <row r="48" spans="1:8" x14ac:dyDescent="0.25">
      <c r="A48" s="385"/>
      <c r="B48" s="384"/>
      <c r="C48" s="384"/>
      <c r="D48" s="384"/>
      <c r="E48" s="387"/>
      <c r="F48" s="384"/>
      <c r="G48" s="384"/>
      <c r="H48" s="384"/>
    </row>
    <row r="49" spans="1:8" x14ac:dyDescent="0.25">
      <c r="A49" s="385" t="s">
        <v>203</v>
      </c>
      <c r="B49" s="384"/>
      <c r="C49" s="384"/>
      <c r="D49" s="384"/>
      <c r="E49" s="384"/>
      <c r="F49" s="386">
        <f>IF(B32=0,0,F38/B32)</f>
        <v>0</v>
      </c>
      <c r="G49" s="387"/>
      <c r="H49" s="387"/>
    </row>
    <row r="50" spans="1:8" x14ac:dyDescent="0.25">
      <c r="A50" s="385"/>
      <c r="B50" s="384"/>
      <c r="C50" s="384"/>
      <c r="D50" s="384"/>
      <c r="E50" s="384"/>
      <c r="F50" s="387"/>
      <c r="G50" s="387"/>
      <c r="H50" s="387"/>
    </row>
    <row r="51" spans="1:8" x14ac:dyDescent="0.25">
      <c r="A51" s="385"/>
      <c r="B51" s="384"/>
      <c r="C51" s="384"/>
      <c r="D51" s="384"/>
      <c r="E51" s="393" t="s">
        <v>346</v>
      </c>
      <c r="F51" s="392"/>
      <c r="G51" s="386">
        <f>IF(B32=0,0,G40/B32)</f>
        <v>0</v>
      </c>
      <c r="H51" s="387"/>
    </row>
    <row r="52" spans="1:8" x14ac:dyDescent="0.25">
      <c r="A52" s="385"/>
      <c r="B52" s="384"/>
      <c r="C52" s="384"/>
      <c r="D52" s="384"/>
      <c r="E52" s="391"/>
      <c r="F52" s="392"/>
      <c r="G52" s="387"/>
      <c r="H52" s="387"/>
    </row>
    <row r="53" spans="1:8" x14ac:dyDescent="0.25">
      <c r="A53" s="385"/>
      <c r="B53" s="384"/>
      <c r="C53" s="384"/>
      <c r="D53" s="384"/>
      <c r="E53" s="391"/>
      <c r="F53" s="393" t="s">
        <v>347</v>
      </c>
      <c r="G53" s="387"/>
      <c r="H53" s="386">
        <f>IF(B32=0,0,H42/B32)</f>
        <v>0</v>
      </c>
    </row>
    <row r="54" spans="1:8" x14ac:dyDescent="0.25">
      <c r="A54" s="383"/>
      <c r="B54" s="384"/>
      <c r="C54" s="384"/>
      <c r="D54" s="384"/>
      <c r="E54" s="384"/>
      <c r="F54" s="384"/>
      <c r="G54" s="384"/>
      <c r="H54" s="384"/>
    </row>
    <row r="55" spans="1:8" x14ac:dyDescent="0.25">
      <c r="A55" s="383"/>
      <c r="B55" s="384"/>
      <c r="C55" s="384"/>
      <c r="D55" s="384"/>
      <c r="E55" s="384"/>
      <c r="F55" s="384"/>
      <c r="G55" s="384"/>
      <c r="H55" s="384"/>
    </row>
  </sheetData>
  <sheetProtection sheet="1"/>
  <mergeCells count="5">
    <mergeCell ref="A3:H3"/>
    <mergeCell ref="B5:B6"/>
    <mergeCell ref="C5:C6"/>
    <mergeCell ref="D5:H5"/>
    <mergeCell ref="A5:A6"/>
  </mergeCells>
  <phoneticPr fontId="7" type="noConversion"/>
  <pageMargins left="1.5" right="0.75" top="0.25" bottom="0.18" header="0" footer="0"/>
  <pageSetup scale="67" firstPageNumber="3" orientation="landscape" blackAndWhite="1" useFirstPageNumber="1" r:id="rId1"/>
  <headerFooter alignWithMargins="0">
    <oddHeader>&amp;RState of Kansas
County</oddHeader>
    <oddFooter xml:space="preserve">&amp;CPage No. 2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rgb="FF00B0F0"/>
    <pageSetUpPr fitToPage="1"/>
  </sheetPr>
  <dimension ref="A1:F30"/>
  <sheetViews>
    <sheetView workbookViewId="0">
      <selection activeCell="C8" sqref="C8"/>
    </sheetView>
  </sheetViews>
  <sheetFormatPr defaultRowHeight="15.75" x14ac:dyDescent="0.2"/>
  <cols>
    <col min="1" max="2" width="17.77734375" style="56" customWidth="1"/>
    <col min="3" max="3" width="11.44140625" style="56" customWidth="1"/>
    <col min="4" max="6" width="11.77734375" style="56" customWidth="1"/>
    <col min="7" max="16384" width="8.88671875" style="56"/>
  </cols>
  <sheetData>
    <row r="1" spans="1:6" x14ac:dyDescent="0.2">
      <c r="A1" s="57">
        <f>inputPrYr!C3</f>
        <v>0</v>
      </c>
      <c r="B1" s="57"/>
      <c r="C1" s="26"/>
      <c r="D1" s="26"/>
      <c r="E1" s="90"/>
      <c r="F1" s="26">
        <f>inputPrYr!C5</f>
        <v>2025</v>
      </c>
    </row>
    <row r="2" spans="1:6" x14ac:dyDescent="0.2">
      <c r="A2" s="57"/>
      <c r="B2" s="57"/>
      <c r="C2" s="26"/>
      <c r="D2" s="26"/>
      <c r="E2" s="90"/>
      <c r="F2" s="26"/>
    </row>
    <row r="3" spans="1:6" ht="15" customHeight="1" x14ac:dyDescent="0.2">
      <c r="A3" s="557" t="s">
        <v>199</v>
      </c>
      <c r="B3" s="557"/>
      <c r="C3" s="557"/>
      <c r="D3" s="557"/>
      <c r="E3" s="557"/>
      <c r="F3" s="557"/>
    </row>
    <row r="4" spans="1:6" ht="14.25" customHeight="1" x14ac:dyDescent="0.2">
      <c r="A4" s="89"/>
      <c r="B4" s="91"/>
      <c r="C4" s="91"/>
      <c r="D4" s="91"/>
      <c r="E4" s="91"/>
      <c r="F4" s="91"/>
    </row>
    <row r="5" spans="1:6" ht="15" customHeight="1" x14ac:dyDescent="0.2">
      <c r="A5" s="618" t="s">
        <v>534</v>
      </c>
      <c r="B5" s="618" t="s">
        <v>535</v>
      </c>
      <c r="C5" s="618" t="str">
        <f>CONCATENATE("Actual Amount for ",F1-2,"")</f>
        <v>Actual Amount for 2023</v>
      </c>
      <c r="D5" s="618" t="str">
        <f>CONCATENATE("Current Amount for ",F1-1,"")</f>
        <v>Current Amount for 2024</v>
      </c>
      <c r="E5" s="618" t="str">
        <f>CONCATENATE("Proposed Amount for ",F1,"")</f>
        <v>Proposed Amount for 2025</v>
      </c>
      <c r="F5" s="618" t="s">
        <v>536</v>
      </c>
    </row>
    <row r="6" spans="1:6" ht="15" customHeight="1" x14ac:dyDescent="0.2">
      <c r="A6" s="619"/>
      <c r="B6" s="619"/>
      <c r="C6" s="619"/>
      <c r="D6" s="619"/>
      <c r="E6" s="619"/>
      <c r="F6" s="619"/>
    </row>
    <row r="7" spans="1:6" s="88" customFormat="1" ht="15" customHeight="1" thickBot="1" x14ac:dyDescent="0.25">
      <c r="A7" s="620"/>
      <c r="B7" s="620"/>
      <c r="C7" s="620"/>
      <c r="D7" s="620"/>
      <c r="E7" s="620"/>
      <c r="F7" s="620"/>
    </row>
    <row r="8" spans="1:6" ht="15" customHeight="1" thickTop="1" x14ac:dyDescent="0.2">
      <c r="A8" s="92"/>
      <c r="B8" s="92"/>
      <c r="C8" s="93"/>
      <c r="D8" s="93"/>
      <c r="E8" s="93"/>
      <c r="F8" s="92"/>
    </row>
    <row r="9" spans="1:6" ht="15" customHeight="1" x14ac:dyDescent="0.2">
      <c r="A9" s="41"/>
      <c r="B9" s="41"/>
      <c r="C9" s="94"/>
      <c r="D9" s="94"/>
      <c r="E9" s="94"/>
      <c r="F9" s="41"/>
    </row>
    <row r="10" spans="1:6" ht="15" customHeight="1" x14ac:dyDescent="0.2">
      <c r="A10" s="41"/>
      <c r="B10" s="41"/>
      <c r="C10" s="94"/>
      <c r="D10" s="94"/>
      <c r="E10" s="94"/>
      <c r="F10" s="41"/>
    </row>
    <row r="11" spans="1:6" ht="15" customHeight="1" x14ac:dyDescent="0.2">
      <c r="A11" s="41"/>
      <c r="B11" s="41"/>
      <c r="C11" s="94"/>
      <c r="D11" s="94"/>
      <c r="E11" s="94"/>
      <c r="F11" s="41"/>
    </row>
    <row r="12" spans="1:6" ht="15" customHeight="1" x14ac:dyDescent="0.2">
      <c r="A12" s="41"/>
      <c r="B12" s="41"/>
      <c r="C12" s="94"/>
      <c r="D12" s="94"/>
      <c r="E12" s="94"/>
      <c r="F12" s="41"/>
    </row>
    <row r="13" spans="1:6" ht="15" customHeight="1" x14ac:dyDescent="0.2">
      <c r="A13" s="41"/>
      <c r="B13" s="41"/>
      <c r="C13" s="94"/>
      <c r="D13" s="94"/>
      <c r="E13" s="94"/>
      <c r="F13" s="41"/>
    </row>
    <row r="14" spans="1:6" ht="15" customHeight="1" x14ac:dyDescent="0.2">
      <c r="A14" s="41"/>
      <c r="B14" s="41"/>
      <c r="C14" s="94"/>
      <c r="D14" s="94"/>
      <c r="E14" s="94"/>
      <c r="F14" s="41"/>
    </row>
    <row r="15" spans="1:6" ht="15" customHeight="1" x14ac:dyDescent="0.2">
      <c r="A15" s="41"/>
      <c r="B15" s="41"/>
      <c r="C15" s="94"/>
      <c r="D15" s="94"/>
      <c r="E15" s="94"/>
      <c r="F15" s="41"/>
    </row>
    <row r="16" spans="1:6" ht="15" customHeight="1" x14ac:dyDescent="0.2">
      <c r="A16" s="41"/>
      <c r="B16" s="41"/>
      <c r="C16" s="94"/>
      <c r="D16" s="94"/>
      <c r="E16" s="94"/>
      <c r="F16" s="41"/>
    </row>
    <row r="17" spans="1:6" ht="15" customHeight="1" x14ac:dyDescent="0.2">
      <c r="A17" s="41"/>
      <c r="B17" s="95"/>
      <c r="C17" s="94"/>
      <c r="D17" s="94"/>
      <c r="E17" s="94"/>
      <c r="F17" s="41"/>
    </row>
    <row r="18" spans="1:6" ht="15" customHeight="1" x14ac:dyDescent="0.2">
      <c r="A18" s="41"/>
      <c r="B18" s="41"/>
      <c r="C18" s="94"/>
      <c r="D18" s="94"/>
      <c r="E18" s="94"/>
      <c r="F18" s="41"/>
    </row>
    <row r="19" spans="1:6" ht="15" customHeight="1" x14ac:dyDescent="0.2">
      <c r="A19" s="41"/>
      <c r="B19" s="41"/>
      <c r="C19" s="94"/>
      <c r="D19" s="94"/>
      <c r="E19" s="94"/>
      <c r="F19" s="41"/>
    </row>
    <row r="20" spans="1:6" ht="15" customHeight="1" x14ac:dyDescent="0.2">
      <c r="A20" s="41"/>
      <c r="B20" s="41"/>
      <c r="C20" s="94"/>
      <c r="D20" s="94"/>
      <c r="E20" s="94"/>
      <c r="F20" s="41"/>
    </row>
    <row r="21" spans="1:6" ht="15" customHeight="1" x14ac:dyDescent="0.2">
      <c r="A21" s="41"/>
      <c r="B21" s="41"/>
      <c r="C21" s="94"/>
      <c r="D21" s="94"/>
      <c r="E21" s="94"/>
      <c r="F21" s="41"/>
    </row>
    <row r="22" spans="1:6" ht="15" customHeight="1" x14ac:dyDescent="0.2">
      <c r="A22" s="41"/>
      <c r="B22" s="41"/>
      <c r="C22" s="94"/>
      <c r="D22" s="94"/>
      <c r="E22" s="94"/>
      <c r="F22" s="41"/>
    </row>
    <row r="23" spans="1:6" ht="15" customHeight="1" x14ac:dyDescent="0.2">
      <c r="A23" s="41"/>
      <c r="B23" s="41"/>
      <c r="C23" s="94"/>
      <c r="D23" s="94"/>
      <c r="E23" s="94"/>
      <c r="F23" s="41"/>
    </row>
    <row r="24" spans="1:6" ht="15" customHeight="1" x14ac:dyDescent="0.2">
      <c r="A24" s="41"/>
      <c r="B24" s="41"/>
      <c r="C24" s="94"/>
      <c r="D24" s="94"/>
      <c r="E24" s="94"/>
      <c r="F24" s="41"/>
    </row>
    <row r="25" spans="1:6" x14ac:dyDescent="0.2">
      <c r="A25" s="53"/>
      <c r="B25" s="96" t="s">
        <v>54</v>
      </c>
      <c r="C25" s="35">
        <f>SUM(C8:C24)</f>
        <v>0</v>
      </c>
      <c r="D25" s="35">
        <f>SUM(D8:D24)</f>
        <v>0</v>
      </c>
      <c r="E25" s="35">
        <f>SUM(E8:E24)</f>
        <v>0</v>
      </c>
      <c r="F25" s="53"/>
    </row>
    <row r="26" spans="1:6" x14ac:dyDescent="0.2">
      <c r="A26" s="53"/>
      <c r="B26" s="97" t="s">
        <v>282</v>
      </c>
      <c r="C26" s="35"/>
      <c r="D26" s="36"/>
      <c r="E26" s="36"/>
      <c r="F26" s="53"/>
    </row>
    <row r="27" spans="1:6" x14ac:dyDescent="0.2">
      <c r="A27" s="53"/>
      <c r="B27" s="96" t="s">
        <v>214</v>
      </c>
      <c r="C27" s="35">
        <f>C25</f>
        <v>0</v>
      </c>
      <c r="D27" s="35">
        <f>SUM(D25-D26)</f>
        <v>0</v>
      </c>
      <c r="E27" s="35">
        <f>SUM(E25-E26)</f>
        <v>0</v>
      </c>
      <c r="F27" s="53"/>
    </row>
    <row r="28" spans="1:6" x14ac:dyDescent="0.2">
      <c r="A28" s="53"/>
      <c r="B28" s="53"/>
      <c r="C28" s="53"/>
      <c r="D28" s="53"/>
      <c r="E28" s="53"/>
      <c r="F28" s="53"/>
    </row>
    <row r="29" spans="1:6" x14ac:dyDescent="0.2">
      <c r="A29" s="53"/>
      <c r="B29" s="53"/>
      <c r="C29" s="53"/>
      <c r="D29" s="53"/>
      <c r="E29" s="53"/>
      <c r="F29" s="53"/>
    </row>
    <row r="30" spans="1:6" x14ac:dyDescent="0.2">
      <c r="A30" s="223" t="s">
        <v>283</v>
      </c>
      <c r="B30" s="224" t="str">
        <f>CONCATENATE("Adjustments are required only if the transfer is being made in ",D7," and/or ",E7," from a non-budgeted fund.")</f>
        <v>Adjustments are required only if the transfer is being made in  and/or  from a non-budgeted fund.</v>
      </c>
      <c r="C30" s="53"/>
      <c r="D30" s="53"/>
      <c r="E30" s="53"/>
      <c r="F30" s="53"/>
    </row>
  </sheetData>
  <sheetProtection sheet="1" objects="1" scenarios="1"/>
  <mergeCells count="7">
    <mergeCell ref="A3:F3"/>
    <mergeCell ref="A5:A7"/>
    <mergeCell ref="D5:D7"/>
    <mergeCell ref="C5:C7"/>
    <mergeCell ref="E5:E7"/>
    <mergeCell ref="B5:B7"/>
    <mergeCell ref="F5:F7"/>
  </mergeCells>
  <phoneticPr fontId="0" type="noConversion"/>
  <pageMargins left="0.5" right="0.5" top="0.72" bottom="0.23" header="0.5" footer="0"/>
  <pageSetup scale="83" firstPageNumber="4" orientation="portrait" blackAndWhite="1" horizontalDpi="120" verticalDpi="144" r:id="rId1"/>
  <headerFooter alignWithMargins="0">
    <oddHeader xml:space="preserve">&amp;RState of Kansas
County
</oddHeader>
    <oddFooter>&amp;CPage No. 5</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AC9DC4551578746BB2D5CB3C7D70B0F" ma:contentTypeVersion="9" ma:contentTypeDescription="Create a new document." ma:contentTypeScope="" ma:versionID="e7fe1cf8449dd3f7a19afea7d63c3dac">
  <xsd:schema xmlns:xsd="http://www.w3.org/2001/XMLSchema" xmlns:xs="http://www.w3.org/2001/XMLSchema" xmlns:p="http://schemas.microsoft.com/office/2006/metadata/properties" xmlns:ns2="1895758b-fcac-4748-aa0a-5720d2d7d486" xmlns:ns3="7e2d0d8f-ac74-4d4c-8884-aff3748a733a" xmlns:ns4="a9343af4-2466-41a9-9238-9dddcc3e6066" targetNamespace="http://schemas.microsoft.com/office/2006/metadata/properties" ma:root="true" ma:fieldsID="97bc813d7a6bf988cbea9a149a214d39" ns2:_="" ns3:_="" ns4:_="">
    <xsd:import namespace="1895758b-fcac-4748-aa0a-5720d2d7d486"/>
    <xsd:import namespace="7e2d0d8f-ac74-4d4c-8884-aff3748a733a"/>
    <xsd:import namespace="a9343af4-2466-41a9-9238-9dddcc3e606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3: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95758b-fcac-4748-aa0a-5720d2d7d4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2d0d8f-ac74-4d4c-8884-aff3748a733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9343af4-2466-41a9-9238-9dddcc3e6066" elementFormDefault="qualified">
    <xsd:import namespace="http://schemas.microsoft.com/office/2006/documentManagement/types"/>
    <xsd:import namespace="http://schemas.microsoft.com/office/infopath/2007/PartnerControls"/>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79D1A1-7FC6-44A6-AFD2-09C8C8588CE8}">
  <ds:schemaRefs>
    <ds:schemaRef ds:uri="http://schemas.microsoft.com/sharepoint/v3/contenttype/forms"/>
  </ds:schemaRefs>
</ds:datastoreItem>
</file>

<file path=customXml/itemProps2.xml><?xml version="1.0" encoding="utf-8"?>
<ds:datastoreItem xmlns:ds="http://schemas.openxmlformats.org/officeDocument/2006/customXml" ds:itemID="{533E614D-0C10-4036-8141-9DFE1A6E4C36}">
  <ds:schemaRefs>
    <ds:schemaRef ds:uri="7e2d0d8f-ac74-4d4c-8884-aff3748a733a"/>
    <ds:schemaRef ds:uri="1895758b-fcac-4748-aa0a-5720d2d7d486"/>
    <ds:schemaRef ds:uri="http://purl.org/dc/terms/"/>
    <ds:schemaRef ds:uri="a9343af4-2466-41a9-9238-9dddcc3e60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A0B81F77-3B94-4387-A5F4-0A826BEEC7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95758b-fcac-4748-aa0a-5720d2d7d486"/>
    <ds:schemaRef ds:uri="7e2d0d8f-ac74-4d4c-8884-aff3748a733a"/>
    <ds:schemaRef ds:uri="a9343af4-2466-41a9-9238-9dddcc3e60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57</vt:i4>
      </vt:variant>
      <vt:variant>
        <vt:lpstr>Named Ranges</vt:lpstr>
      </vt:variant>
      <vt:variant>
        <vt:i4>19</vt:i4>
      </vt:variant>
    </vt:vector>
  </HeadingPairs>
  <TitlesOfParts>
    <vt:vector size="76" baseType="lpstr">
      <vt:lpstr>Instructions</vt:lpstr>
      <vt:lpstr>inputPrYr</vt:lpstr>
      <vt:lpstr>inputOth</vt:lpstr>
      <vt:lpstr>inputHearing</vt:lpstr>
      <vt:lpstr>CPA Summary</vt:lpstr>
      <vt:lpstr>Cert</vt:lpstr>
      <vt:lpstr>Cert 2</vt:lpstr>
      <vt:lpstr>Mvalloc</vt:lpstr>
      <vt:lpstr>Transfers</vt:lpstr>
      <vt:lpstr>Transfer Statutes</vt:lpstr>
      <vt:lpstr>Debt</vt:lpstr>
      <vt:lpstr>LP Form</vt:lpstr>
      <vt:lpstr>General</vt:lpstr>
      <vt:lpstr>General Detail</vt:lpstr>
      <vt:lpstr>Debt Service</vt:lpstr>
      <vt:lpstr>Road &amp; Bridge</vt:lpstr>
      <vt:lpstr>Road &amp; Bridge Detail</vt:lpstr>
      <vt:lpstr>Levy Page 10</vt:lpstr>
      <vt:lpstr>Levy Page 11</vt:lpstr>
      <vt:lpstr>Levy Page 12</vt:lpstr>
      <vt:lpstr>Levy Page 13</vt:lpstr>
      <vt:lpstr>Levy Page 14</vt:lpstr>
      <vt:lpstr>Levy Page 15</vt:lpstr>
      <vt:lpstr>Levy Page 16</vt:lpstr>
      <vt:lpstr>Levy Page 17</vt:lpstr>
      <vt:lpstr>Levy Page 18</vt:lpstr>
      <vt:lpstr>Levy Page 19</vt:lpstr>
      <vt:lpstr>Levy Page 20</vt:lpstr>
      <vt:lpstr>No Levy Page 21</vt:lpstr>
      <vt:lpstr>No Levy Page 22</vt:lpstr>
      <vt:lpstr>No Levy Page 23</vt:lpstr>
      <vt:lpstr>No Levy Page 24</vt:lpstr>
      <vt:lpstr>No Levy Page 25</vt:lpstr>
      <vt:lpstr>No Levy Page 26</vt:lpstr>
      <vt:lpstr>No Levy Page 27</vt:lpstr>
      <vt:lpstr>No Levy Page 28</vt:lpstr>
      <vt:lpstr>Non-Budgeted Funds A</vt:lpstr>
      <vt:lpstr>Non-Budgeted Funds B</vt:lpstr>
      <vt:lpstr>Non-Budgeted Funds C</vt:lpstr>
      <vt:lpstr>Non-Budgeted Funds D</vt:lpstr>
      <vt:lpstr>Non-Bud Fund Statutes</vt:lpstr>
      <vt:lpstr>Budget Hearing Notice</vt:lpstr>
      <vt:lpstr>Budget Hearing Notice 2</vt:lpstr>
      <vt:lpstr>Combined Rate-Bud Hearing Notic</vt:lpstr>
      <vt:lpstr>Combined Rate-Bud Hearing Not 2</vt:lpstr>
      <vt:lpstr>RNR Hearing Notice</vt:lpstr>
      <vt:lpstr>NR Rebate</vt:lpstr>
      <vt:lpstr>SAMPLE Notice to County Clerk</vt:lpstr>
      <vt:lpstr>SAMPLE Roll Call to Exceed RNR</vt:lpstr>
      <vt:lpstr>SAMPLE Resolution to Exceed RNR</vt:lpstr>
      <vt:lpstr>Tab A</vt:lpstr>
      <vt:lpstr>Tab B</vt:lpstr>
      <vt:lpstr>Tab C</vt:lpstr>
      <vt:lpstr>Tab D</vt:lpstr>
      <vt:lpstr>Tab E</vt:lpstr>
      <vt:lpstr>Budget Tools</vt:lpstr>
      <vt:lpstr>Legend</vt:lpstr>
      <vt:lpstr>'Budget Hearing Notice'!Print_Area</vt:lpstr>
      <vt:lpstr>'Combined Rate-Bud Hearing Notic'!Print_Area</vt:lpstr>
      <vt:lpstr>'CPA Summary'!Print_Area</vt:lpstr>
      <vt:lpstr>'Debt Service'!Print_Area</vt:lpstr>
      <vt:lpstr>General!Print_Area</vt:lpstr>
      <vt:lpstr>inputPrYr!Print_Area</vt:lpstr>
      <vt:lpstr>'Levy Page 10'!Print_Area</vt:lpstr>
      <vt:lpstr>'Levy Page 11'!Print_Area</vt:lpstr>
      <vt:lpstr>'Levy Page 12'!Print_Area</vt:lpstr>
      <vt:lpstr>'Levy Page 13'!Print_Area</vt:lpstr>
      <vt:lpstr>'Levy Page 14'!Print_Area</vt:lpstr>
      <vt:lpstr>'Levy Page 15'!Print_Area</vt:lpstr>
      <vt:lpstr>'Levy Page 16'!Print_Area</vt:lpstr>
      <vt:lpstr>'Levy Page 17'!Print_Area</vt:lpstr>
      <vt:lpstr>'Levy Page 18'!Print_Area</vt:lpstr>
      <vt:lpstr>'Levy Page 19'!Print_Area</vt:lpstr>
      <vt:lpstr>'Levy Page 20'!Print_Area</vt:lpstr>
      <vt:lpstr>'RNR Hearing Notice'!Print_Area</vt:lpstr>
      <vt:lpstr>'Road &amp; Bridge'!Print_Area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creator>Barbara Butts</dc:creator>
  <cp:lastModifiedBy>Lindsay A. Olson [DAAR]</cp:lastModifiedBy>
  <cp:lastPrinted>2022-04-01T16:46:07Z</cp:lastPrinted>
  <dcterms:created xsi:type="dcterms:W3CDTF">1998-08-26T13:26:11Z</dcterms:created>
  <dcterms:modified xsi:type="dcterms:W3CDTF">2024-05-02T13:55:50Z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0x010100DAC9DC4551578746BB2D5CB3C7D70B0F</vt:lpwstr>
  </property>
</Properties>
</file>