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60" documentId="8_{B5BFF282-1226-4734-8ECC-DE96FD52A339}" xr6:coauthVersionLast="47" xr6:coauthVersionMax="47" xr10:uidLastSave="{464802D7-9D39-4240-9018-B6FC541FDB88}"/>
  <bookViews>
    <workbookView xWindow="29790" yWindow="195" windowWidth="12870" windowHeight="15090" tabRatio="933" xr2:uid="{00000000-000D-0000-FFFF-FFFF00000000}"/>
  </bookViews>
  <sheets>
    <sheet name="Instructions" sheetId="1" r:id="rId1"/>
    <sheet name="inputPrYr" sheetId="2" r:id="rId2"/>
    <sheet name="inputOth" sheetId="19" r:id="rId3"/>
    <sheet name="inputHearing" sheetId="35" r:id="rId4"/>
    <sheet name="CPA Summary" sheetId="43" r:id="rId5"/>
    <sheet name="Cert" sheetId="3" r:id="rId6"/>
    <sheet name="Mvalloc" sheetId="5" r:id="rId7"/>
    <sheet name="Transfers" sheetId="24" r:id="rId8"/>
    <sheet name="Transfer Statutes" sheetId="28" r:id="rId9"/>
    <sheet name="Debt" sheetId="14" r:id="rId10"/>
    <sheet name="LP Form" sheetId="15" r:id="rId11"/>
    <sheet name="Library Grant" sheetId="38" r:id="rId12"/>
    <sheet name="General" sheetId="7" r:id="rId13"/>
    <sheet name="General Detail" sheetId="27" r:id="rId14"/>
    <sheet name="DebtSvs-Library" sheetId="20" r:id="rId15"/>
    <sheet name="Levy Page 9" sheetId="8" r:id="rId16"/>
    <sheet name="Levy Page 10" sheetId="9" r:id="rId17"/>
    <sheet name="Spec Hwy" sheetId="10" r:id="rId18"/>
    <sheet name="No Levy Page 12" sheetId="11" r:id="rId19"/>
    <sheet name="No Levy Page 13" sheetId="12" r:id="rId20"/>
    <sheet name="Single No Levy Page 14" sheetId="21" r:id="rId21"/>
    <sheet name="Non-Budgeted Funds" sheetId="23" r:id="rId22"/>
    <sheet name="Non-Bud Fund Statutes" sheetId="29" r:id="rId23"/>
    <sheet name="Budget Hearing Notice" sheetId="13" r:id="rId24"/>
    <sheet name="Combined Rate-Bud Hearing Notic" sheetId="44" r:id="rId25"/>
    <sheet name="RNR Hearing Notice" sheetId="45" r:id="rId26"/>
    <sheet name="NR Rebate" sheetId="26" r:id="rId27"/>
    <sheet name="SAMPLE Notice to County Clerk" sheetId="47" r:id="rId28"/>
    <sheet name="SAMPLE Roll Call to Exceed RNR" sheetId="48" r:id="rId29"/>
    <sheet name="SAMPLE Resolution to Exceed RNR" sheetId="46" r:id="rId30"/>
    <sheet name="Tab A" sheetId="30" r:id="rId31"/>
    <sheet name="Tab B" sheetId="31" r:id="rId32"/>
    <sheet name="Tab C" sheetId="32" r:id="rId33"/>
    <sheet name="Tab D" sheetId="33" r:id="rId34"/>
    <sheet name="Tab E" sheetId="34" r:id="rId35"/>
    <sheet name="Budget Tools" sheetId="49" r:id="rId36"/>
    <sheet name="Legend" sheetId="22" r:id="rId37"/>
  </sheets>
  <definedNames>
    <definedName name="_xlnm.Print_Area" localSheetId="23">'Budget Hearing Notice'!$A$1:$H$52</definedName>
    <definedName name="_xlnm.Print_Area" localSheetId="5">Cert!$A$1:$F$61</definedName>
    <definedName name="_xlnm.Print_Area" localSheetId="24">'Combined Rate-Bud Hearing Notic'!$A$1:$H$52</definedName>
    <definedName name="_xlnm.Print_Area" localSheetId="4">'CPA Summary'!$A$1:$A$47</definedName>
    <definedName name="_xlnm.Print_Area" localSheetId="14">'DebtSvs-Library'!$B$1:$F$85</definedName>
    <definedName name="_xlnm.Print_Area" localSheetId="12">General!$B$1:$E$72</definedName>
    <definedName name="_xlnm.Print_Area" localSheetId="1">inputPrYr!$A$1:$E$60</definedName>
    <definedName name="_xlnm.Print_Area" localSheetId="16">'Levy Page 10'!$A$1:$F$85</definedName>
    <definedName name="_xlnm.Print_Area" localSheetId="15">'Levy Page 9'!$A$1:$F$85</definedName>
    <definedName name="_xlnm.Print_Area" localSheetId="11">'Library Grant'!$A$1:$J$40</definedName>
    <definedName name="_xlnm.Print_Area" localSheetId="10">'LP Form'!$B$1:$I$22</definedName>
    <definedName name="_xlnm.Print_Area" localSheetId="6">Mvalloc!$A$1:$I$40</definedName>
    <definedName name="_xlnm.Print_Area" localSheetId="25">'RNR Hearing Notice'!$A$2:$I$15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7" l="1"/>
  <c r="B31" i="20"/>
  <c r="B31" i="8"/>
  <c r="B72" i="8"/>
  <c r="B31" i="9"/>
  <c r="B72" i="9"/>
  <c r="B22" i="10"/>
  <c r="B56" i="10"/>
  <c r="B26" i="11"/>
  <c r="B57" i="11"/>
  <c r="B26" i="12"/>
  <c r="B57" i="12"/>
  <c r="B46" i="21"/>
  <c r="A7" i="34" l="1"/>
  <c r="A6" i="34"/>
  <c r="A35" i="33"/>
  <c r="A31" i="33"/>
  <c r="A5" i="33"/>
  <c r="A6" i="32"/>
  <c r="A30" i="32"/>
  <c r="A26" i="32"/>
  <c r="A7" i="32"/>
  <c r="A15" i="32"/>
  <c r="A5" i="30"/>
  <c r="A29" i="31"/>
  <c r="A28" i="31"/>
  <c r="A5" i="31"/>
  <c r="A59" i="30"/>
  <c r="A58" i="30"/>
  <c r="A27" i="30"/>
  <c r="A23" i="30"/>
  <c r="A20" i="30"/>
  <c r="A14" i="30"/>
  <c r="A6" i="30"/>
  <c r="C39" i="3"/>
  <c r="C38" i="3"/>
  <c r="A6" i="44" l="1"/>
  <c r="A6" i="13"/>
  <c r="F43" i="3"/>
  <c r="C37" i="3"/>
  <c r="D12" i="45" l="1"/>
  <c r="A10" i="45"/>
  <c r="A6" i="45"/>
  <c r="A5" i="45"/>
  <c r="H1" i="45"/>
  <c r="A8" i="44" l="1"/>
  <c r="A48" i="44"/>
  <c r="A49" i="44"/>
  <c r="Q8" i="44"/>
  <c r="Q6" i="44"/>
  <c r="Q4" i="44"/>
  <c r="D43" i="44" l="1"/>
  <c r="B43" i="44"/>
  <c r="D42" i="44"/>
  <c r="B42" i="44"/>
  <c r="D41" i="44"/>
  <c r="B41" i="44"/>
  <c r="D40" i="44"/>
  <c r="B40" i="44"/>
  <c r="F36" i="44"/>
  <c r="M41" i="44" s="1"/>
  <c r="M42" i="44" s="1"/>
  <c r="D36" i="44"/>
  <c r="B36" i="44"/>
  <c r="B35" i="44"/>
  <c r="H32" i="44"/>
  <c r="M38" i="44" s="1"/>
  <c r="A30" i="44"/>
  <c r="A29" i="44"/>
  <c r="A28" i="44"/>
  <c r="A27" i="44"/>
  <c r="A26" i="44"/>
  <c r="A25" i="44"/>
  <c r="A24" i="44"/>
  <c r="A23" i="44"/>
  <c r="E22" i="44"/>
  <c r="C22" i="44"/>
  <c r="A22" i="44"/>
  <c r="E21" i="44"/>
  <c r="C21" i="44"/>
  <c r="A21" i="44"/>
  <c r="E20" i="44"/>
  <c r="C20" i="44"/>
  <c r="A20" i="44"/>
  <c r="E19" i="44"/>
  <c r="C19" i="44"/>
  <c r="A19" i="44"/>
  <c r="E18" i="44"/>
  <c r="C18" i="44"/>
  <c r="A18" i="44"/>
  <c r="E17" i="44"/>
  <c r="C17" i="44"/>
  <c r="E16" i="44"/>
  <c r="C16" i="44"/>
  <c r="A5" i="44"/>
  <c r="H1" i="44"/>
  <c r="J41" i="44" s="1"/>
  <c r="D13" i="44" l="1"/>
  <c r="A10" i="44" s="1"/>
  <c r="D44" i="44"/>
  <c r="J31" i="44"/>
  <c r="F39" i="44"/>
  <c r="C31" i="44"/>
  <c r="B44" i="44"/>
  <c r="J33" i="44"/>
  <c r="M22" i="44"/>
  <c r="E31" i="44"/>
  <c r="M26" i="44" s="1"/>
  <c r="M34" i="44" s="1"/>
  <c r="F13" i="44"/>
  <c r="J20" i="44"/>
  <c r="G14" i="44"/>
  <c r="J27" i="44"/>
  <c r="J34" i="44"/>
  <c r="J24" i="44"/>
  <c r="B39" i="44"/>
  <c r="J40" i="44"/>
  <c r="J26" i="44"/>
  <c r="D39" i="44"/>
  <c r="J42" i="44"/>
  <c r="J39" i="44"/>
  <c r="B13" i="44"/>
  <c r="G75" i="9"/>
  <c r="G34" i="9"/>
  <c r="G75" i="8"/>
  <c r="G34" i="8"/>
  <c r="G75" i="20"/>
  <c r="G34" i="20"/>
  <c r="G60" i="7"/>
  <c r="A45" i="2" l="1"/>
  <c r="C72" i="7" l="1"/>
  <c r="C21" i="3" s="1"/>
  <c r="H32" i="13" l="1"/>
  <c r="M38" i="13" s="1"/>
  <c r="A13" i="2"/>
  <c r="E13" i="26"/>
  <c r="E60" i="9" s="1"/>
  <c r="E12" i="26"/>
  <c r="E19" i="9" s="1"/>
  <c r="E11" i="26"/>
  <c r="E60" i="8" s="1"/>
  <c r="E10" i="26"/>
  <c r="E19" i="8" s="1"/>
  <c r="E8" i="26"/>
  <c r="E19" i="20" s="1"/>
  <c r="H26" i="5"/>
  <c r="G24" i="5"/>
  <c r="D63" i="27"/>
  <c r="C63" i="27"/>
  <c r="B63" i="27"/>
  <c r="D56" i="27"/>
  <c r="C56" i="27"/>
  <c r="B56" i="27"/>
  <c r="D49" i="27"/>
  <c r="C49" i="27"/>
  <c r="B49" i="27"/>
  <c r="D42" i="27"/>
  <c r="C42" i="27"/>
  <c r="B42" i="27"/>
  <c r="D29" i="27"/>
  <c r="C29" i="27"/>
  <c r="B29" i="27"/>
  <c r="D22" i="27"/>
  <c r="C22" i="27"/>
  <c r="B22" i="27"/>
  <c r="D37" i="2"/>
  <c r="D49" i="9"/>
  <c r="D63" i="9"/>
  <c r="D62" i="9" s="1"/>
  <c r="D8" i="9"/>
  <c r="D22" i="9" s="1"/>
  <c r="D21" i="9" s="1"/>
  <c r="D49" i="8"/>
  <c r="D63" i="8" s="1"/>
  <c r="D62" i="8" s="1"/>
  <c r="D8" i="8"/>
  <c r="D22" i="8" s="1"/>
  <c r="D21" i="8" s="1"/>
  <c r="D8" i="20"/>
  <c r="D22" i="20" s="1"/>
  <c r="D21" i="20" s="1"/>
  <c r="D49" i="20"/>
  <c r="D63" i="20" s="1"/>
  <c r="D62" i="20" s="1"/>
  <c r="D9" i="7"/>
  <c r="D33" i="7"/>
  <c r="D32" i="7" s="1"/>
  <c r="J16" i="9"/>
  <c r="J57" i="9"/>
  <c r="J16" i="8"/>
  <c r="J57" i="8"/>
  <c r="J16" i="20"/>
  <c r="J57" i="20"/>
  <c r="B67" i="27"/>
  <c r="A19" i="3"/>
  <c r="C19" i="3"/>
  <c r="G29" i="2"/>
  <c r="G28" i="2"/>
  <c r="G27" i="2"/>
  <c r="G26" i="2"/>
  <c r="G24" i="2"/>
  <c r="G23" i="2"/>
  <c r="G22" i="2"/>
  <c r="D81" i="9"/>
  <c r="E81" i="9" s="1"/>
  <c r="D40" i="9"/>
  <c r="E40" i="9" s="1"/>
  <c r="D81" i="8"/>
  <c r="E81" i="8" s="1"/>
  <c r="D40" i="8"/>
  <c r="E40" i="8" s="1"/>
  <c r="D81" i="20"/>
  <c r="D40" i="20"/>
  <c r="E40" i="20" s="1"/>
  <c r="C18" i="13"/>
  <c r="B51" i="2"/>
  <c r="B19" i="38"/>
  <c r="B18" i="38"/>
  <c r="B17" i="38"/>
  <c r="B16" i="38"/>
  <c r="B15" i="38"/>
  <c r="B8" i="38"/>
  <c r="B7" i="38"/>
  <c r="G16" i="38"/>
  <c r="E19" i="38"/>
  <c r="E18" i="38"/>
  <c r="E17" i="38"/>
  <c r="E16" i="38"/>
  <c r="B5" i="38"/>
  <c r="G14" i="38"/>
  <c r="B90" i="38" s="1"/>
  <c r="E14" i="38"/>
  <c r="B46" i="38" s="1"/>
  <c r="D77" i="20"/>
  <c r="D100" i="20" s="1"/>
  <c r="A61" i="19"/>
  <c r="A27" i="19"/>
  <c r="B9" i="26"/>
  <c r="A18" i="13"/>
  <c r="C11" i="5"/>
  <c r="B11" i="5"/>
  <c r="B23" i="3"/>
  <c r="A23" i="3"/>
  <c r="B46" i="20"/>
  <c r="C23" i="3"/>
  <c r="C22" i="3"/>
  <c r="A49" i="13"/>
  <c r="A48" i="13"/>
  <c r="C22" i="20"/>
  <c r="C23" i="20" s="1"/>
  <c r="C14" i="26"/>
  <c r="B13" i="26"/>
  <c r="B12" i="26"/>
  <c r="B11" i="26"/>
  <c r="B10" i="26"/>
  <c r="C77" i="9"/>
  <c r="C36" i="9"/>
  <c r="C77" i="8"/>
  <c r="C36" i="8"/>
  <c r="C77" i="20"/>
  <c r="E22" i="13"/>
  <c r="G74" i="9" s="1"/>
  <c r="C22" i="13"/>
  <c r="C21" i="13"/>
  <c r="C20" i="13"/>
  <c r="C19" i="13"/>
  <c r="A31" i="19"/>
  <c r="A30" i="19"/>
  <c r="A29" i="19"/>
  <c r="A28" i="19"/>
  <c r="B35" i="13"/>
  <c r="B36" i="13"/>
  <c r="F36" i="13"/>
  <c r="M41" i="13" s="1"/>
  <c r="D36" i="13"/>
  <c r="E26" i="38" s="1"/>
  <c r="A22" i="13"/>
  <c r="A21" i="13"/>
  <c r="A20" i="13"/>
  <c r="A19" i="13"/>
  <c r="C15" i="5"/>
  <c r="C14" i="5"/>
  <c r="C13" i="5"/>
  <c r="C12" i="5"/>
  <c r="B15" i="5"/>
  <c r="B14" i="5"/>
  <c r="B13" i="5"/>
  <c r="B12" i="5"/>
  <c r="A65" i="19"/>
  <c r="A64" i="19"/>
  <c r="A63" i="19"/>
  <c r="A62" i="19"/>
  <c r="D34" i="20"/>
  <c r="C34" i="20"/>
  <c r="G27" i="20" s="1"/>
  <c r="E20" i="13"/>
  <c r="G74" i="8" s="1"/>
  <c r="E19" i="13"/>
  <c r="G33" i="8" s="1"/>
  <c r="D32" i="19"/>
  <c r="A29" i="13"/>
  <c r="A28" i="13"/>
  <c r="A27" i="13"/>
  <c r="A26" i="13"/>
  <c r="A25" i="13"/>
  <c r="D77" i="9"/>
  <c r="D36" i="9"/>
  <c r="D77" i="8"/>
  <c r="D36" i="8"/>
  <c r="D75" i="20"/>
  <c r="D18" i="44" s="1"/>
  <c r="C75" i="20"/>
  <c r="C63" i="20"/>
  <c r="C62" i="20" s="1"/>
  <c r="D36" i="20"/>
  <c r="C36" i="20"/>
  <c r="B5" i="20"/>
  <c r="E1" i="20"/>
  <c r="G13" i="20" s="1"/>
  <c r="B1" i="20"/>
  <c r="D61" i="7"/>
  <c r="C61" i="7"/>
  <c r="D65" i="7"/>
  <c r="B50" i="2"/>
  <c r="B25" i="3"/>
  <c r="B24" i="3"/>
  <c r="A8" i="13"/>
  <c r="A56" i="30"/>
  <c r="D17" i="26"/>
  <c r="D19" i="26" s="1"/>
  <c r="E26" i="2"/>
  <c r="D35" i="44" s="1"/>
  <c r="D75" i="9"/>
  <c r="C75" i="9"/>
  <c r="B22" i="13" s="1"/>
  <c r="D34" i="9"/>
  <c r="C34" i="9"/>
  <c r="B21" i="13" s="1"/>
  <c r="C33" i="9"/>
  <c r="D75" i="8"/>
  <c r="D20" i="44" s="1"/>
  <c r="C75" i="8"/>
  <c r="D34" i="8"/>
  <c r="D19" i="13" s="1"/>
  <c r="C34" i="8"/>
  <c r="I3" i="5"/>
  <c r="D7" i="5" s="1"/>
  <c r="A26" i="2"/>
  <c r="A59" i="2"/>
  <c r="A58" i="2"/>
  <c r="D47" i="2"/>
  <c r="C9" i="5"/>
  <c r="C10" i="5"/>
  <c r="D18" i="5"/>
  <c r="E20" i="5"/>
  <c r="F22" i="5"/>
  <c r="C63" i="8"/>
  <c r="C62" i="8" s="1"/>
  <c r="C22" i="8"/>
  <c r="C23" i="8" s="1"/>
  <c r="C22" i="9"/>
  <c r="C21" i="9" s="1"/>
  <c r="C63" i="9"/>
  <c r="C62" i="9" s="1"/>
  <c r="E16" i="7"/>
  <c r="C33" i="7"/>
  <c r="C34" i="7" s="1"/>
  <c r="C32" i="7"/>
  <c r="C59" i="7"/>
  <c r="B16" i="44" s="1"/>
  <c r="D59" i="7"/>
  <c r="D16" i="44" s="1"/>
  <c r="C27" i="3"/>
  <c r="C26" i="3"/>
  <c r="C25" i="3"/>
  <c r="C24" i="3"/>
  <c r="E49" i="21"/>
  <c r="F29" i="44" s="1"/>
  <c r="C21" i="21"/>
  <c r="C22" i="21" s="1"/>
  <c r="C49" i="21"/>
  <c r="B29" i="44" s="1"/>
  <c r="B29" i="13"/>
  <c r="D21" i="21"/>
  <c r="D20" i="21" s="1"/>
  <c r="D49" i="21"/>
  <c r="D29" i="44" s="1"/>
  <c r="E21" i="21"/>
  <c r="E20" i="21"/>
  <c r="D51" i="21"/>
  <c r="C51" i="21"/>
  <c r="E1" i="21"/>
  <c r="E60" i="12"/>
  <c r="F28" i="44" s="1"/>
  <c r="C60" i="12"/>
  <c r="B28" i="44" s="1"/>
  <c r="B28" i="13"/>
  <c r="C47" i="12"/>
  <c r="C46" i="12" s="1"/>
  <c r="C48" i="12"/>
  <c r="D47" i="12"/>
  <c r="D46" i="12" s="1"/>
  <c r="D60" i="12"/>
  <c r="D28" i="44" s="1"/>
  <c r="E47" i="12"/>
  <c r="E46" i="12" s="1"/>
  <c r="D62" i="12"/>
  <c r="C62" i="12"/>
  <c r="E1" i="12"/>
  <c r="E37" i="12" s="1"/>
  <c r="E15" i="12"/>
  <c r="E14" i="12" s="1"/>
  <c r="C29" i="12"/>
  <c r="B27" i="44" s="1"/>
  <c r="C15" i="12"/>
  <c r="D15" i="12"/>
  <c r="D14" i="12"/>
  <c r="D29" i="12"/>
  <c r="D27" i="44" s="1"/>
  <c r="E29" i="12"/>
  <c r="F27" i="44" s="1"/>
  <c r="D31" i="12"/>
  <c r="C31" i="12"/>
  <c r="C60" i="11"/>
  <c r="B26" i="44" s="1"/>
  <c r="C47" i="11"/>
  <c r="C48" i="11" s="1"/>
  <c r="D47" i="11"/>
  <c r="D46" i="11" s="1"/>
  <c r="D60" i="11"/>
  <c r="D26" i="44" s="1"/>
  <c r="E47" i="11"/>
  <c r="E46" i="11" s="1"/>
  <c r="E60" i="11"/>
  <c r="F26" i="44" s="1"/>
  <c r="C29" i="11"/>
  <c r="B25" i="44" s="1"/>
  <c r="C15" i="11"/>
  <c r="C16" i="11" s="1"/>
  <c r="D15" i="11"/>
  <c r="D14" i="11" s="1"/>
  <c r="D29" i="11"/>
  <c r="D25" i="44" s="1"/>
  <c r="E15" i="11"/>
  <c r="E14" i="11" s="1"/>
  <c r="E29" i="11"/>
  <c r="F25" i="44" s="1"/>
  <c r="E1" i="11"/>
  <c r="E1" i="9"/>
  <c r="H27" i="9" s="1"/>
  <c r="E1" i="8"/>
  <c r="C82" i="8" s="1"/>
  <c r="E1" i="10"/>
  <c r="E5" i="10" s="1"/>
  <c r="E1" i="7"/>
  <c r="E59" i="10"/>
  <c r="F24" i="44" s="1"/>
  <c r="C59" i="10"/>
  <c r="B24" i="44" s="1"/>
  <c r="C44" i="10"/>
  <c r="C45" i="10"/>
  <c r="D44" i="10"/>
  <c r="D43" i="10" s="1"/>
  <c r="D59" i="10"/>
  <c r="D24" i="44" s="1"/>
  <c r="E44" i="10"/>
  <c r="E43" i="10"/>
  <c r="E25" i="10"/>
  <c r="F23" i="44" s="1"/>
  <c r="C25" i="10"/>
  <c r="B23" i="44" s="1"/>
  <c r="C15" i="10"/>
  <c r="C16" i="10" s="1"/>
  <c r="D8" i="10"/>
  <c r="D9" i="10"/>
  <c r="D25" i="10"/>
  <c r="D23" i="44" s="1"/>
  <c r="E8" i="10"/>
  <c r="E9" i="10"/>
  <c r="D31" i="11"/>
  <c r="C31" i="11"/>
  <c r="D62" i="11"/>
  <c r="D63" i="11" s="1"/>
  <c r="C62" i="11"/>
  <c r="D61" i="10"/>
  <c r="C61" i="10"/>
  <c r="D27" i="10"/>
  <c r="C27" i="10"/>
  <c r="E1" i="19"/>
  <c r="A8" i="19" s="1"/>
  <c r="A37" i="2"/>
  <c r="D16" i="2"/>
  <c r="E16" i="2"/>
  <c r="G21" i="2" s="1"/>
  <c r="J28" i="23"/>
  <c r="J17" i="23"/>
  <c r="J18" i="23" s="1"/>
  <c r="J29" i="23" s="1"/>
  <c r="J30" i="23" s="1"/>
  <c r="H28" i="23"/>
  <c r="H17" i="23"/>
  <c r="H18" i="23" s="1"/>
  <c r="H29" i="23" s="1"/>
  <c r="H30" i="23" s="1"/>
  <c r="F28" i="23"/>
  <c r="F17" i="23"/>
  <c r="F18" i="23" s="1"/>
  <c r="F29" i="23" s="1"/>
  <c r="F30" i="23" s="1"/>
  <c r="D28" i="23"/>
  <c r="D17" i="23"/>
  <c r="B28" i="23"/>
  <c r="B17" i="23"/>
  <c r="B18" i="23" s="1"/>
  <c r="K1" i="23"/>
  <c r="A2" i="23" s="1"/>
  <c r="C40" i="3"/>
  <c r="D10" i="26"/>
  <c r="D21" i="26"/>
  <c r="D23" i="26" s="1"/>
  <c r="D1" i="27"/>
  <c r="C5" i="27" s="1"/>
  <c r="A1" i="27"/>
  <c r="D15" i="27"/>
  <c r="D35" i="27"/>
  <c r="C15" i="27"/>
  <c r="C35" i="27"/>
  <c r="B15" i="27"/>
  <c r="B35" i="27"/>
  <c r="C59" i="12"/>
  <c r="F1" i="26"/>
  <c r="A1" i="26"/>
  <c r="B8" i="26"/>
  <c r="A72" i="19"/>
  <c r="A71" i="19"/>
  <c r="A70" i="19"/>
  <c r="A69" i="19"/>
  <c r="A68" i="19"/>
  <c r="A67" i="19"/>
  <c r="A66" i="19"/>
  <c r="A60" i="19"/>
  <c r="A59" i="19"/>
  <c r="H1" i="13"/>
  <c r="J20" i="13" s="1"/>
  <c r="C35" i="3"/>
  <c r="A26" i="19"/>
  <c r="A25" i="19"/>
  <c r="B10" i="5"/>
  <c r="A1" i="24"/>
  <c r="F1" i="24"/>
  <c r="E7" i="24" s="1"/>
  <c r="E13" i="24"/>
  <c r="E15" i="24" s="1"/>
  <c r="D13" i="24"/>
  <c r="D15" i="24"/>
  <c r="D33" i="44" s="1"/>
  <c r="C13" i="24"/>
  <c r="C15" i="24"/>
  <c r="B33" i="44" s="1"/>
  <c r="F1" i="3"/>
  <c r="A9" i="3" s="1"/>
  <c r="A30" i="13"/>
  <c r="A35" i="3"/>
  <c r="A5" i="23"/>
  <c r="I5" i="23"/>
  <c r="G5" i="23"/>
  <c r="E5" i="23"/>
  <c r="C5" i="23"/>
  <c r="A1" i="23"/>
  <c r="K7" i="23"/>
  <c r="M1" i="14"/>
  <c r="G7" i="14" s="1"/>
  <c r="E61" i="2"/>
  <c r="D61" i="2"/>
  <c r="A3" i="3"/>
  <c r="A34" i="3"/>
  <c r="B5" i="21"/>
  <c r="C34" i="3"/>
  <c r="B1" i="21"/>
  <c r="E21" i="13"/>
  <c r="G33" i="9" s="1"/>
  <c r="E18" i="13"/>
  <c r="E28" i="38" s="1"/>
  <c r="E17" i="13"/>
  <c r="G33" i="20" s="1"/>
  <c r="E16" i="13"/>
  <c r="G59" i="7" s="1"/>
  <c r="C16" i="13"/>
  <c r="C17" i="13"/>
  <c r="D43" i="13"/>
  <c r="D42" i="13"/>
  <c r="D41" i="13"/>
  <c r="D40" i="13"/>
  <c r="D44" i="13" s="1"/>
  <c r="B43" i="13"/>
  <c r="B44" i="13"/>
  <c r="B42" i="13"/>
  <c r="B41" i="13"/>
  <c r="B40" i="13"/>
  <c r="D48" i="2"/>
  <c r="D11" i="3"/>
  <c r="A8" i="3" s="1"/>
  <c r="A1" i="19"/>
  <c r="G8" i="15"/>
  <c r="H8" i="15"/>
  <c r="I8" i="15"/>
  <c r="J6" i="14"/>
  <c r="L6" i="14"/>
  <c r="B56" i="3"/>
  <c r="I1" i="15"/>
  <c r="C33" i="3"/>
  <c r="C32" i="3"/>
  <c r="C31" i="3"/>
  <c r="C30" i="3"/>
  <c r="C29" i="3"/>
  <c r="C28" i="3"/>
  <c r="B27" i="3"/>
  <c r="B26" i="3"/>
  <c r="A33" i="3"/>
  <c r="A32" i="3"/>
  <c r="A31" i="3"/>
  <c r="A30" i="3"/>
  <c r="A29" i="3"/>
  <c r="A28" i="3"/>
  <c r="A27" i="3"/>
  <c r="A26" i="3"/>
  <c r="A25" i="3"/>
  <c r="A24" i="3"/>
  <c r="B21" i="3"/>
  <c r="A5" i="3"/>
  <c r="M15" i="14"/>
  <c r="M22" i="14"/>
  <c r="M30" i="14"/>
  <c r="L15" i="14"/>
  <c r="L22" i="14"/>
  <c r="L30" i="14"/>
  <c r="K15" i="14"/>
  <c r="K31" i="14" s="1"/>
  <c r="K22" i="14"/>
  <c r="K30" i="14"/>
  <c r="J15" i="14"/>
  <c r="J22" i="14"/>
  <c r="J30" i="14"/>
  <c r="G30" i="14"/>
  <c r="F42" i="44" s="1"/>
  <c r="G15" i="14"/>
  <c r="F40" i="44" s="1"/>
  <c r="G22" i="14"/>
  <c r="F41" i="44" s="1"/>
  <c r="B1" i="14"/>
  <c r="B1" i="7"/>
  <c r="B6" i="7"/>
  <c r="B53" i="2"/>
  <c r="B54" i="2"/>
  <c r="B55" i="2"/>
  <c r="B52" i="2"/>
  <c r="D56" i="2"/>
  <c r="B49" i="2"/>
  <c r="B1" i="15"/>
  <c r="I20" i="15"/>
  <c r="H20" i="15"/>
  <c r="G20" i="15"/>
  <c r="F43" i="44" s="1"/>
  <c r="B2" i="5"/>
  <c r="B37" i="12"/>
  <c r="B5" i="12"/>
  <c r="B1" i="12"/>
  <c r="B46" i="8"/>
  <c r="B5" i="8"/>
  <c r="B1" i="8"/>
  <c r="B5" i="9"/>
  <c r="B46" i="9"/>
  <c r="B1" i="9"/>
  <c r="B32" i="10"/>
  <c r="B5" i="10"/>
  <c r="B1" i="10"/>
  <c r="B37" i="11"/>
  <c r="B5" i="11"/>
  <c r="B1" i="11"/>
  <c r="A24" i="13"/>
  <c r="A23" i="13"/>
  <c r="A5" i="13"/>
  <c r="J17" i="20"/>
  <c r="J18" i="20"/>
  <c r="E34" i="8"/>
  <c r="E59" i="7"/>
  <c r="D12" i="26"/>
  <c r="E34" i="9"/>
  <c r="F37" i="9" s="1"/>
  <c r="D11" i="26"/>
  <c r="E75" i="8"/>
  <c r="E75" i="20"/>
  <c r="D13" i="26"/>
  <c r="E75" i="9"/>
  <c r="D8" i="26"/>
  <c r="J17" i="9"/>
  <c r="J18" i="9"/>
  <c r="E65" i="7"/>
  <c r="J58" i="9"/>
  <c r="J59" i="9"/>
  <c r="J58" i="8"/>
  <c r="J59" i="8"/>
  <c r="J17" i="8"/>
  <c r="J18" i="8"/>
  <c r="J58" i="20"/>
  <c r="J59" i="20"/>
  <c r="M42" i="13"/>
  <c r="J43" i="7"/>
  <c r="J44" i="7"/>
  <c r="J42" i="7"/>
  <c r="H13" i="5"/>
  <c r="E55" i="8"/>
  <c r="D7" i="26"/>
  <c r="D9" i="26"/>
  <c r="E9" i="26"/>
  <c r="E60" i="20" s="1"/>
  <c r="E34" i="20"/>
  <c r="E38" i="20" s="1"/>
  <c r="E7" i="26"/>
  <c r="C14" i="12"/>
  <c r="C16" i="12"/>
  <c r="C14" i="11"/>
  <c r="D34" i="3"/>
  <c r="D32" i="12"/>
  <c r="E28" i="12"/>
  <c r="C24" i="10"/>
  <c r="G14" i="5"/>
  <c r="E13" i="9" s="1"/>
  <c r="G15" i="5"/>
  <c r="E54" i="9" s="1"/>
  <c r="E13" i="5"/>
  <c r="E52" i="8" s="1"/>
  <c r="H15" i="5"/>
  <c r="E55" i="9" s="1"/>
  <c r="F12" i="5"/>
  <c r="E12" i="8" s="1"/>
  <c r="H12" i="5"/>
  <c r="E14" i="8" s="1"/>
  <c r="G12" i="5"/>
  <c r="E13" i="8" s="1"/>
  <c r="G13" i="5"/>
  <c r="E54" i="8" s="1"/>
  <c r="D12" i="5"/>
  <c r="E10" i="8" s="1"/>
  <c r="H14" i="5"/>
  <c r="E14" i="9" s="1"/>
  <c r="F13" i="5"/>
  <c r="E53" i="8" s="1"/>
  <c r="E14" i="5"/>
  <c r="E11" i="9" s="1"/>
  <c r="E15" i="5"/>
  <c r="E52" i="9" s="1"/>
  <c r="E12" i="5"/>
  <c r="E11" i="8" s="1"/>
  <c r="F14" i="5"/>
  <c r="E12" i="9" s="1"/>
  <c r="F15" i="5"/>
  <c r="E53" i="9" s="1"/>
  <c r="D14" i="5"/>
  <c r="E10" i="9" s="1"/>
  <c r="D15" i="5"/>
  <c r="E51" i="9" s="1"/>
  <c r="D13" i="5"/>
  <c r="E51" i="8" s="1"/>
  <c r="C43" i="10"/>
  <c r="F24" i="13"/>
  <c r="E58" i="10"/>
  <c r="D74" i="8"/>
  <c r="B61" i="10"/>
  <c r="D18" i="23"/>
  <c r="D29" i="23" s="1"/>
  <c r="D30" i="23" s="1"/>
  <c r="E31" i="11"/>
  <c r="F25" i="13"/>
  <c r="D30" i="3"/>
  <c r="C46" i="11"/>
  <c r="F40" i="13"/>
  <c r="J31" i="13"/>
  <c r="J40" i="13"/>
  <c r="E11" i="5"/>
  <c r="E52" i="20" s="1"/>
  <c r="G18" i="38" s="1"/>
  <c r="E10" i="5"/>
  <c r="E11" i="20" s="1"/>
  <c r="D11" i="5"/>
  <c r="E51" i="20" s="1"/>
  <c r="D10" i="5"/>
  <c r="H11" i="5"/>
  <c r="E55" i="20"/>
  <c r="H10" i="5"/>
  <c r="E14" i="20" s="1"/>
  <c r="G11" i="5"/>
  <c r="E54" i="20" s="1"/>
  <c r="G10" i="5"/>
  <c r="E13" i="20" s="1"/>
  <c r="D9" i="5"/>
  <c r="E11" i="7"/>
  <c r="E9" i="5"/>
  <c r="E12" i="7" s="1"/>
  <c r="H9" i="5"/>
  <c r="E15" i="7" s="1"/>
  <c r="F11" i="5"/>
  <c r="E53" i="20" s="1"/>
  <c r="G19" i="38" s="1"/>
  <c r="F10" i="5"/>
  <c r="E12" i="20" s="1"/>
  <c r="G9" i="5"/>
  <c r="E14" i="7" s="1"/>
  <c r="F9" i="5"/>
  <c r="E13" i="7" s="1"/>
  <c r="G68" i="9"/>
  <c r="D21" i="13"/>
  <c r="C64" i="8"/>
  <c r="G61" i="20"/>
  <c r="J42" i="13"/>
  <c r="F13" i="13"/>
  <c r="D13" i="13"/>
  <c r="A10" i="13" s="1"/>
  <c r="J39" i="13"/>
  <c r="J33" i="13"/>
  <c r="J27" i="13"/>
  <c r="D39" i="13"/>
  <c r="M22" i="13" l="1"/>
  <c r="H68" i="20"/>
  <c r="B8" i="5"/>
  <c r="J34" i="13"/>
  <c r="C82" i="20"/>
  <c r="B39" i="13"/>
  <c r="H28" i="20"/>
  <c r="G14" i="13"/>
  <c r="H23" i="20"/>
  <c r="J26" i="13"/>
  <c r="B13" i="13"/>
  <c r="J41" i="13"/>
  <c r="C50" i="21"/>
  <c r="D6" i="21" s="1"/>
  <c r="D22" i="21" s="1"/>
  <c r="D50" i="21" s="1"/>
  <c r="E6" i="21" s="1"/>
  <c r="E22" i="21" s="1"/>
  <c r="E50" i="21" s="1"/>
  <c r="E52" i="21" s="1"/>
  <c r="C52" i="21"/>
  <c r="C48" i="21"/>
  <c r="D63" i="12"/>
  <c r="D28" i="13"/>
  <c r="D59" i="12"/>
  <c r="C61" i="12"/>
  <c r="D38" i="12" s="1"/>
  <c r="D48" i="12" s="1"/>
  <c r="D61" i="12" s="1"/>
  <c r="E38" i="12" s="1"/>
  <c r="E48" i="12" s="1"/>
  <c r="E61" i="12" s="1"/>
  <c r="E63" i="12" s="1"/>
  <c r="B27" i="13"/>
  <c r="C32" i="12"/>
  <c r="C30" i="12"/>
  <c r="C33" i="12" s="1"/>
  <c r="C28" i="12"/>
  <c r="C61" i="11"/>
  <c r="D38" i="11" s="1"/>
  <c r="D48" i="11" s="1"/>
  <c r="F26" i="13"/>
  <c r="D59" i="11"/>
  <c r="D61" i="11"/>
  <c r="E38" i="11" s="1"/>
  <c r="E48" i="11" s="1"/>
  <c r="E61" i="11" s="1"/>
  <c r="E63" i="11" s="1"/>
  <c r="B26" i="13"/>
  <c r="C63" i="11"/>
  <c r="C59" i="11"/>
  <c r="E28" i="11"/>
  <c r="D25" i="13"/>
  <c r="C30" i="11"/>
  <c r="C33" i="11" s="1"/>
  <c r="D29" i="3"/>
  <c r="D62" i="10"/>
  <c r="D58" i="10"/>
  <c r="D24" i="13"/>
  <c r="B24" i="13"/>
  <c r="C60" i="10"/>
  <c r="D33" i="10" s="1"/>
  <c r="D45" i="10" s="1"/>
  <c r="D60" i="10" s="1"/>
  <c r="E33" i="10" s="1"/>
  <c r="E45" i="10" s="1"/>
  <c r="E60" i="10" s="1"/>
  <c r="E62" i="10" s="1"/>
  <c r="C62" i="10"/>
  <c r="D24" i="10"/>
  <c r="E33" i="20"/>
  <c r="H76" i="8"/>
  <c r="G17" i="20"/>
  <c r="D5" i="20"/>
  <c r="C41" i="20"/>
  <c r="C5" i="20"/>
  <c r="F39" i="13"/>
  <c r="H69" i="20"/>
  <c r="G54" i="20"/>
  <c r="H66" i="20"/>
  <c r="E5" i="20"/>
  <c r="C46" i="20"/>
  <c r="G20" i="20"/>
  <c r="H22" i="20"/>
  <c r="J24" i="13"/>
  <c r="C7" i="24"/>
  <c r="F33" i="44"/>
  <c r="F33" i="13"/>
  <c r="H27" i="20"/>
  <c r="H36" i="20"/>
  <c r="H73" i="20"/>
  <c r="H35" i="20"/>
  <c r="H33" i="20"/>
  <c r="H32" i="20"/>
  <c r="H74" i="20"/>
  <c r="C26" i="10"/>
  <c r="D6" i="10" s="1"/>
  <c r="E33" i="9"/>
  <c r="H65" i="20"/>
  <c r="D33" i="3"/>
  <c r="M31" i="14"/>
  <c r="B23" i="13"/>
  <c r="F28" i="13"/>
  <c r="E62" i="12"/>
  <c r="D18" i="13"/>
  <c r="F42" i="13"/>
  <c r="D52" i="21"/>
  <c r="F44" i="44"/>
  <c r="D48" i="21"/>
  <c r="D33" i="13"/>
  <c r="C63" i="12"/>
  <c r="D100" i="9"/>
  <c r="D29" i="13"/>
  <c r="F23" i="13"/>
  <c r="J31" i="14"/>
  <c r="C58" i="10"/>
  <c r="B77" i="20"/>
  <c r="E27" i="10"/>
  <c r="D6" i="26"/>
  <c r="A26" i="26"/>
  <c r="B36" i="20"/>
  <c r="H64" i="20"/>
  <c r="B62" i="11"/>
  <c r="C74" i="9"/>
  <c r="E61" i="10"/>
  <c r="C23" i="9"/>
  <c r="C35" i="9" s="1"/>
  <c r="C99" i="9" s="1"/>
  <c r="K17" i="23"/>
  <c r="H59" i="7"/>
  <c r="H62" i="7"/>
  <c r="H61" i="7"/>
  <c r="H58" i="7"/>
  <c r="E51" i="21"/>
  <c r="E5" i="12"/>
  <c r="C16" i="5"/>
  <c r="E32" i="5" s="1"/>
  <c r="C78" i="7"/>
  <c r="E46" i="20"/>
  <c r="E59" i="12"/>
  <c r="L31" i="14"/>
  <c r="B31" i="12"/>
  <c r="E6" i="26"/>
  <c r="B4" i="26"/>
  <c r="H25" i="20"/>
  <c r="G58" i="20"/>
  <c r="D46" i="20"/>
  <c r="H24" i="20"/>
  <c r="H63" i="20"/>
  <c r="H23" i="8"/>
  <c r="A17" i="26"/>
  <c r="C8" i="5"/>
  <c r="D32" i="10"/>
  <c r="F34" i="5"/>
  <c r="D30" i="5"/>
  <c r="H38" i="5"/>
  <c r="G36" i="5"/>
  <c r="E38" i="8"/>
  <c r="F19" i="44"/>
  <c r="E15" i="10"/>
  <c r="E14" i="10" s="1"/>
  <c r="D33" i="20"/>
  <c r="D17" i="44"/>
  <c r="B51" i="21"/>
  <c r="D5" i="10"/>
  <c r="D27" i="13"/>
  <c r="E77" i="20"/>
  <c r="F18" i="44"/>
  <c r="C74" i="20"/>
  <c r="B18" i="44"/>
  <c r="B5" i="27"/>
  <c r="C5" i="9"/>
  <c r="H76" i="9"/>
  <c r="H73" i="9"/>
  <c r="H35" i="9"/>
  <c r="H32" i="9"/>
  <c r="H77" i="9"/>
  <c r="H36" i="9"/>
  <c r="D5" i="27"/>
  <c r="E46" i="8"/>
  <c r="C5" i="21"/>
  <c r="C60" i="7"/>
  <c r="C79" i="7" s="1"/>
  <c r="G31" i="14"/>
  <c r="B16" i="13"/>
  <c r="G13" i="9"/>
  <c r="F16" i="5"/>
  <c r="D5" i="21"/>
  <c r="D28" i="11"/>
  <c r="B77" i="38"/>
  <c r="C20" i="21"/>
  <c r="D74" i="20"/>
  <c r="E5" i="8"/>
  <c r="C37" i="11"/>
  <c r="F18" i="13"/>
  <c r="B31" i="11"/>
  <c r="D32" i="3"/>
  <c r="D22" i="3"/>
  <c r="F17" i="44"/>
  <c r="D23" i="13"/>
  <c r="F41" i="13"/>
  <c r="F43" i="13"/>
  <c r="C28" i="10"/>
  <c r="C32" i="11"/>
  <c r="D26" i="13"/>
  <c r="H77" i="20"/>
  <c r="H76" i="20"/>
  <c r="B61" i="7"/>
  <c r="C76" i="8"/>
  <c r="D47" i="8" s="1"/>
  <c r="D64" i="8" s="1"/>
  <c r="D76" i="8" s="1"/>
  <c r="C33" i="20"/>
  <c r="B17" i="44"/>
  <c r="D7" i="24"/>
  <c r="B18" i="24" s="1"/>
  <c r="G58" i="8"/>
  <c r="C28" i="11"/>
  <c r="G53" i="7"/>
  <c r="E77" i="8"/>
  <c r="F20" i="44"/>
  <c r="C58" i="7"/>
  <c r="E5" i="21"/>
  <c r="B18" i="13"/>
  <c r="B6" i="26"/>
  <c r="E32" i="10"/>
  <c r="H63" i="8"/>
  <c r="C6" i="26"/>
  <c r="F29" i="13"/>
  <c r="D28" i="3"/>
  <c r="E31" i="12"/>
  <c r="C14" i="10"/>
  <c r="E62" i="11"/>
  <c r="F21" i="13"/>
  <c r="F21" i="44"/>
  <c r="D65" i="27"/>
  <c r="K28" i="23"/>
  <c r="K30" i="23" s="1"/>
  <c r="D28" i="10"/>
  <c r="G27" i="8"/>
  <c r="B19" i="44"/>
  <c r="C100" i="9"/>
  <c r="B22" i="44"/>
  <c r="D27" i="3"/>
  <c r="F22" i="44"/>
  <c r="C74" i="8"/>
  <c r="B20" i="44"/>
  <c r="B83" i="38"/>
  <c r="C32" i="10"/>
  <c r="D58" i="7"/>
  <c r="B65" i="27"/>
  <c r="D35" i="13"/>
  <c r="C5" i="10"/>
  <c r="D16" i="13"/>
  <c r="G27" i="9"/>
  <c r="B21" i="44"/>
  <c r="B45" i="38"/>
  <c r="G74" i="20"/>
  <c r="D31" i="3"/>
  <c r="D78" i="7"/>
  <c r="B63" i="7" s="1"/>
  <c r="C65" i="27"/>
  <c r="D33" i="9"/>
  <c r="D21" i="44"/>
  <c r="C98" i="9"/>
  <c r="G68" i="8"/>
  <c r="C37" i="12"/>
  <c r="B27" i="10"/>
  <c r="D37" i="12"/>
  <c r="E59" i="11"/>
  <c r="E24" i="10"/>
  <c r="B88" i="38"/>
  <c r="E48" i="21"/>
  <c r="B33" i="13"/>
  <c r="D28" i="12"/>
  <c r="D32" i="11"/>
  <c r="B25" i="13"/>
  <c r="F27" i="13"/>
  <c r="D33" i="8"/>
  <c r="D19" i="44"/>
  <c r="D74" i="9"/>
  <c r="D22" i="44"/>
  <c r="D98" i="9"/>
  <c r="E14" i="26"/>
  <c r="A7" i="19"/>
  <c r="D16" i="5"/>
  <c r="B57" i="19"/>
  <c r="A23" i="19"/>
  <c r="A15" i="19"/>
  <c r="A56" i="19"/>
  <c r="A49" i="19"/>
  <c r="D15" i="10"/>
  <c r="D14" i="10" s="1"/>
  <c r="A17" i="19"/>
  <c r="A34" i="19"/>
  <c r="C57" i="19"/>
  <c r="A51" i="19"/>
  <c r="A9" i="19"/>
  <c r="A52" i="19"/>
  <c r="D14" i="26"/>
  <c r="A14" i="19"/>
  <c r="H16" i="5"/>
  <c r="A50" i="19"/>
  <c r="A44" i="19"/>
  <c r="E58" i="7"/>
  <c r="F16" i="44"/>
  <c r="F37" i="8"/>
  <c r="E33" i="8"/>
  <c r="D24" i="3"/>
  <c r="F19" i="13"/>
  <c r="E77" i="9"/>
  <c r="F22" i="13"/>
  <c r="E79" i="9"/>
  <c r="E74" i="9"/>
  <c r="H74" i="9"/>
  <c r="D46" i="9"/>
  <c r="C46" i="9"/>
  <c r="H64" i="9"/>
  <c r="H24" i="9"/>
  <c r="E46" i="9"/>
  <c r="C82" i="9"/>
  <c r="D5" i="9"/>
  <c r="E5" i="9"/>
  <c r="G17" i="9"/>
  <c r="H63" i="9"/>
  <c r="D26" i="3"/>
  <c r="E38" i="9"/>
  <c r="E36" i="9"/>
  <c r="B36" i="9"/>
  <c r="H28" i="9"/>
  <c r="G58" i="9"/>
  <c r="F78" i="9"/>
  <c r="D22" i="13"/>
  <c r="H65" i="9"/>
  <c r="H25" i="9"/>
  <c r="H69" i="9"/>
  <c r="H23" i="9"/>
  <c r="C64" i="9"/>
  <c r="C76" i="9" s="1"/>
  <c r="H66" i="9"/>
  <c r="H68" i="9"/>
  <c r="H22" i="9"/>
  <c r="B77" i="9"/>
  <c r="G61" i="9"/>
  <c r="C41" i="9"/>
  <c r="G20" i="9"/>
  <c r="H33" i="9"/>
  <c r="G54" i="9"/>
  <c r="E74" i="8"/>
  <c r="E79" i="8"/>
  <c r="C21" i="8"/>
  <c r="D101" i="8"/>
  <c r="E63" i="8"/>
  <c r="E62" i="8" s="1"/>
  <c r="D99" i="8"/>
  <c r="B20" i="13"/>
  <c r="H36" i="8"/>
  <c r="H32" i="8"/>
  <c r="H35" i="8"/>
  <c r="E74" i="20"/>
  <c r="E79" i="20"/>
  <c r="E36" i="8"/>
  <c r="H27" i="8"/>
  <c r="H64" i="8"/>
  <c r="B36" i="8"/>
  <c r="G17" i="8"/>
  <c r="C101" i="8"/>
  <c r="D25" i="3"/>
  <c r="H33" i="8"/>
  <c r="H25" i="8"/>
  <c r="G54" i="8"/>
  <c r="H73" i="8"/>
  <c r="C33" i="8"/>
  <c r="F78" i="8"/>
  <c r="C99" i="8"/>
  <c r="B19" i="13"/>
  <c r="H77" i="8"/>
  <c r="H74" i="8"/>
  <c r="H24" i="8"/>
  <c r="H28" i="8"/>
  <c r="H69" i="8"/>
  <c r="D5" i="8"/>
  <c r="C5" i="8"/>
  <c r="H66" i="8"/>
  <c r="B77" i="8"/>
  <c r="D20" i="13"/>
  <c r="F20" i="13"/>
  <c r="C35" i="8"/>
  <c r="D46" i="8"/>
  <c r="G20" i="8"/>
  <c r="H68" i="8"/>
  <c r="G61" i="8"/>
  <c r="G13" i="8"/>
  <c r="C41" i="8"/>
  <c r="C46" i="8"/>
  <c r="H22" i="8"/>
  <c r="H65" i="8"/>
  <c r="C35" i="20"/>
  <c r="C99" i="20" s="1"/>
  <c r="E15" i="38"/>
  <c r="E21" i="38" s="1"/>
  <c r="C21" i="20"/>
  <c r="D17" i="13"/>
  <c r="G68" i="20"/>
  <c r="C98" i="20"/>
  <c r="B17" i="13"/>
  <c r="C100" i="20"/>
  <c r="B79" i="20" s="1"/>
  <c r="E36" i="20"/>
  <c r="D98" i="20"/>
  <c r="F79" i="20"/>
  <c r="C31" i="13"/>
  <c r="F38" i="20"/>
  <c r="D23" i="3"/>
  <c r="F17" i="13"/>
  <c r="F65" i="7"/>
  <c r="D21" i="3"/>
  <c r="E61" i="7"/>
  <c r="E63" i="7"/>
  <c r="F16" i="13"/>
  <c r="E30" i="7"/>
  <c r="E33" i="7" s="1"/>
  <c r="G49" i="7" s="1"/>
  <c r="G26" i="38"/>
  <c r="E27" i="38" s="1"/>
  <c r="E6" i="7"/>
  <c r="E63" i="20"/>
  <c r="G17" i="38"/>
  <c r="E22" i="8"/>
  <c r="E63" i="9"/>
  <c r="E22" i="9"/>
  <c r="G16" i="5"/>
  <c r="E10" i="20"/>
  <c r="E22" i="20" s="1"/>
  <c r="E16" i="5"/>
  <c r="E31" i="13"/>
  <c r="H49" i="7"/>
  <c r="H53" i="7"/>
  <c r="D37" i="11"/>
  <c r="C6" i="7"/>
  <c r="C5" i="11"/>
  <c r="G46" i="7"/>
  <c r="G39" i="7"/>
  <c r="C5" i="12"/>
  <c r="D5" i="11"/>
  <c r="E37" i="11"/>
  <c r="C66" i="7"/>
  <c r="F40" i="3"/>
  <c r="B62" i="12"/>
  <c r="E5" i="11"/>
  <c r="H54" i="7"/>
  <c r="H48" i="7"/>
  <c r="D5" i="12"/>
  <c r="G43" i="7"/>
  <c r="H51" i="7"/>
  <c r="H50" i="7"/>
  <c r="D6" i="7"/>
  <c r="B29" i="23"/>
  <c r="K29" i="23" s="1"/>
  <c r="K18" i="23"/>
  <c r="C64" i="20"/>
  <c r="C76" i="20" s="1"/>
  <c r="E12" i="3"/>
  <c r="D6" i="12" l="1"/>
  <c r="D16" i="12" s="1"/>
  <c r="D30" i="12" s="1"/>
  <c r="D6" i="11"/>
  <c r="D16" i="11" s="1"/>
  <c r="D30" i="11" s="1"/>
  <c r="D33" i="11" s="1"/>
  <c r="C29" i="10"/>
  <c r="B79" i="9"/>
  <c r="D7" i="7"/>
  <c r="D34" i="7" s="1"/>
  <c r="D60" i="7" s="1"/>
  <c r="E7" i="7" s="1"/>
  <c r="E34" i="7" s="1"/>
  <c r="E64" i="7" s="1"/>
  <c r="E66" i="7" s="1"/>
  <c r="C102" i="8"/>
  <c r="D6" i="20"/>
  <c r="D23" i="20" s="1"/>
  <c r="D35" i="20" s="1"/>
  <c r="E6" i="20" s="1"/>
  <c r="E23" i="20" s="1"/>
  <c r="E39" i="20" s="1"/>
  <c r="E41" i="20" s="1"/>
  <c r="G64" i="8"/>
  <c r="D6" i="9"/>
  <c r="D23" i="9" s="1"/>
  <c r="D35" i="9" s="1"/>
  <c r="G22" i="9" s="1"/>
  <c r="B79" i="8"/>
  <c r="B38" i="9"/>
  <c r="D31" i="44"/>
  <c r="D34" i="44" s="1"/>
  <c r="F44" i="13"/>
  <c r="D102" i="8"/>
  <c r="E47" i="8"/>
  <c r="E64" i="8" s="1"/>
  <c r="E80" i="8" s="1"/>
  <c r="E82" i="8" s="1"/>
  <c r="G63" i="8"/>
  <c r="F31" i="44"/>
  <c r="F34" i="44" s="1"/>
  <c r="B38" i="8"/>
  <c r="B30" i="13"/>
  <c r="B31" i="13" s="1"/>
  <c r="B34" i="13" s="1"/>
  <c r="B30" i="44"/>
  <c r="B31" i="44" s="1"/>
  <c r="B34" i="44" s="1"/>
  <c r="D33" i="12"/>
  <c r="E6" i="12"/>
  <c r="E16" i="12" s="1"/>
  <c r="E30" i="12" s="1"/>
  <c r="E32" i="12" s="1"/>
  <c r="D16" i="10"/>
  <c r="D26" i="10" s="1"/>
  <c r="E6" i="10" s="1"/>
  <c r="E16" i="10" s="1"/>
  <c r="E26" i="10" s="1"/>
  <c r="E28" i="10" s="1"/>
  <c r="D31" i="13"/>
  <c r="D34" i="13" s="1"/>
  <c r="D47" i="9"/>
  <c r="D64" i="9" s="1"/>
  <c r="D76" i="9" s="1"/>
  <c r="C101" i="9"/>
  <c r="E6" i="9"/>
  <c r="E23" i="9" s="1"/>
  <c r="E39" i="9" s="1"/>
  <c r="E41" i="9" s="1"/>
  <c r="D99" i="9"/>
  <c r="B39" i="9" s="1"/>
  <c r="C100" i="8"/>
  <c r="D6" i="8"/>
  <c r="D23" i="8" s="1"/>
  <c r="D35" i="8" s="1"/>
  <c r="B38" i="20"/>
  <c r="D36" i="3"/>
  <c r="D99" i="20"/>
  <c r="B39" i="20" s="1"/>
  <c r="G22" i="20"/>
  <c r="F31" i="13"/>
  <c r="F34" i="13" s="1"/>
  <c r="G64" i="9"/>
  <c r="G23" i="9"/>
  <c r="G23" i="8"/>
  <c r="E62" i="20"/>
  <c r="G64" i="20"/>
  <c r="G77" i="20"/>
  <c r="G36" i="9"/>
  <c r="G36" i="20"/>
  <c r="G77" i="9"/>
  <c r="G62" i="7"/>
  <c r="G36" i="8"/>
  <c r="M26" i="13"/>
  <c r="M34" i="13" s="1"/>
  <c r="G77" i="8"/>
  <c r="G23" i="20"/>
  <c r="E21" i="20"/>
  <c r="B30" i="23"/>
  <c r="C101" i="20"/>
  <c r="D47" i="20"/>
  <c r="D64" i="20" s="1"/>
  <c r="D76" i="20" s="1"/>
  <c r="E6" i="11" l="1"/>
  <c r="E16" i="11" s="1"/>
  <c r="E30" i="11" s="1"/>
  <c r="E32" i="11" s="1"/>
  <c r="B80" i="8"/>
  <c r="D79" i="7"/>
  <c r="B64" i="7" s="1"/>
  <c r="G48" i="7"/>
  <c r="D29" i="10"/>
  <c r="G65" i="8"/>
  <c r="K66" i="8" s="1"/>
  <c r="G20" i="44"/>
  <c r="H20" i="44" s="1"/>
  <c r="G17" i="44"/>
  <c r="H17" i="44" s="1"/>
  <c r="E21" i="9"/>
  <c r="G21" i="44"/>
  <c r="H21" i="44" s="1"/>
  <c r="G50" i="7"/>
  <c r="K50" i="7" s="1"/>
  <c r="G16" i="44"/>
  <c r="G63" i="9"/>
  <c r="D101" i="9"/>
  <c r="B80" i="9" s="1"/>
  <c r="E47" i="9"/>
  <c r="E64" i="9" s="1"/>
  <c r="E80" i="9" s="1"/>
  <c r="E82" i="9" s="1"/>
  <c r="E25" i="3"/>
  <c r="F25" i="3" s="1"/>
  <c r="G20" i="13"/>
  <c r="H20" i="13" s="1"/>
  <c r="G73" i="8" s="1"/>
  <c r="G22" i="8"/>
  <c r="E6" i="8"/>
  <c r="E23" i="8" s="1"/>
  <c r="E39" i="8" s="1"/>
  <c r="E41" i="8" s="1"/>
  <c r="D100" i="8"/>
  <c r="B39" i="8" s="1"/>
  <c r="E21" i="3"/>
  <c r="F21" i="3" s="1"/>
  <c r="G16" i="13"/>
  <c r="H16" i="13" s="1"/>
  <c r="G58" i="7" s="1"/>
  <c r="E32" i="7"/>
  <c r="E22" i="3"/>
  <c r="F22" i="3" s="1"/>
  <c r="G24" i="20"/>
  <c r="K24" i="20" s="1"/>
  <c r="G17" i="13"/>
  <c r="H17" i="13" s="1"/>
  <c r="G32" i="20" s="1"/>
  <c r="G21" i="13"/>
  <c r="H21" i="13" s="1"/>
  <c r="G32" i="9" s="1"/>
  <c r="E26" i="3"/>
  <c r="F26" i="3" s="1"/>
  <c r="G24" i="9"/>
  <c r="K24" i="9" s="1"/>
  <c r="D101" i="20"/>
  <c r="B80" i="20" s="1"/>
  <c r="E47" i="20"/>
  <c r="E64" i="20" s="1"/>
  <c r="E80" i="20" s="1"/>
  <c r="G63" i="20"/>
  <c r="E62" i="9" l="1"/>
  <c r="G22" i="13"/>
  <c r="H22" i="13" s="1"/>
  <c r="G73" i="9" s="1"/>
  <c r="G66" i="8"/>
  <c r="G69" i="8" s="1"/>
  <c r="G65" i="9"/>
  <c r="K65" i="9" s="1"/>
  <c r="G22" i="44"/>
  <c r="H22" i="44" s="1"/>
  <c r="E21" i="8"/>
  <c r="G19" i="44"/>
  <c r="H19" i="44" s="1"/>
  <c r="G51" i="7"/>
  <c r="G54" i="7" s="1"/>
  <c r="H16" i="44"/>
  <c r="E27" i="3"/>
  <c r="F27" i="3" s="1"/>
  <c r="G25" i="9"/>
  <c r="G28" i="9" s="1"/>
  <c r="G24" i="8"/>
  <c r="K24" i="8" s="1"/>
  <c r="E24" i="3"/>
  <c r="F24" i="3" s="1"/>
  <c r="G19" i="13"/>
  <c r="H19" i="13" s="1"/>
  <c r="G32" i="8" s="1"/>
  <c r="G25" i="20"/>
  <c r="G28" i="20" s="1"/>
  <c r="E81" i="20"/>
  <c r="E82" i="20" s="1"/>
  <c r="G66" i="9" l="1"/>
  <c r="G69" i="9" s="1"/>
  <c r="G18" i="44"/>
  <c r="G31" i="44" s="1"/>
  <c r="M33" i="44" s="1"/>
  <c r="M35" i="44" s="1"/>
  <c r="G25" i="8"/>
  <c r="G28" i="8" s="1"/>
  <c r="G18" i="13"/>
  <c r="G31" i="13" s="1"/>
  <c r="M33" i="13" s="1"/>
  <c r="M35" i="13" s="1"/>
  <c r="G15" i="38"/>
  <c r="G21" i="38" s="1"/>
  <c r="E23" i="3"/>
  <c r="E36" i="3" s="1"/>
  <c r="F44" i="3" s="1"/>
  <c r="G65" i="20"/>
  <c r="F23" i="3" l="1"/>
  <c r="F36" i="3" s="1"/>
  <c r="H18" i="44"/>
  <c r="H31" i="44" s="1"/>
  <c r="M44" i="44" s="1"/>
  <c r="J46" i="44" s="1"/>
  <c r="J29" i="44"/>
  <c r="M29" i="44"/>
  <c r="J28" i="44"/>
  <c r="M28" i="44"/>
  <c r="H18" i="13"/>
  <c r="G73" i="20" s="1"/>
  <c r="D23" i="38"/>
  <c r="F32" i="38" s="1"/>
  <c r="F83" i="20" s="1"/>
  <c r="E22" i="38"/>
  <c r="K66" i="20"/>
  <c r="G66" i="20"/>
  <c r="G69" i="20" s="1"/>
  <c r="M29" i="13"/>
  <c r="J28" i="13"/>
  <c r="J29" i="13"/>
  <c r="M28" i="13"/>
  <c r="M39" i="44" l="1"/>
  <c r="G28" i="38"/>
  <c r="E29" i="38" s="1"/>
  <c r="D30" i="38" s="1"/>
  <c r="H31" i="13"/>
  <c r="G12" i="45" l="1"/>
  <c r="G61" i="7"/>
  <c r="J64" i="7" s="1"/>
  <c r="G66" i="7" s="1"/>
  <c r="M44" i="13"/>
  <c r="J46" i="13" s="1"/>
  <c r="M39" i="13"/>
  <c r="G35" i="9"/>
  <c r="J37" i="9" s="1"/>
  <c r="G39" i="9" s="1"/>
  <c r="G35" i="20"/>
  <c r="J37" i="20" s="1"/>
  <c r="G39" i="20" s="1"/>
  <c r="G35" i="8"/>
  <c r="J37" i="8" s="1"/>
  <c r="G39" i="8" s="1"/>
  <c r="G76" i="8"/>
  <c r="J78" i="8" s="1"/>
  <c r="G80" i="8" s="1"/>
  <c r="G76" i="9"/>
  <c r="J78" i="9" s="1"/>
  <c r="G80" i="9" s="1"/>
  <c r="G76" i="20"/>
  <c r="J78" i="20" s="1"/>
  <c r="G80" i="20" s="1"/>
</calcChain>
</file>

<file path=xl/sharedStrings.xml><?xml version="1.0" encoding="utf-8"?>
<sst xmlns="http://schemas.openxmlformats.org/spreadsheetml/2006/main" count="1543" uniqueCount="976">
  <si>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</si>
  <si>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</si>
  <si>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</si>
  <si>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</si>
  <si>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</si>
  <si>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</si>
  <si>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</si>
  <si>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</si>
  <si>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</si>
  <si>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</si>
  <si>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</si>
  <si>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</si>
  <si>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</si>
  <si>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</si>
  <si>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</si>
  <si>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</si>
  <si>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</si>
  <si>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</si>
  <si>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</si>
  <si>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</si>
  <si>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</si>
  <si>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</si>
  <si>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</si>
  <si>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</si>
  <si>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</si>
  <si>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</si>
  <si>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</si>
  <si>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</si>
  <si>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</si>
  <si>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</si>
  <si>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</si>
  <si>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</si>
  <si>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</si>
  <si>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</si>
  <si>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</si>
  <si>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</si>
  <si>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</si>
  <si>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</si>
  <si>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</si>
  <si>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</si>
  <si>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</si>
  <si>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</si>
  <si>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</si>
  <si>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</si>
  <si>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</si>
  <si>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</si>
  <si>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</si>
  <si>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</si>
  <si>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</si>
  <si>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</si>
  <si>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</si>
  <si>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</si>
  <si>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</si>
  <si>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</si>
  <si>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</si>
  <si>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</si>
  <si>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</si>
  <si>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</si>
  <si>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</si>
  <si>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</si>
  <si>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</si>
  <si>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</si>
  <si>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</si>
  <si>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</si>
  <si>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</si>
  <si>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</si>
  <si>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</si>
  <si>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</si>
  <si>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</si>
  <si>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</si>
  <si>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</si>
  <si>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</si>
  <si>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</si>
  <si>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</si>
  <si>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</si>
  <si>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</si>
  <si>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</si>
  <si>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</si>
  <si>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</si>
  <si>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Input Sheet for City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</si>
  <si>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</si>
  <si>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</si>
  <si>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</si>
  <si>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</si>
  <si>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</si>
  <si>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</si>
  <si>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Fund Names:</t>
  </si>
  <si>
    <t>Statute</t>
  </si>
  <si>
    <t>Expenditures</t>
  </si>
  <si>
    <t xml:space="preserve">Ad Valorem Tax </t>
  </si>
  <si>
    <t>General</t>
  </si>
  <si>
    <t>12-101a</t>
  </si>
  <si>
    <t>Debt Service</t>
  </si>
  <si>
    <t>10-113</t>
  </si>
  <si>
    <t>Library</t>
  </si>
  <si>
    <t>12-1220</t>
  </si>
  <si>
    <t xml:space="preserve">Amounts used in lieu of </t>
  </si>
  <si>
    <t>%</t>
  </si>
  <si>
    <t>Fund name for all funds with a tax levy:</t>
  </si>
  <si>
    <t>Other (non-tax levy) fund names:</t>
  </si>
  <si>
    <t>Special Highway</t>
  </si>
  <si>
    <t>Single No Tax Levy Fund:</t>
  </si>
  <si>
    <t>Non-budgeted funds:</t>
  </si>
  <si>
    <t>Total</t>
  </si>
  <si>
    <t>Outstanding Indebtedness, January 1:</t>
  </si>
  <si>
    <t xml:space="preserve">  G.O. Bonds</t>
  </si>
  <si>
    <t xml:space="preserve">  Revenue Bonds</t>
  </si>
  <si>
    <t xml:space="preserve">  Other</t>
  </si>
  <si>
    <t xml:space="preserve">  Lease Purchase Principal</t>
  </si>
  <si>
    <t>From the County Clerk's Budget Information</t>
  </si>
  <si>
    <t>Territory Added: (Current Year Only)</t>
  </si>
  <si>
    <t xml:space="preserve">  Real Estate</t>
  </si>
  <si>
    <t xml:space="preserve">  State Assessed</t>
  </si>
  <si>
    <t xml:space="preserve">  New Improvements</t>
  </si>
  <si>
    <t>Expiration of Property Tax Abatements</t>
  </si>
  <si>
    <t xml:space="preserve">Neighborhood Revitalization </t>
  </si>
  <si>
    <t>Revenue Neutral Rate</t>
  </si>
  <si>
    <t>Fund</t>
  </si>
  <si>
    <t>Rate</t>
  </si>
  <si>
    <t>From the County Treasurer's Budget Information - Budget Year Estimates</t>
  </si>
  <si>
    <t>Motor Vehicle Tax Estimate</t>
  </si>
  <si>
    <t>Recreational Vehicle Tax Estimate</t>
  </si>
  <si>
    <t>16\20 M Vehicle Tax Estimate</t>
  </si>
  <si>
    <t>Commercial Vehicle Tax Estimate</t>
  </si>
  <si>
    <t>Watercraft Tax Estimate</t>
  </si>
  <si>
    <t xml:space="preserve">   </t>
  </si>
  <si>
    <t>Computation of Delinquency</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</si>
  <si>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</si>
  <si>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</si>
  <si>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From Municipal Services Website (Budget Workbooks and Tax Estimates)</t>
  </si>
  <si>
    <r>
      <t>***</t>
    </r>
    <r>
      <rPr>
        <b/>
        <u/>
        <sz val="12"/>
        <rFont val="Times New Roman"/>
        <family val="1"/>
      </rPr>
      <t>Note</t>
    </r>
    <r>
      <rPr>
        <sz val="12"/>
        <rFont val="Times New Roman"/>
        <family val="1"/>
      </rPr>
      <t xml:space="preserve">:  Only used when a portion of the county monies are distributed to the cities under the provisions of K.S.A. 79-3425c                                   </t>
    </r>
  </si>
  <si>
    <t>Funds</t>
  </si>
  <si>
    <t>Budget Authority</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</si>
  <si>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</si>
  <si>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</si>
  <si>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</si>
  <si>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</si>
  <si>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4"/>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</si>
  <si>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</si>
  <si>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</si>
  <si>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</si>
  <si>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2022</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</si>
  <si>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</si>
  <si>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</si>
  <si>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</si>
  <si>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</si>
  <si>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</si>
  <si>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</si>
  <si>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</si>
  <si>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</si>
  <si>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</si>
  <si>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</si>
  <si>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</si>
  <si>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</si>
  <si>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</si>
  <si>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</si>
  <si>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CPA Summary of Assumptions</t>
  </si>
  <si>
    <t>CERTIFICATE</t>
  </si>
  <si>
    <t>We, the undersigned, officers of</t>
  </si>
  <si>
    <t>certify that: (1) the hearing mentioned in the attached publication was held;</t>
  </si>
  <si>
    <t>(2) after the Budget Hearing this budget was duly approved and adopted as the</t>
  </si>
  <si>
    <t>Adopted Budget</t>
  </si>
  <si>
    <t>Final Tax Rate (County Clerk's Use Only)</t>
  </si>
  <si>
    <t>Page</t>
  </si>
  <si>
    <t>Table of Contents:</t>
  </si>
  <si>
    <t>No.</t>
  </si>
  <si>
    <t>for Expenditures</t>
  </si>
  <si>
    <t>Allocation of MVT, RVT, and 16/20M Veh Tax</t>
  </si>
  <si>
    <t>Schedule of Transfers</t>
  </si>
  <si>
    <t>Statement of Indebtedness</t>
  </si>
  <si>
    <t>Statement of Lease-Purchases</t>
  </si>
  <si>
    <t>K.S.A.</t>
  </si>
  <si>
    <t xml:space="preserve">Totals </t>
  </si>
  <si>
    <t>x</t>
  </si>
  <si>
    <t>Budget Hearing Notice</t>
  </si>
  <si>
    <t>County Clerk's Use Only</t>
  </si>
  <si>
    <t>Combined Rate and Budget Hearing Notice</t>
  </si>
  <si>
    <t>RNR Hearing Notice</t>
  </si>
  <si>
    <t>Neighborhood Revitalization</t>
  </si>
  <si>
    <t xml:space="preserve">Revenue Neutral Rate </t>
  </si>
  <si>
    <t>Does budget require a resolution to exceed the Revenue Neutral Rate?</t>
  </si>
  <si>
    <t>Assisted by:</t>
  </si>
  <si>
    <t>___________________________     ______________________________</t>
  </si>
  <si>
    <t>Address:</t>
  </si>
  <si>
    <t>Email:</t>
  </si>
  <si>
    <t>Date Attested:________________,</t>
  </si>
  <si>
    <t>County Clerk</t>
  </si>
  <si>
    <t>Governing Body</t>
  </si>
  <si>
    <t xml:space="preserve">Allocation of MV, RV, 16/20M, Commercial Vehicle, and Watercraft Tax Estimates </t>
  </si>
  <si>
    <t xml:space="preserve">Budgeted Funds </t>
  </si>
  <si>
    <t>Ad Valorem Levy</t>
  </si>
  <si>
    <t>MVT</t>
  </si>
  <si>
    <t>RVT</t>
  </si>
  <si>
    <t>16/20M Veh</t>
  </si>
  <si>
    <t>Comm Veh</t>
  </si>
  <si>
    <t>Watercraft</t>
  </si>
  <si>
    <t>TOTAL</t>
  </si>
  <si>
    <t>County Treas Motor Vehicle Estimate</t>
  </si>
  <si>
    <t>County Treas Recreational Vehicle Estimate</t>
  </si>
  <si>
    <t>County Treas 16/20M Vehicle Estimate</t>
  </si>
  <si>
    <t>County Treas Commercial Vehicle Tax Estimate</t>
  </si>
  <si>
    <t>County Treas Watercraft Tax Estimate</t>
  </si>
  <si>
    <t>Motor Vehicle Factor</t>
  </si>
  <si>
    <t>Recreational Vehicle Factor</t>
  </si>
  <si>
    <t>16/20 Vehicle Factor</t>
  </si>
  <si>
    <t>Commercial Vehicle Factor</t>
  </si>
  <si>
    <t>Watercraft Factor</t>
  </si>
  <si>
    <t>Expenditure</t>
  </si>
  <si>
    <t>Receipt</t>
  </si>
  <si>
    <t>Actual</t>
  </si>
  <si>
    <t>Current</t>
  </si>
  <si>
    <t>Proposed</t>
  </si>
  <si>
    <t>Transfers</t>
  </si>
  <si>
    <t xml:space="preserve">Fund Transferred </t>
  </si>
  <si>
    <t>Fund Transferred</t>
  </si>
  <si>
    <t>Amount for</t>
  </si>
  <si>
    <t>Authorized by</t>
  </si>
  <si>
    <t>From:</t>
  </si>
  <si>
    <t>To:</t>
  </si>
  <si>
    <t xml:space="preserve"> Statute</t>
  </si>
  <si>
    <t>Totals</t>
  </si>
  <si>
    <r>
      <t>Adjustments</t>
    </r>
    <r>
      <rPr>
        <b/>
        <sz val="12"/>
        <color indexed="10"/>
        <rFont val="Times New Roman"/>
        <family val="1"/>
      </rPr>
      <t>*</t>
    </r>
  </si>
  <si>
    <t>Adjusted Totals</t>
  </si>
  <si>
    <t>*Note:</t>
  </si>
  <si>
    <t>Transfers - Cities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</si>
  <si>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</si>
  <si>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</si>
  <si>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</si>
  <si>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</si>
  <si>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</si>
  <si>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</si>
  <si>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</si>
  <si>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</si>
  <si>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</si>
  <si>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</si>
  <si>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</si>
  <si>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</si>
  <si>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</si>
  <si>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</si>
  <si>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</si>
  <si>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</si>
  <si>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</si>
  <si>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</si>
  <si>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</si>
  <si>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</si>
  <si>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</si>
  <si>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</si>
  <si>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STATEMENT OF INDEBTEDNESS</t>
  </si>
  <si>
    <t>Date</t>
  </si>
  <si>
    <t>Interest</t>
  </si>
  <si>
    <t>Beginning Amt</t>
  </si>
  <si>
    <t xml:space="preserve">   Amount Due</t>
  </si>
  <si>
    <t>Type of</t>
  </si>
  <si>
    <t>of</t>
  </si>
  <si>
    <t xml:space="preserve">of </t>
  </si>
  <si>
    <t>Amount</t>
  </si>
  <si>
    <t>Outstanding</t>
  </si>
  <si>
    <t xml:space="preserve">  Date Due</t>
  </si>
  <si>
    <t xml:space="preserve"> Debt</t>
  </si>
  <si>
    <t>Issue</t>
  </si>
  <si>
    <t>Retirement</t>
  </si>
  <si>
    <t>Issued</t>
  </si>
  <si>
    <t>Principal</t>
  </si>
  <si>
    <t>General Obligation:</t>
  </si>
  <si>
    <t>Total G.O. Bonds</t>
  </si>
  <si>
    <t>Revenue Bonds:</t>
  </si>
  <si>
    <t>Total Revenue Bonds</t>
  </si>
  <si>
    <t>Other:</t>
  </si>
  <si>
    <t xml:space="preserve">Total Other </t>
  </si>
  <si>
    <t>Total Indebtedness</t>
  </si>
  <si>
    <t>STATEMENT OF CONDITIONAL LEASE-PURCHASE AND CERTIFICATE OF PARTICIPATION*</t>
  </si>
  <si>
    <t>Term of</t>
  </si>
  <si>
    <t>Principal Balance</t>
  </si>
  <si>
    <t>Payments</t>
  </si>
  <si>
    <t>Items</t>
  </si>
  <si>
    <t xml:space="preserve">  Contract</t>
  </si>
  <si>
    <t>Contract</t>
  </si>
  <si>
    <t>Financed</t>
  </si>
  <si>
    <t>As Beginning of</t>
  </si>
  <si>
    <t>Due</t>
  </si>
  <si>
    <t xml:space="preserve"> Purchased</t>
  </si>
  <si>
    <t>(Months)</t>
  </si>
  <si>
    <t>(Beginning Principal)</t>
  </si>
  <si>
    <t>***If leasing/renting with no intent to purchase, do not list--such transactions are not lease-purchases.</t>
  </si>
  <si>
    <t>WORKSHEET FOR STATE GRANT-IN-AID TO PUBLIC LIBRARIES AND</t>
  </si>
  <si>
    <t>REGIONAL LIBRARY SYSTEMS</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</si>
  <si>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</si>
  <si>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</si>
  <si>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</si>
  <si>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</si>
  <si>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</si>
  <si>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</si>
  <si>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</si>
  <si>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</si>
  <si>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</si>
  <si>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</si>
  <si>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</si>
  <si>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</si>
  <si>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</si>
  <si>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seek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</si>
  <si>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</si>
  <si>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</si>
  <si>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</si>
  <si>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</si>
  <si>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</si>
  <si>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</si>
  <si>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</si>
  <si>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</si>
  <si>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</si>
  <si>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</si>
  <si>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</si>
  <si>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</si>
  <si>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</si>
  <si>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</si>
  <si>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</si>
  <si>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</si>
  <si>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</si>
  <si>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</si>
  <si>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</si>
  <si>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</si>
  <si>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</si>
  <si>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</si>
  <si>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</si>
  <si>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What should I do?</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</si>
  <si>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</si>
  <si>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</si>
  <si>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</si>
  <si>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</si>
  <si>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</si>
  <si>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</si>
  <si>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</si>
  <si>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</si>
  <si>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</si>
  <si>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</si>
  <si>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</si>
  <si>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</si>
  <si>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</si>
  <si>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</si>
  <si>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alice.smith@ks.gov</t>
  </si>
  <si>
    <t>FUND PAGE FOR FUNDS WITH A TAX LEVY</t>
  </si>
  <si>
    <t xml:space="preserve">Prior Year </t>
  </si>
  <si>
    <t xml:space="preserve">Current Year </t>
  </si>
  <si>
    <t xml:space="preserve">Proposed Budget </t>
  </si>
  <si>
    <t>Unencumbered Cash Balance Jan 1</t>
  </si>
  <si>
    <t>Receipts:</t>
  </si>
  <si>
    <t>Ad Valorem Tax</t>
  </si>
  <si>
    <t>Delinquent Tax</t>
  </si>
  <si>
    <t>Motor Vehicle Tax</t>
  </si>
  <si>
    <t>Recreational Vehicle Tax</t>
  </si>
  <si>
    <t>16/20M Vehicle Tax</t>
  </si>
  <si>
    <t>Commercial Vehicle Tax</t>
  </si>
  <si>
    <t>Watercraft Tax</t>
  </si>
  <si>
    <t>Gross Earning (Intangible) Tax</t>
  </si>
  <si>
    <t>Local Alcoholic Liquor</t>
  </si>
  <si>
    <t>Compensating Use Tax</t>
  </si>
  <si>
    <t>Local Sales Tax</t>
  </si>
  <si>
    <t>Franchise Tax</t>
  </si>
  <si>
    <t>Licenses</t>
  </si>
  <si>
    <t>Building Permits</t>
  </si>
  <si>
    <t>State of Kansas</t>
  </si>
  <si>
    <t>In Lieu of Tax (IRB)</t>
  </si>
  <si>
    <t>Interest on Idle Funds</t>
  </si>
  <si>
    <t>Neighborhood Revitalization Rebate</t>
  </si>
  <si>
    <t>Miscellaneous</t>
  </si>
  <si>
    <t>Does miscellaneous exceed 10% of Total Rec</t>
  </si>
  <si>
    <t>Total Receipts</t>
  </si>
  <si>
    <t>Resources Available:</t>
  </si>
  <si>
    <t>Expenditures:</t>
  </si>
  <si>
    <t>Salaries &amp; Wages</t>
  </si>
  <si>
    <t>Employee Benefits</t>
  </si>
  <si>
    <t>Desired Carryover Amount:</t>
  </si>
  <si>
    <t>Estimated Mill Rate Impact:</t>
  </si>
  <si>
    <t>Expenditures Must Be Changed by:</t>
  </si>
  <si>
    <t>Estimated Mill Rate &amp;
 Revenue Neutral Rate Comparison</t>
  </si>
  <si>
    <t>Does miscellaneous exceed 10% of Total Exp</t>
  </si>
  <si>
    <t>Total Expenditures</t>
  </si>
  <si>
    <t>Unencumbered Cash Balance Dec 31</t>
  </si>
  <si>
    <t>Revenue Neutral Rate (KSA 79-2988)</t>
  </si>
  <si>
    <t>Non-Appropriated Balance</t>
  </si>
  <si>
    <t>Total Expenditure/Non-Appr Balance</t>
  </si>
  <si>
    <t>Tax Required</t>
  </si>
  <si>
    <t>Is a rate hearing/resolution required:</t>
  </si>
  <si>
    <t>Delinquent Comp Rate:</t>
  </si>
  <si>
    <t>CPA Summary</t>
  </si>
  <si>
    <t>Page No.</t>
  </si>
  <si>
    <t>OPTIONAL DETAIL PAGE FOR ANY FUND</t>
  </si>
  <si>
    <t xml:space="preserve">           Fund - Detail Expend</t>
  </si>
  <si>
    <t>Rec Deparment</t>
  </si>
  <si>
    <t xml:space="preserve">  Salaries</t>
  </si>
  <si>
    <t xml:space="preserve">  Contractual</t>
  </si>
  <si>
    <t xml:space="preserve">  Commodities</t>
  </si>
  <si>
    <t xml:space="preserve">  Capital Outlay</t>
  </si>
  <si>
    <t>Page Total</t>
  </si>
  <si>
    <t>Estimated Mill Rate And
Revenue Neutral Rate Comparison</t>
  </si>
  <si>
    <t>Does miscellanous exceed 10% of Total Exp</t>
  </si>
  <si>
    <t>Estimated Mill Rate &amp; 
Revenue Neutral Rate Comparison</t>
  </si>
  <si>
    <t/>
  </si>
  <si>
    <t>Estimated Mill Rate And 
Revenue Neutral Rate Comparison</t>
  </si>
  <si>
    <t>Estimated Mill Rate &amp; 
Revenue Netural Rate Comparison</t>
  </si>
  <si>
    <t>Does miscellaneous exceed 10% of Total Receipts</t>
  </si>
  <si>
    <t>Does miscellaneous exceed 10% of Total Expenditures</t>
  </si>
  <si>
    <t>FUND PAGE FOR FUNDS WITH NO TAX LEVY</t>
  </si>
  <si>
    <t>State of Kansas Gas Tax</t>
  </si>
  <si>
    <t>County Transfers Gas</t>
  </si>
  <si>
    <t>Street Repair and Maint</t>
  </si>
  <si>
    <t>Charges to Customers</t>
  </si>
  <si>
    <t>Employee Beneifts</t>
  </si>
  <si>
    <t xml:space="preserve">           </t>
  </si>
  <si>
    <t>Does miscellaneous exceed 10% Total Rec</t>
  </si>
  <si>
    <t>Does miscellaneous exceed 10% Total Exp</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</si>
  <si>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</si>
  <si>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</si>
  <si>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</si>
  <si>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</si>
  <si>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</si>
  <si>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</si>
  <si>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</si>
  <si>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</si>
  <si>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</si>
  <si>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</si>
  <si>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</si>
  <si>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</si>
  <si>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</si>
  <si>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</si>
  <si>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</si>
  <si>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</si>
  <si>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</si>
  <si>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</si>
  <si>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</si>
  <si>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</si>
  <si>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</si>
  <si>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</si>
  <si>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</si>
  <si>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</si>
  <si>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</si>
  <si>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</si>
  <si>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</si>
  <si>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</si>
  <si>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</si>
  <si>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</si>
  <si>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</si>
  <si>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</si>
  <si>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</si>
  <si>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</si>
  <si>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</si>
  <si>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NOTICE OF BUDGET HEARING</t>
  </si>
  <si>
    <t xml:space="preserve">The governing body of </t>
  </si>
  <si>
    <t>answering objections of taxpayers relating to the proposed use of all funds and the amount of ad valorem tax.</t>
  </si>
  <si>
    <t>BUDGET SUMMARY</t>
  </si>
  <si>
    <t>Estimated Tax Rate is subject to change depending on the final assessed valuation.</t>
  </si>
  <si>
    <t>Estimate</t>
  </si>
  <si>
    <t xml:space="preserve">     FUND</t>
  </si>
  <si>
    <t>Tax Rate*</t>
  </si>
  <si>
    <t xml:space="preserve"> Expenditures</t>
  </si>
  <si>
    <t>The estimated value of one mill would be:</t>
  </si>
  <si>
    <t>Revenue Neutral Rate**</t>
  </si>
  <si>
    <t>Less: Transfers</t>
  </si>
  <si>
    <t>Net Expenditure</t>
  </si>
  <si>
    <t>Total Tax Levied</t>
  </si>
  <si>
    <t>Change in Ad Valorem Tax Revenue:</t>
  </si>
  <si>
    <t>What Mill Rate Would Be Desired?</t>
  </si>
  <si>
    <t>Outstanding Indebtedness,</t>
  </si>
  <si>
    <t xml:space="preserve">  January 1,</t>
  </si>
  <si>
    <t>G.O. Bonds</t>
  </si>
  <si>
    <t>Revenue Bonds</t>
  </si>
  <si>
    <t>Other</t>
  </si>
  <si>
    <t>Lease Purchase Principal</t>
  </si>
  <si>
    <t xml:space="preserve">     Total</t>
  </si>
  <si>
    <t xml:space="preserve">Is rate hearing/resolution required to exceed Revenue Neutral Rate? </t>
  </si>
  <si>
    <t xml:space="preserve">  *Tax rates are expressed in mills</t>
  </si>
  <si>
    <t>** Revenue Neutral Rate as defined by KSA 79-2988</t>
  </si>
  <si>
    <t>NOTICE OF HEARING TO EXCEED REVENUE NEUTRAL RATE AND BUDGET HEARING</t>
  </si>
  <si>
    <t>Concat Rules</t>
  </si>
  <si>
    <t xml:space="preserve">will meet on </t>
  </si>
  <si>
    <t xml:space="preserve"> at </t>
  </si>
  <si>
    <t>answering objections of taxpayers relating to the proposed use of all funds, the amount of ad valorem tax and the Revenue Neutral Rate.</t>
  </si>
  <si>
    <t xml:space="preserve"> for the purpose of hearing and </t>
  </si>
  <si>
    <t>Proposed 
Estimated</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</si>
  <si>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</si>
  <si>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</si>
  <si>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</si>
  <si>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</si>
  <si>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</si>
  <si>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</si>
  <si>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</si>
  <si>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Valuation Factor:</t>
  </si>
  <si>
    <t>Neighborhood Revitalization Subj to Rebate:</t>
  </si>
  <si>
    <t>Neighborhood Revitalization factor:</t>
  </si>
  <si>
    <t>the Neighborhood Revitalization Rebate table.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</si>
  <si>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</si>
  <si>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</si>
  <si>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</si>
  <si>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</si>
  <si>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</si>
  <si>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</si>
  <si>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</si>
  <si>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</si>
  <si>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</si>
  <si>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</si>
  <si>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</si>
  <si>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</si>
  <si>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</si>
  <si>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</si>
  <si>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</si>
  <si>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</si>
  <si>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</si>
  <si>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</si>
  <si>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</si>
  <si>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</si>
  <si>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</si>
  <si>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</si>
  <si>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</si>
  <si>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</si>
  <si>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</si>
  <si>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</si>
  <si>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</si>
  <si>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</si>
  <si>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</si>
  <si>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</si>
  <si>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</si>
  <si>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Tab A</t>
  </si>
  <si>
    <t>Possible Budget Law Violation</t>
  </si>
  <si>
    <t xml:space="preserve">In short, you are looking at a potential budget law violation. However, the good news is that you </t>
  </si>
  <si>
    <t>may have options available 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</si>
  <si>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</si>
  <si>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</si>
  <si>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</si>
  <si>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</si>
  <si>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</si>
  <si>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</si>
  <si>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</si>
  <si>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</si>
  <si>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</si>
  <si>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</si>
  <si>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</si>
  <si>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</si>
  <si>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available).</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</si>
  <si>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</si>
  <si>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</si>
  <si>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</si>
  <si>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</si>
  <si>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Is amending the budget an option?</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</si>
  <si>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</si>
  <si>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</si>
  <si>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</si>
  <si>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</si>
  <si>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</si>
  <si>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</si>
  <si>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</si>
  <si>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</si>
  <si>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</si>
  <si>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</si>
  <si>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 xml:space="preserve"> </t>
  </si>
  <si>
    <t>No punitive action will be taken as a result of the violation, but you should determine what caused</t>
  </si>
  <si>
    <t>the violation and take steps to avoid future violations of this nature.</t>
  </si>
  <si>
    <t>Thank you.</t>
  </si>
  <si>
    <t>Tab B</t>
  </si>
  <si>
    <t>Possible Cash Basis Law Violation</t>
  </si>
  <si>
    <t>finished the year with a negative unencumbered cash balance in this fund.</t>
  </si>
  <si>
    <t>However, the good news is that you may have one or more options available that will allow you to</t>
  </si>
  <si>
    <t>avoid a cash basis law violation.</t>
  </si>
  <si>
    <t xml:space="preserve">Is this a violation?  </t>
  </si>
  <si>
    <t>Hopefully not. The first thing that you might do is to review K.S.A. 10-1116 to see if your fund</t>
  </si>
  <si>
    <t xml:space="preserve">might be one of those for which a negative cash balance is permitted. </t>
  </si>
  <si>
    <t>What if K.S.A. 10-1116 applies?</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</si>
  <si>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</si>
  <si>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</si>
  <si>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</si>
  <si>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</si>
  <si>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</si>
  <si>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Options</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</si>
  <si>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</si>
  <si>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</si>
  <si>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</si>
  <si>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</si>
  <si>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</si>
  <si>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</si>
  <si>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</si>
  <si>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</si>
  <si>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</si>
  <si>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</si>
  <si>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</si>
  <si>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</si>
  <si>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</si>
  <si>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</si>
  <si>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</si>
  <si>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</si>
  <si>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</si>
  <si>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</si>
  <si>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</si>
  <si>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fund.</t>
  </si>
  <si>
    <t xml:space="preserve">If, in the future, you choose to amend the budget as described in the paragraph above, please </t>
  </si>
  <si>
    <t>remember that the amendment must occur before the end of the fiscal year.</t>
  </si>
  <si>
    <t>Tab C</t>
  </si>
  <si>
    <t>Current Year - Possible Budget Law Violation</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</si>
  <si>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</si>
  <si>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</si>
  <si>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</si>
  <si>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</si>
  <si>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</si>
  <si>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</si>
  <si>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What should I do at this time?</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</si>
  <si>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</si>
  <si>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</si>
  <si>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</si>
  <si>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</si>
  <si>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</si>
  <si>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</si>
  <si>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</si>
  <si>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</si>
  <si>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</si>
  <si>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</si>
  <si>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</si>
  <si>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</si>
  <si>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</si>
  <si>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</si>
  <si>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</si>
  <si>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</si>
  <si>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</si>
  <si>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</si>
  <si>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</si>
  <si>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</si>
  <si>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Tab D</t>
  </si>
  <si>
    <t>Current Year - Possible Cash Basis Law Violation</t>
  </si>
  <si>
    <t>that at the end of this year you will have a negative unencumbered cash balance in this fund.</t>
  </si>
  <si>
    <t>Should this be fixed?</t>
  </si>
  <si>
    <t>Yes. You don't want to end this year with a negative cash balance in the fund.  At a minimum</t>
  </si>
  <si>
    <t>you will want your ending cash balance to be $0.</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</si>
  <si>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</si>
  <si>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</si>
  <si>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</si>
  <si>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</si>
  <si>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</si>
  <si>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</si>
  <si>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</si>
  <si>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</si>
  <si>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</si>
  <si>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</si>
  <si>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</si>
  <si>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</si>
  <si>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</si>
  <si>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</si>
  <si>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</si>
  <si>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</si>
  <si>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Tab E</t>
  </si>
  <si>
    <t>Proposed Budget Year - Possible Budget Law Violation No Levy Funds</t>
  </si>
  <si>
    <t>In short, you are looking at a budget law violation if you adopt a budget in which there exists a fund</t>
  </si>
  <si>
    <t>with a negative ending cash balance.</t>
  </si>
  <si>
    <t>Should this be fixed before we adopt the budget?</t>
  </si>
  <si>
    <t xml:space="preserve">Yes. Budget law mandates that fund expenditures shall balance with anticipated revenue. A fund </t>
  </si>
  <si>
    <t>ending cash balance should end either in $0 or a positive cash balance.</t>
  </si>
  <si>
    <t>How do I fix the violation?</t>
  </si>
  <si>
    <t xml:space="preserve">The negative cash balance can be remedied by increasing the anticipated receipts or by reducing </t>
  </si>
  <si>
    <t>the proposed expenditures, or a combination of the two.</t>
  </si>
  <si>
    <t>Is there a benefit to having a positive cash balance?</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</si>
  <si>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</si>
  <si>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</si>
  <si>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</si>
  <si>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</si>
  <si>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</si>
  <si>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</si>
  <si>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</si>
  <si>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</si>
  <si>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</si>
  <si>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</si>
  <si>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</si>
  <si>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</si>
  <si>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</si>
  <si>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</si>
  <si>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</si>
  <si>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</si>
  <si>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</si>
  <si>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</si>
  <si>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</si>
  <si>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</si>
  <si>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</si>
  <si>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</si>
  <si>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</si>
  <si>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</si>
  <si>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</si>
  <si>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</si>
  <si>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</si>
  <si>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</si>
  <si>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</si>
  <si>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</si>
  <si>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How to Compute the Value of One Mill, and the Impact of Tax Dollars and Assessed Valuation on Mill Rates</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</si>
  <si>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</si>
  <si>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</si>
  <si>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</si>
  <si>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</si>
  <si>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</si>
  <si>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</si>
  <si>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</si>
  <si>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</si>
  <si>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</si>
  <si>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</si>
  <si>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</si>
  <si>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</si>
  <si>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</si>
  <si>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</si>
  <si>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</si>
  <si>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</si>
  <si>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</si>
  <si>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</si>
  <si>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</si>
  <si>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The following changes were made to this workbook during April-May 2024</t>
  </si>
  <si>
    <t>1. Removed LAVTR from inputOth, Library Grant and General fund tabs.</t>
  </si>
  <si>
    <t>2. Removed City and County Revenue Sharing from inputOth and General fund tabs.</t>
  </si>
  <si>
    <t>3. Renamed Cash Forward/Cash-Basis Reserve to Cash Reserve on all fund pages.</t>
  </si>
  <si>
    <t>4. Added RNR Resolution YES/NO formula to certificate page.</t>
  </si>
  <si>
    <t>The following changes were made to this workbook during April 2023</t>
  </si>
  <si>
    <t xml:space="preserve">1. Made final Nov 1, 2023 assessed valuation fillable and added final rate formula by fund on the Certificate page. </t>
  </si>
  <si>
    <t>2. Added County Clerk attest signature line on Cert 2 page.</t>
  </si>
  <si>
    <t>3. Added 'SAMPLE Roll Call to Exceed RNR' tab.</t>
  </si>
  <si>
    <t>4. Combined 'Mill Rate Computation' tab and 'Helpful Links' tab into new tab labeled 'Budget Tools.'</t>
  </si>
  <si>
    <t>5. Added explanation of how the Revenue Neutral Rate is calculated to 'Budget Tools' tab.</t>
  </si>
  <si>
    <t>6. Updated spacing and formatting to Tab A, Tab B, Tab C, Tab D and Tab E.</t>
  </si>
  <si>
    <t>The following changes were made to this workbook during February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</si>
  <si>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</si>
  <si>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</si>
  <si>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</si>
  <si>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</si>
  <si>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</si>
  <si>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</si>
  <si>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</si>
  <si>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</si>
  <si>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</si>
  <si>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</si>
  <si>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</si>
  <si>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</si>
  <si>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</si>
  <si>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</si>
  <si>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</si>
  <si>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5. Updated certificate/table of contents and page numbering for changes</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</si>
  <si>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</si>
  <si>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</si>
  <si>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</si>
  <si>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</si>
  <si>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</si>
  <si>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</si>
  <si>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</si>
  <si>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</si>
  <si>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</si>
  <si>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</si>
  <si>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</si>
  <si>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</si>
  <si>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</si>
  <si>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</si>
  <si>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</si>
  <si>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</si>
  <si>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</si>
  <si>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</si>
  <si>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</si>
  <si>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</si>
  <si>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</si>
  <si>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</si>
  <si>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</si>
  <si>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</si>
  <si>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</si>
  <si>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The following changes were made to this workbook on 1/27/2016</t>
  </si>
  <si>
    <t>1.  Inserted 2015 CPI percentage on computation tab.</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</si>
  <si>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</si>
  <si>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</si>
  <si>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</si>
  <si>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</si>
  <si>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</si>
  <si>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</si>
  <si>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</si>
  <si>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1/21/15</t>
  </si>
  <si>
    <t>1.  Inserted 2014 CPI percentage on computation tab.</t>
  </si>
  <si>
    <t>2.  Corrected formula in cell d24 of library grant tab.</t>
  </si>
  <si>
    <t>The following changes were made to this workbook on 9/22/14</t>
  </si>
  <si>
    <t>1.  Various workbook changes associated with commercial vehicle and watercraft tax estimates.</t>
  </si>
  <si>
    <t>The following changes were made to this workbook on 9/16/14</t>
  </si>
  <si>
    <t>1.  Corrected the print margins of the general fund tab.</t>
  </si>
  <si>
    <t>The following changes were made to this workbook on 8/4/14</t>
  </si>
  <si>
    <t>1.  Update of State Library contact name on library grant tab.</t>
  </si>
  <si>
    <t>The following changes were made to this workbook on 7/9/14</t>
  </si>
  <si>
    <t>1.  Correction to formula in cell j44 of the computation tab worksheet.</t>
  </si>
  <si>
    <t>The following changes were made to this workbook on 5/7/14</t>
  </si>
  <si>
    <t>1.  Several changes to workbook associated with 2014 HB 2047.</t>
  </si>
  <si>
    <t>The following changes were made to this workbook on 4/2/14</t>
  </si>
  <si>
    <t>1.  "Budget Authority Amount" cell added to budget year column of all funds.</t>
  </si>
  <si>
    <t>The following changes were made to this workbook on 1/13/14</t>
  </si>
  <si>
    <t>1.  Corrected formulas for column totals on general fund detail page.</t>
  </si>
  <si>
    <t>The following changes were made to this workbook on 3/21/13</t>
  </si>
  <si>
    <t>1.  Instruction tab narrative modification</t>
  </si>
  <si>
    <t>The following changes were made to this workbook on 1/31/13</t>
  </si>
  <si>
    <t>1.  Corrected formula in cell e28 of Library Grant tab</t>
  </si>
  <si>
    <t>The following changes were made to this workbook on 10/8/12</t>
  </si>
  <si>
    <t>1.  Added "ordinance required?  yes/no" message to area adjacent to each tax levy fund</t>
  </si>
  <si>
    <t>The following changes were made to this workbook on 4/10/12</t>
  </si>
  <si>
    <t>1. Corrected addition computation in column D, inputPrYr tab</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</si>
  <si>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</si>
  <si>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</si>
  <si>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</si>
  <si>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2/22/12</t>
  </si>
  <si>
    <t>1. Library Grant tab, updated State Library e-mail contact address</t>
  </si>
  <si>
    <t>The following changes were made to this workbook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</si>
  <si>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</si>
  <si>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</si>
  <si>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</si>
  <si>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</si>
  <si>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</si>
  <si>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</si>
  <si>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</si>
  <si>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</si>
  <si>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</si>
  <si>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</si>
  <si>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</si>
  <si>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</si>
  <si>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</si>
  <si>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</si>
  <si>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</si>
  <si>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</si>
  <si>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</si>
  <si>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</si>
  <si>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</si>
  <si>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</si>
  <si>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</si>
  <si>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</si>
  <si>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</si>
  <si>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</si>
  <si>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</si>
  <si>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</si>
  <si>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</si>
  <si>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</si>
  <si>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</si>
  <si>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</si>
  <si>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</si>
  <si>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</si>
  <si>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</si>
  <si>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</si>
  <si>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</si>
  <si>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</si>
  <si>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</si>
  <si>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</si>
  <si>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</si>
  <si>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</si>
  <si>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</si>
  <si>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</si>
  <si>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</si>
  <si>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</si>
  <si>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The following changes were made to this workbook on 4/19/11</t>
  </si>
  <si>
    <t>1. Summ tab changed proposed year expenditure column to 'Budget Authority for Expenditures'</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</si>
  <si>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</si>
  <si>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</si>
  <si>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</si>
  <si>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</si>
  <si>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</si>
  <si>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</si>
  <si>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</si>
  <si>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</si>
  <si>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</si>
  <si>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</si>
  <si>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</si>
  <si>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</si>
  <si>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</si>
  <si>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</si>
  <si>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</si>
  <si>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</si>
  <si>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</si>
  <si>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</si>
  <si>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</si>
  <si>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</si>
  <si>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</si>
  <si>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</si>
  <si>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</si>
  <si>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</si>
  <si>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</si>
  <si>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</si>
  <si>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</si>
  <si>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</si>
  <si>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</si>
  <si>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</si>
  <si>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</si>
  <si>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</si>
  <si>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</si>
  <si>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</si>
  <si>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The following changes were made to this workbook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</si>
  <si>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</si>
  <si>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</si>
  <si>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</si>
  <si>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12/28/09</t>
  </si>
  <si>
    <t>1. Nhood tab added note for computing table</t>
  </si>
  <si>
    <t>2. SpecHwy and No Levy Page 12 tabs changed conditional statements</t>
  </si>
  <si>
    <t>The following changes were made to this workbook on 12/08/09</t>
  </si>
  <si>
    <t>1. Instruction tab, added step 3 for 'inputBudSum'</t>
  </si>
  <si>
    <t>2. Added tab 'inputBudSum'</t>
  </si>
  <si>
    <t>3. Changed Budget Summary replacing the green areas for date/time/location so info comes from inputBudSum tab</t>
  </si>
  <si>
    <t>4. Deleted lines on Budget Summary reference in #3</t>
  </si>
  <si>
    <t>The following changes were made to this workbook on 10/2/09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</si>
  <si>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</si>
  <si>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</si>
  <si>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</si>
  <si>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</si>
  <si>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</si>
  <si>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</si>
  <si>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</si>
  <si>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</si>
  <si>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</si>
  <si>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</si>
  <si>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</si>
  <si>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</si>
  <si>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</si>
  <si>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</si>
  <si>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</si>
  <si>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</si>
  <si>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</si>
  <si>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</si>
  <si>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</si>
  <si>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</si>
  <si>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</si>
  <si>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</si>
  <si>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</si>
  <si>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1. Input tab (inputPrYr) added column for the current year expenditures.</t>
  </si>
  <si>
    <t>2. Statement of Indebtedness (debt) added lines to all categories.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</si>
  <si>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</si>
  <si>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</si>
  <si>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</si>
  <si>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</si>
  <si>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</si>
  <si>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</si>
  <si>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</si>
  <si>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</si>
  <si>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</si>
  <si>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</si>
  <si>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</si>
  <si>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</si>
  <si>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</si>
  <si>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</si>
  <si>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</si>
  <si>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</si>
  <si>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</si>
  <si>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The following were changed to this spreadsheet on 7/01/08</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</si>
  <si>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</si>
  <si>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</si>
  <si>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</si>
  <si>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</si>
  <si>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</si>
  <si>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</si>
  <si>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</si>
  <si>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8/06/2007</t>
  </si>
  <si>
    <t>1.Instruction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</si>
  <si>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</si>
  <si>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</si>
  <si>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</si>
  <si>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</si>
  <si>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</si>
  <si>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</si>
  <si>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</si>
  <si>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</si>
  <si>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</si>
  <si>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11. Added Neighborhood Revitalization, LAVTR, City and County Revenue Sharing, and Slider to the input page and to the General Fund page.</t>
  </si>
  <si>
    <t>12. Changed the Budget Summary Heading to include Actual/Estimate/Proposed with the budget year.</t>
  </si>
  <si>
    <t>13. Changed the delinquency rate formula for all levy funds.</t>
  </si>
  <si>
    <t>14. Changed the Certificate page so the county name flows instead of having unneeded spaces.</t>
  </si>
  <si>
    <t>15. Using the actual ad valorem rates from the Clerk's information versus from the Certificate page.</t>
  </si>
  <si>
    <t>16. Delinquency rate for actual for 3 decimal and note that rate can be up to 5% over the actual rate.</t>
  </si>
  <si>
    <t>17. Computation to Determine Limit changed the note on bottom to include publish ordinance and attach the published ordinance to the budget.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</si>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</sst>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m/d/yy;@"/>
    <numFmt numFmtId="174" formatCode="&quot;$&quot;#,##0"/>
    <numFmt numFmtId="175" formatCode="&quot;$&quot;#,##0.00"/>
    <numFmt numFmtId="176" formatCode="#,###"/>
    <numFmt numFmtId="177" formatCode="0.0%"/>
    <numFmt numFmtId="178" formatCode="#,##0.000_);[Red]\(#,##0.000\)"/>
  </numFmts>
  <fonts count="69">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sz val="10"/>
      <color rgb="FFFF0000"/>
      <name val="Times New Roman"/>
      <family val="1"/>
    </font>
    <font>
      <sz val="12"/>
      <color theme="1"/>
      <name val="Times New Roman"/>
      <family val="1"/>
    </font>
    <font>
      <sz val="14"/>
      <name val="Times New Roman"/>
      <family val="1"/>
    </font>
    <font>
      <b/>
      <sz val="16"/>
      <name val="Times New Roman"/>
      <family val="1"/>
    </font>
    <font>
      <b/>
      <u/>
      <sz val="16"/>
      <name val="Times New Roman"/>
      <family val="1"/>
    </font>
    <font>
      <b/>
      <sz val="18"/>
      <name val="Times New Roman"/>
      <family val="1"/>
    </font>
    <font>
      <sz val="11"/>
      <name val="Calibri"/>
      <family val="2"/>
    </font>
    <font>
      <u/>
      <vertAlign val="superscript"/>
      <sz val="12"/>
      <name val="Times New Roman"/>
      <family val="1"/>
    </font>
    <font>
      <sz val="7"/>
      <name val="Times New Roman"/>
      <family val="1"/>
    </font>
    <font>
      <b/>
      <sz val="14"/>
      <name val="Calibri"/>
      <family val="2"/>
      <scheme val="minor"/>
    </font>
    <font>
      <sz val="12"/>
      <name val="Calibri"/>
      <family val="2"/>
      <scheme val="minor"/>
    </font>
    <font>
      <u/>
      <sz val="12"/>
      <name val="Calibri"/>
      <family val="2"/>
      <scheme val="minor"/>
    </font>
    <font>
      <b/>
      <sz val="12"/>
      <name val="Calibri"/>
      <family val="2"/>
      <scheme val="minor"/>
    </font>
    <font>
      <b/>
      <sz val="13"/>
      <name val="Calibri"/>
      <family val="2"/>
      <scheme val="minor"/>
    </font>
    <font>
      <b/>
      <i/>
      <sz val="12"/>
      <name val="Times New Roman"/>
      <family val="1"/>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b/>
      <sz val="14"/>
      <color rgb="FF000000"/>
      <name val="Cambria"/>
      <family val="1"/>
      <scheme val="major"/>
    </font>
  </fonts>
  <fills count="21">
    <fill>
      <patternFill patternType="none"/>
    </fill>
    <fill>
      <patternFill patternType="gray125"/>
    </fill>
    <fill>
      <patternFill patternType="solid">
        <fgColor indexed="26"/>
        <bgColor indexed="64"/>
      </patternFill>
    </fill>
    <fill>
      <patternFill patternType="solid">
        <fgColor indexed="11"/>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s>
  <cellStyleXfs count="516">
    <xf numFmtId="0" fontId="0" fillId="0" borderId="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8"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5" fillId="0" borderId="0"/>
  </cellStyleXfs>
  <cellXfs count="800">
    <xf numFmtId="0" fontId="0" fillId="0" borderId="0" xfId="0"/>
    <xf numFmtId="0" fontId="5" fillId="0" borderId="0" xfId="0" applyFont="1"/>
    <xf numFmtId="0" fontId="5" fillId="0" borderId="0" xfId="0" applyFont="1" applyProtection="1">
      <protection locked="0"/>
    </xf>
    <xf numFmtId="0" fontId="5" fillId="2" borderId="0" xfId="0" applyFont="1" applyFill="1" applyProtection="1">
      <protection locked="0"/>
    </xf>
    <xf numFmtId="37" fontId="5" fillId="2" borderId="1" xfId="0" applyNumberFormat="1" applyFont="1" applyFill="1" applyBorder="1" applyAlignment="1">
      <alignment horizontal="left"/>
    </xf>
    <xf numFmtId="37" fontId="5" fillId="2" borderId="1" xfId="0" applyNumberFormat="1" applyFont="1" applyFill="1" applyBorder="1"/>
    <xf numFmtId="0" fontId="5" fillId="2" borderId="0" xfId="0" applyFont="1" applyFill="1"/>
    <xf numFmtId="37" fontId="5" fillId="2" borderId="0" xfId="0" applyNumberFormat="1" applyFont="1" applyFill="1" applyAlignment="1">
      <alignment horizontal="left"/>
    </xf>
    <xf numFmtId="37" fontId="5" fillId="2" borderId="2" xfId="0" applyNumberFormat="1" applyFont="1" applyFill="1" applyBorder="1" applyAlignment="1">
      <alignment horizontal="center"/>
    </xf>
    <xf numFmtId="37" fontId="5" fillId="2" borderId="3" xfId="0" applyNumberFormat="1" applyFont="1" applyFill="1" applyBorder="1" applyAlignment="1">
      <alignment horizontal="center"/>
    </xf>
    <xf numFmtId="0" fontId="5" fillId="2" borderId="1" xfId="0" applyFont="1" applyFill="1" applyBorder="1"/>
    <xf numFmtId="0" fontId="5" fillId="2" borderId="3" xfId="0" applyFont="1" applyFill="1" applyBorder="1" applyAlignment="1">
      <alignment horizontal="center"/>
    </xf>
    <xf numFmtId="37" fontId="5" fillId="2" borderId="0" xfId="0" applyNumberFormat="1" applyFont="1" applyFill="1" applyAlignment="1">
      <alignment horizontal="fill"/>
    </xf>
    <xf numFmtId="37" fontId="5" fillId="2" borderId="4" xfId="0" applyNumberFormat="1" applyFont="1" applyFill="1" applyBorder="1" applyAlignment="1">
      <alignment horizontal="left"/>
    </xf>
    <xf numFmtId="37" fontId="5" fillId="2" borderId="0" xfId="0" applyNumberFormat="1" applyFont="1" applyFill="1" applyAlignment="1" applyProtection="1">
      <alignment horizontal="left"/>
      <protection locked="0"/>
    </xf>
    <xf numFmtId="1" fontId="5" fillId="2" borderId="0" xfId="0" applyNumberFormat="1" applyFont="1" applyFill="1" applyAlignment="1">
      <alignment horizontal="right"/>
    </xf>
    <xf numFmtId="0" fontId="0" fillId="2" borderId="0" xfId="0" applyFill="1"/>
    <xf numFmtId="37" fontId="7" fillId="2" borderId="2" xfId="0" applyNumberFormat="1" applyFont="1" applyFill="1" applyBorder="1" applyAlignment="1">
      <alignment horizontal="center"/>
    </xf>
    <xf numFmtId="3" fontId="5" fillId="2" borderId="1" xfId="0" applyNumberFormat="1" applyFont="1" applyFill="1" applyBorder="1" applyAlignment="1">
      <alignment horizontal="center"/>
    </xf>
    <xf numFmtId="3" fontId="5" fillId="2" borderId="5" xfId="0" applyNumberFormat="1" applyFont="1" applyFill="1" applyBorder="1" applyAlignment="1">
      <alignment horizontal="center"/>
    </xf>
    <xf numFmtId="3" fontId="5" fillId="2" borderId="4" xfId="0" applyNumberFormat="1" applyFont="1" applyFill="1" applyBorder="1" applyAlignment="1">
      <alignment horizontal="center"/>
    </xf>
    <xf numFmtId="171" fontId="5" fillId="2" borderId="1" xfId="0" applyNumberFormat="1" applyFont="1" applyFill="1" applyBorder="1" applyAlignment="1">
      <alignment horizontal="center"/>
    </xf>
    <xf numFmtId="171" fontId="5" fillId="2" borderId="5" xfId="0" applyNumberFormat="1" applyFont="1" applyFill="1" applyBorder="1" applyAlignment="1">
      <alignment horizontal="center"/>
    </xf>
    <xf numFmtId="0" fontId="5" fillId="3" borderId="6" xfId="0" applyFont="1" applyFill="1" applyBorder="1" applyAlignment="1" applyProtection="1">
      <alignment horizontal="left"/>
      <protection locked="0"/>
    </xf>
    <xf numFmtId="37" fontId="5" fillId="2" borderId="0" xfId="0" applyNumberFormat="1" applyFont="1" applyFill="1" applyProtection="1">
      <protection locked="0"/>
    </xf>
    <xf numFmtId="171" fontId="5" fillId="2" borderId="4" xfId="0" applyNumberFormat="1" applyFont="1" applyFill="1" applyBorder="1" applyAlignment="1">
      <alignment horizontal="center"/>
    </xf>
    <xf numFmtId="171" fontId="5" fillId="2" borderId="0" xfId="0" applyNumberFormat="1" applyFont="1" applyFill="1" applyAlignment="1">
      <alignment horizontal="center"/>
    </xf>
    <xf numFmtId="0" fontId="0" fillId="2" borderId="0" xfId="0" applyFill="1" applyAlignment="1">
      <alignment horizontal="center"/>
    </xf>
    <xf numFmtId="0" fontId="5" fillId="2" borderId="4" xfId="0" applyFont="1" applyFill="1" applyBorder="1" applyAlignment="1">
      <alignment horizontal="center"/>
    </xf>
    <xf numFmtId="3" fontId="5" fillId="4" borderId="1" xfId="0" applyNumberFormat="1" applyFont="1" applyFill="1" applyBorder="1" applyAlignment="1" applyProtection="1">
      <alignment horizontal="center"/>
      <protection locked="0"/>
    </xf>
    <xf numFmtId="37" fontId="5" fillId="2" borderId="7" xfId="0" applyNumberFormat="1" applyFont="1" applyFill="1" applyBorder="1" applyAlignment="1">
      <alignment horizontal="left"/>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5" fillId="6" borderId="0" xfId="0" applyFont="1" applyFill="1" applyAlignment="1">
      <alignment vertical="center"/>
    </xf>
    <xf numFmtId="37" fontId="10" fillId="2" borderId="0" xfId="0" applyNumberFormat="1" applyFont="1" applyFill="1" applyAlignment="1">
      <alignment horizontal="left" vertical="center"/>
    </xf>
    <xf numFmtId="0" fontId="5" fillId="2" borderId="0" xfId="0" applyFont="1" applyFill="1" applyAlignment="1">
      <alignment vertical="center"/>
    </xf>
    <xf numFmtId="0" fontId="5" fillId="0" borderId="0" xfId="0" applyFont="1" applyAlignment="1" applyProtection="1">
      <alignment vertical="center"/>
      <protection locked="0"/>
    </xf>
    <xf numFmtId="37" fontId="4" fillId="2" borderId="0" xfId="0" applyNumberFormat="1" applyFont="1" applyFill="1" applyAlignment="1">
      <alignment horizontal="left" vertical="center"/>
    </xf>
    <xf numFmtId="37" fontId="5" fillId="2" borderId="0" xfId="0" applyNumberFormat="1" applyFont="1" applyFill="1" applyAlignment="1">
      <alignment horizontal="left" vertical="center"/>
    </xf>
    <xf numFmtId="37" fontId="5" fillId="2" borderId="0" xfId="0" applyNumberFormat="1" applyFont="1" applyFill="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5" fillId="2" borderId="0" xfId="0" applyFont="1" applyFill="1" applyAlignment="1">
      <alignment horizontal="centerContinuous" vertical="center"/>
    </xf>
    <xf numFmtId="37" fontId="5" fillId="2" borderId="0" xfId="0" applyNumberFormat="1" applyFont="1" applyFill="1" applyAlignment="1">
      <alignment horizontal="centerContinuous" vertical="center"/>
    </xf>
    <xf numFmtId="0" fontId="6" fillId="2" borderId="0" xfId="0" applyFont="1" applyFill="1" applyAlignment="1">
      <alignment horizontal="center" vertical="center"/>
    </xf>
    <xf numFmtId="0" fontId="4" fillId="2" borderId="0" xfId="0" applyFont="1" applyFill="1" applyAlignment="1">
      <alignment vertical="center"/>
    </xf>
    <xf numFmtId="0" fontId="5" fillId="2" borderId="1" xfId="0" applyFont="1" applyFill="1" applyBorder="1" applyAlignment="1">
      <alignment vertical="center"/>
    </xf>
    <xf numFmtId="3" fontId="5" fillId="3" borderId="1" xfId="0" applyNumberFormat="1" applyFont="1" applyFill="1" applyBorder="1" applyAlignment="1" applyProtection="1">
      <alignment vertical="center"/>
      <protection locked="0"/>
    </xf>
    <xf numFmtId="3" fontId="5" fillId="2" borderId="0" xfId="0" applyNumberFormat="1" applyFont="1" applyFill="1" applyAlignment="1">
      <alignment vertical="center"/>
    </xf>
    <xf numFmtId="0" fontId="5" fillId="4" borderId="1"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37" fontId="5" fillId="2" borderId="4" xfId="0" applyNumberFormat="1" applyFont="1" applyFill="1" applyBorder="1" applyAlignment="1">
      <alignment horizontal="left" vertical="center"/>
    </xf>
    <xf numFmtId="0" fontId="5" fillId="2" borderId="4" xfId="0" applyFont="1" applyFill="1" applyBorder="1" applyAlignment="1">
      <alignment vertical="center"/>
    </xf>
    <xf numFmtId="3" fontId="5" fillId="2" borderId="8" xfId="0" applyNumberFormat="1" applyFont="1" applyFill="1" applyBorder="1" applyAlignment="1">
      <alignment vertical="center"/>
    </xf>
    <xf numFmtId="3" fontId="5" fillId="7"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5" fillId="3" borderId="1" xfId="0" applyNumberFormat="1" applyFont="1" applyFill="1" applyBorder="1" applyAlignment="1" applyProtection="1">
      <alignment vertical="center"/>
      <protection locked="0"/>
    </xf>
    <xf numFmtId="164" fontId="5" fillId="2" borderId="0" xfId="0" applyNumberFormat="1" applyFont="1" applyFill="1" applyAlignment="1" applyProtection="1">
      <alignment vertical="center"/>
      <protection locked="0"/>
    </xf>
    <xf numFmtId="0" fontId="5" fillId="2" borderId="9" xfId="0" applyFont="1" applyFill="1" applyBorder="1" applyAlignment="1">
      <alignment vertical="center"/>
    </xf>
    <xf numFmtId="3" fontId="5" fillId="2" borderId="0" xfId="0" applyNumberFormat="1" applyFont="1" applyFill="1" applyAlignment="1" applyProtection="1">
      <alignment vertical="center"/>
      <protection locked="0"/>
    </xf>
    <xf numFmtId="0" fontId="5" fillId="2" borderId="4" xfId="0" applyFont="1" applyFill="1" applyBorder="1" applyAlignment="1" applyProtection="1">
      <alignment vertical="center"/>
      <protection locked="0"/>
    </xf>
    <xf numFmtId="0" fontId="5" fillId="2" borderId="10" xfId="0" applyFont="1" applyFill="1" applyBorder="1" applyAlignment="1">
      <alignment vertical="center"/>
    </xf>
    <xf numFmtId="37" fontId="5" fillId="2" borderId="1" xfId="0" applyNumberFormat="1" applyFont="1" applyFill="1" applyBorder="1" applyAlignment="1">
      <alignment vertical="center"/>
    </xf>
    <xf numFmtId="0" fontId="5" fillId="2" borderId="3" xfId="0" applyFont="1" applyFill="1" applyBorder="1" applyAlignment="1">
      <alignment vertical="center"/>
    </xf>
    <xf numFmtId="166" fontId="5" fillId="3" borderId="1" xfId="0" applyNumberFormat="1" applyFont="1" applyFill="1" applyBorder="1" applyAlignment="1" applyProtection="1">
      <alignment vertical="center"/>
      <protection locked="0"/>
    </xf>
    <xf numFmtId="166" fontId="5" fillId="7" borderId="1" xfId="0" applyNumberFormat="1" applyFont="1" applyFill="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Alignment="1" applyProtection="1">
      <alignment vertical="center"/>
      <protection locked="0"/>
    </xf>
    <xf numFmtId="0" fontId="5" fillId="2" borderId="4"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10" xfId="0" applyFont="1" applyFill="1" applyBorder="1" applyAlignment="1" applyProtection="1">
      <alignment vertical="center"/>
      <protection locked="0"/>
    </xf>
    <xf numFmtId="3" fontId="5" fillId="4" borderId="1" xfId="0" applyNumberFormat="1"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0" fillId="0" borderId="0" xfId="0" applyAlignment="1">
      <alignment vertical="center"/>
    </xf>
    <xf numFmtId="37" fontId="5" fillId="2" borderId="0" xfId="0" applyNumberFormat="1" applyFont="1" applyFill="1" applyAlignment="1">
      <alignment vertical="center"/>
    </xf>
    <xf numFmtId="0" fontId="0" fillId="2" borderId="0" xfId="0" applyFill="1" applyAlignment="1">
      <alignment vertical="center"/>
    </xf>
    <xf numFmtId="37" fontId="5" fillId="2" borderId="8" xfId="0" applyNumberFormat="1" applyFont="1" applyFill="1" applyBorder="1" applyAlignment="1">
      <alignment horizontal="left" vertical="center"/>
    </xf>
    <xf numFmtId="37" fontId="5" fillId="4" borderId="1" xfId="0" applyNumberFormat="1" applyFont="1" applyFill="1" applyBorder="1" applyAlignment="1" applyProtection="1">
      <alignment vertical="center"/>
      <protection locked="0"/>
    </xf>
    <xf numFmtId="37" fontId="4" fillId="2" borderId="8" xfId="0" applyNumberFormat="1" applyFont="1" applyFill="1" applyBorder="1" applyAlignment="1">
      <alignment horizontal="left" vertical="center"/>
    </xf>
    <xf numFmtId="0" fontId="5" fillId="2" borderId="12" xfId="0" applyFont="1" applyFill="1" applyBorder="1" applyAlignment="1">
      <alignment vertical="center"/>
    </xf>
    <xf numFmtId="0" fontId="0" fillId="2" borderId="4" xfId="0"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0" fontId="0" fillId="2" borderId="10"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2" borderId="0" xfId="0" applyFont="1" applyFill="1" applyAlignment="1">
      <alignment vertical="center"/>
    </xf>
    <xf numFmtId="0" fontId="3" fillId="2" borderId="0" xfId="0" applyFont="1" applyFill="1" applyAlignment="1" applyProtection="1">
      <alignment vertical="center"/>
      <protection locked="0"/>
    </xf>
    <xf numFmtId="1" fontId="5" fillId="2" borderId="0" xfId="0" applyNumberFormat="1" applyFont="1" applyFill="1" applyAlignment="1">
      <alignment horizontal="right" vertical="center"/>
    </xf>
    <xf numFmtId="0" fontId="3" fillId="0" borderId="0" xfId="0" applyFont="1" applyAlignment="1" applyProtection="1">
      <alignment vertical="center"/>
      <protection locked="0"/>
    </xf>
    <xf numFmtId="37" fontId="5" fillId="2" borderId="0" xfId="0" quotePrefix="1" applyNumberFormat="1" applyFont="1" applyFill="1" applyAlignment="1">
      <alignment horizontal="right" vertical="center"/>
    </xf>
    <xf numFmtId="37" fontId="3" fillId="2" borderId="0" xfId="0" applyNumberFormat="1" applyFont="1" applyFill="1" applyAlignment="1">
      <alignment horizontal="left" vertical="center"/>
    </xf>
    <xf numFmtId="0" fontId="3" fillId="2" borderId="0" xfId="0" applyFont="1" applyFill="1" applyAlignment="1">
      <alignment vertical="center"/>
    </xf>
    <xf numFmtId="0" fontId="3" fillId="2" borderId="4" xfId="0" applyFont="1" applyFill="1" applyBorder="1" applyAlignment="1">
      <alignment vertical="center"/>
    </xf>
    <xf numFmtId="0" fontId="5" fillId="2" borderId="7" xfId="0" applyFont="1" applyFill="1" applyBorder="1" applyAlignment="1">
      <alignment vertical="center"/>
    </xf>
    <xf numFmtId="1" fontId="5" fillId="2" borderId="6" xfId="0" applyNumberFormat="1" applyFont="1" applyFill="1" applyBorder="1" applyAlignment="1">
      <alignment horizontal="right" vertical="center"/>
    </xf>
    <xf numFmtId="0" fontId="5" fillId="2" borderId="8" xfId="0" applyFont="1" applyFill="1" applyBorder="1" applyAlignment="1">
      <alignment horizontal="left" vertical="center"/>
    </xf>
    <xf numFmtId="0" fontId="5" fillId="2" borderId="11" xfId="0" applyFont="1" applyFill="1" applyBorder="1" applyAlignment="1">
      <alignment horizontal="centerContinuous" vertical="center"/>
    </xf>
    <xf numFmtId="37" fontId="5" fillId="2" borderId="4" xfId="0" applyNumberFormat="1" applyFont="1" applyFill="1" applyBorder="1" applyAlignment="1">
      <alignment horizontal="fill" vertical="center"/>
    </xf>
    <xf numFmtId="37" fontId="5" fillId="2" borderId="2" xfId="0" applyNumberFormat="1" applyFont="1" applyFill="1" applyBorder="1" applyAlignment="1">
      <alignment horizontal="left" vertical="center"/>
    </xf>
    <xf numFmtId="37" fontId="5" fillId="2" borderId="2" xfId="0" applyNumberFormat="1" applyFont="1" applyFill="1" applyBorder="1" applyAlignment="1">
      <alignment horizontal="center" vertical="center"/>
    </xf>
    <xf numFmtId="37" fontId="5" fillId="2" borderId="13" xfId="0" applyNumberFormat="1" applyFont="1" applyFill="1" applyBorder="1" applyAlignment="1">
      <alignment horizontal="center" vertical="center"/>
    </xf>
    <xf numFmtId="37" fontId="4" fillId="2" borderId="4" xfId="0" applyNumberFormat="1" applyFont="1" applyFill="1" applyBorder="1" applyAlignment="1">
      <alignment horizontal="left" vertical="center"/>
    </xf>
    <xf numFmtId="37" fontId="5" fillId="2" borderId="3" xfId="0" applyNumberFormat="1" applyFont="1" applyFill="1" applyBorder="1" applyAlignment="1">
      <alignment horizontal="center" vertical="center"/>
    </xf>
    <xf numFmtId="37" fontId="5" fillId="2" borderId="1" xfId="0" applyNumberFormat="1" applyFont="1" applyFill="1" applyBorder="1" applyAlignment="1">
      <alignment horizontal="center" vertical="center"/>
    </xf>
    <xf numFmtId="0" fontId="5" fillId="2" borderId="13" xfId="0" applyFont="1" applyFill="1" applyBorder="1" applyAlignment="1">
      <alignment vertical="center"/>
    </xf>
    <xf numFmtId="37" fontId="5" fillId="2" borderId="11" xfId="0" applyNumberFormat="1" applyFont="1" applyFill="1" applyBorder="1" applyAlignment="1">
      <alignment horizontal="center" vertical="center"/>
    </xf>
    <xf numFmtId="37" fontId="10" fillId="2" borderId="3" xfId="0" applyNumberFormat="1" applyFont="1" applyFill="1" applyBorder="1" applyAlignment="1">
      <alignment horizontal="left" vertical="center"/>
    </xf>
    <xf numFmtId="37" fontId="10" fillId="2" borderId="3" xfId="0" applyNumberFormat="1" applyFont="1" applyFill="1" applyBorder="1" applyAlignment="1">
      <alignment horizontal="center" vertical="center"/>
    </xf>
    <xf numFmtId="37" fontId="5" fillId="7" borderId="1" xfId="0" applyNumberFormat="1" applyFont="1" applyFill="1" applyBorder="1" applyAlignment="1">
      <alignment horizontal="center" vertical="center"/>
    </xf>
    <xf numFmtId="3" fontId="5" fillId="2" borderId="1" xfId="0" applyNumberFormat="1" applyFont="1" applyFill="1" applyBorder="1" applyAlignment="1">
      <alignment vertical="center"/>
    </xf>
    <xf numFmtId="37" fontId="5" fillId="2" borderId="6" xfId="0" applyNumberFormat="1" applyFont="1" applyFill="1" applyBorder="1" applyAlignment="1">
      <alignment vertical="center"/>
    </xf>
    <xf numFmtId="0" fontId="5" fillId="2" borderId="6" xfId="0" applyFont="1" applyFill="1" applyBorder="1" applyAlignment="1">
      <alignment vertical="center"/>
    </xf>
    <xf numFmtId="0" fontId="5" fillId="2" borderId="15" xfId="0" applyFont="1" applyFill="1" applyBorder="1" applyAlignment="1">
      <alignment vertical="center"/>
    </xf>
    <xf numFmtId="0" fontId="5" fillId="2" borderId="2" xfId="0" applyFont="1" applyFill="1" applyBorder="1" applyAlignment="1">
      <alignment vertical="center"/>
    </xf>
    <xf numFmtId="0" fontId="5" fillId="2" borderId="9" xfId="0" applyFont="1" applyFill="1" applyBorder="1" applyAlignment="1">
      <alignment horizontal="center" vertical="center"/>
    </xf>
    <xf numFmtId="0" fontId="5" fillId="4" borderId="4" xfId="0" applyFont="1" applyFill="1" applyBorder="1" applyAlignment="1" applyProtection="1">
      <alignment vertical="center"/>
      <protection locked="0"/>
    </xf>
    <xf numFmtId="0" fontId="5" fillId="2" borderId="0" xfId="0" applyFont="1" applyFill="1" applyAlignment="1">
      <alignment horizontal="left" vertical="center"/>
    </xf>
    <xf numFmtId="0" fontId="5"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3" fontId="5" fillId="2" borderId="4" xfId="0" applyNumberFormat="1" applyFont="1" applyFill="1" applyBorder="1" applyAlignment="1">
      <alignment vertical="center"/>
    </xf>
    <xf numFmtId="167" fontId="5" fillId="2" borderId="4" xfId="0" applyNumberFormat="1" applyFont="1" applyFill="1" applyBorder="1" applyAlignment="1">
      <alignment vertical="center"/>
    </xf>
    <xf numFmtId="0" fontId="5" fillId="2" borderId="2" xfId="0" applyFont="1" applyFill="1" applyBorder="1" applyAlignment="1">
      <alignment horizontal="center" vertical="center"/>
    </xf>
    <xf numFmtId="1" fontId="5" fillId="2" borderId="1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165" fontId="5" fillId="2" borderId="0" xfId="0" applyNumberFormat="1" applyFont="1" applyFill="1" applyAlignment="1">
      <alignment vertical="center"/>
    </xf>
    <xf numFmtId="0" fontId="5" fillId="0" borderId="0" xfId="0" applyFont="1" applyAlignment="1" applyProtection="1">
      <alignment horizontal="center" vertical="center"/>
      <protection locked="0"/>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1" fontId="5" fillId="2" borderId="3" xfId="0" applyNumberFormat="1" applyFont="1" applyFill="1" applyBorder="1" applyAlignment="1">
      <alignment horizontal="center" vertical="center"/>
    </xf>
    <xf numFmtId="0" fontId="5" fillId="4" borderId="3" xfId="0" applyFont="1" applyFill="1" applyBorder="1" applyAlignment="1" applyProtection="1">
      <alignment horizontal="center" vertical="center"/>
      <protection locked="0"/>
    </xf>
    <xf numFmtId="170" fontId="5" fillId="4" borderId="3" xfId="1"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70" fontId="5" fillId="4" borderId="1" xfId="1"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3" fontId="5" fillId="7" borderId="1" xfId="0" applyNumberFormat="1" applyFont="1" applyFill="1" applyBorder="1" applyAlignment="1">
      <alignment horizontal="right" vertical="center"/>
    </xf>
    <xf numFmtId="37" fontId="4" fillId="2" borderId="1" xfId="0" applyNumberFormat="1" applyFont="1" applyFill="1" applyBorder="1" applyAlignment="1">
      <alignment horizontal="center" vertical="center"/>
    </xf>
    <xf numFmtId="0" fontId="5" fillId="2" borderId="1" xfId="0" applyFont="1" applyFill="1" applyBorder="1" applyAlignment="1">
      <alignment horizontal="right" vertical="center"/>
    </xf>
    <xf numFmtId="0" fontId="5" fillId="4" borderId="1" xfId="0" applyFont="1" applyFill="1" applyBorder="1" applyAlignment="1" applyProtection="1">
      <alignment horizontal="right" vertical="center"/>
      <protection locked="0"/>
    </xf>
    <xf numFmtId="0" fontId="5" fillId="2" borderId="4" xfId="0" applyFont="1" applyFill="1" applyBorder="1" applyAlignment="1">
      <alignment horizontal="fill" vertical="center"/>
    </xf>
    <xf numFmtId="0" fontId="5" fillId="2" borderId="16" xfId="0" applyFont="1" applyFill="1" applyBorder="1" applyAlignment="1">
      <alignment horizontal="centerContinuous" vertical="center"/>
    </xf>
    <xf numFmtId="0" fontId="5" fillId="2" borderId="14" xfId="0" applyFont="1" applyFill="1" applyBorder="1" applyAlignment="1">
      <alignment horizontal="centerContinuous" vertical="center"/>
    </xf>
    <xf numFmtId="0" fontId="5" fillId="2" borderId="13" xfId="0" applyFont="1" applyFill="1" applyBorder="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center" vertical="center"/>
    </xf>
    <xf numFmtId="2" fontId="5" fillId="2" borderId="1" xfId="0" applyNumberFormat="1" applyFont="1" applyFill="1" applyBorder="1" applyAlignment="1">
      <alignment vertical="center"/>
    </xf>
    <xf numFmtId="0" fontId="5" fillId="3" borderId="1" xfId="0" applyFon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pplyProtection="1">
      <alignment horizontal="center" vertical="center"/>
      <protection locked="0"/>
    </xf>
    <xf numFmtId="37" fontId="5" fillId="3" borderId="1" xfId="0" applyNumberFormat="1" applyFont="1" applyFill="1" applyBorder="1" applyAlignment="1" applyProtection="1">
      <alignment horizontal="center" vertical="center"/>
      <protection locked="0"/>
    </xf>
    <xf numFmtId="169" fontId="5" fillId="3" borderId="1" xfId="0" applyNumberFormat="1" applyFont="1" applyFill="1" applyBorder="1" applyAlignment="1" applyProtection="1">
      <alignment horizontal="center" vertical="center"/>
      <protection locked="0"/>
    </xf>
    <xf numFmtId="168"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37" fontId="4" fillId="7" borderId="1" xfId="0" applyNumberFormat="1" applyFont="1" applyFill="1" applyBorder="1" applyAlignment="1">
      <alignment horizontal="center" vertical="center"/>
    </xf>
    <xf numFmtId="169" fontId="4" fillId="2"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fill" vertical="center"/>
      <protection locked="0"/>
    </xf>
    <xf numFmtId="0" fontId="5" fillId="0" borderId="9" xfId="0" applyFont="1" applyBorder="1" applyAlignment="1" applyProtection="1">
      <alignment vertical="center"/>
      <protection locked="0"/>
    </xf>
    <xf numFmtId="0" fontId="7" fillId="2" borderId="3" xfId="0" applyFont="1" applyFill="1" applyBorder="1" applyAlignment="1">
      <alignment horizontal="center" vertical="center"/>
    </xf>
    <xf numFmtId="14" fontId="5" fillId="3"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lignment horizontal="center" vertical="center"/>
    </xf>
    <xf numFmtId="3" fontId="4" fillId="7" borderId="17" xfId="0" applyNumberFormat="1" applyFont="1" applyFill="1" applyBorder="1" applyAlignment="1">
      <alignment horizontal="center" vertical="center"/>
    </xf>
    <xf numFmtId="37" fontId="5" fillId="2" borderId="0" xfId="0" applyNumberFormat="1" applyFont="1" applyFill="1" applyAlignment="1">
      <alignment horizontal="fill" vertical="center"/>
    </xf>
    <xf numFmtId="3" fontId="5" fillId="2" borderId="10" xfId="1" applyNumberFormat="1" applyFont="1" applyFill="1" applyBorder="1" applyAlignment="1" applyProtection="1">
      <alignment horizontal="right" vertical="center"/>
    </xf>
    <xf numFmtId="37" fontId="5" fillId="2" borderId="15" xfId="0" applyNumberFormat="1" applyFont="1" applyFill="1" applyBorder="1" applyAlignment="1">
      <alignment horizontal="left" vertical="center"/>
    </xf>
    <xf numFmtId="3" fontId="5" fillId="2" borderId="11" xfId="1" applyNumberFormat="1" applyFont="1" applyFill="1" applyBorder="1" applyAlignment="1" applyProtection="1">
      <alignment horizontal="right" vertical="center"/>
    </xf>
    <xf numFmtId="3" fontId="5" fillId="2" borderId="11" xfId="0" applyNumberFormat="1" applyFont="1" applyFill="1" applyBorder="1" applyAlignment="1">
      <alignment horizontal="fill" vertical="center"/>
    </xf>
    <xf numFmtId="3" fontId="5" fillId="3" borderId="11" xfId="0" applyNumberFormat="1" applyFont="1" applyFill="1" applyBorder="1" applyAlignment="1" applyProtection="1">
      <alignment horizontal="right" vertical="center"/>
      <protection locked="0"/>
    </xf>
    <xf numFmtId="3" fontId="5" fillId="2" borderId="11" xfId="0" applyNumberFormat="1" applyFont="1" applyFill="1" applyBorder="1" applyAlignment="1">
      <alignment horizontal="right" vertical="center"/>
    </xf>
    <xf numFmtId="0" fontId="5" fillId="2" borderId="6" xfId="0" applyFont="1" applyFill="1" applyBorder="1" applyAlignment="1">
      <alignment horizontal="left" vertical="center"/>
    </xf>
    <xf numFmtId="0" fontId="5" fillId="3" borderId="6" xfId="0" applyFont="1" applyFill="1" applyBorder="1" applyAlignment="1" applyProtection="1">
      <alignment horizontal="left" vertical="center"/>
      <protection locked="0"/>
    </xf>
    <xf numFmtId="3" fontId="5" fillId="4" borderId="11" xfId="0" applyNumberFormat="1" applyFont="1" applyFill="1" applyBorder="1" applyAlignment="1" applyProtection="1">
      <alignment horizontal="right" vertical="center"/>
      <protection locked="0"/>
    </xf>
    <xf numFmtId="0" fontId="5" fillId="3" borderId="16" xfId="0" applyFont="1" applyFill="1" applyBorder="1" applyAlignment="1" applyProtection="1">
      <alignment horizontal="left" vertical="center"/>
      <protection locked="0"/>
    </xf>
    <xf numFmtId="3" fontId="5" fillId="3" borderId="10" xfId="0" applyNumberFormat="1" applyFont="1" applyFill="1" applyBorder="1" applyAlignment="1" applyProtection="1">
      <alignment horizontal="right" vertical="center"/>
      <protection locked="0"/>
    </xf>
    <xf numFmtId="3" fontId="14" fillId="8" borderId="11" xfId="0" applyNumberFormat="1" applyFont="1" applyFill="1" applyBorder="1" applyAlignment="1">
      <alignment horizontal="center" vertical="center"/>
    </xf>
    <xf numFmtId="37" fontId="4" fillId="2" borderId="6" xfId="0" applyNumberFormat="1" applyFont="1" applyFill="1" applyBorder="1" applyAlignment="1">
      <alignment horizontal="left" vertical="center"/>
    </xf>
    <xf numFmtId="3" fontId="4" fillId="7" borderId="10" xfId="0" applyNumberFormat="1" applyFont="1" applyFill="1" applyBorder="1" applyAlignment="1">
      <alignment horizontal="right" vertical="center"/>
    </xf>
    <xf numFmtId="3" fontId="4" fillId="7" borderId="11" xfId="0" applyNumberFormat="1" applyFont="1" applyFill="1" applyBorder="1" applyAlignment="1">
      <alignment horizontal="right" vertical="center"/>
    </xf>
    <xf numFmtId="0" fontId="5" fillId="3" borderId="6" xfId="0" applyFont="1" applyFill="1" applyBorder="1" applyAlignment="1" applyProtection="1">
      <alignment vertical="center"/>
      <protection locked="0"/>
    </xf>
    <xf numFmtId="0" fontId="14" fillId="0" borderId="0" xfId="0" applyFont="1" applyAlignment="1">
      <alignment vertical="center"/>
    </xf>
    <xf numFmtId="0" fontId="11" fillId="2" borderId="0" xfId="0" applyFont="1" applyFill="1" applyAlignment="1">
      <alignment horizontal="center" vertical="center"/>
    </xf>
    <xf numFmtId="2" fontId="5" fillId="2" borderId="0" xfId="0" applyNumberFormat="1" applyFont="1" applyFill="1" applyAlignment="1" applyProtection="1">
      <alignment horizontal="right" vertical="center"/>
      <protection locked="0"/>
    </xf>
    <xf numFmtId="0" fontId="5" fillId="4" borderId="0" xfId="0" applyFont="1" applyFill="1" applyAlignment="1" applyProtection="1">
      <alignment horizontal="left" vertical="center"/>
      <protection locked="0"/>
    </xf>
    <xf numFmtId="0" fontId="13" fillId="2" borderId="2" xfId="0" applyFont="1" applyFill="1" applyBorder="1" applyAlignment="1">
      <alignment vertical="center"/>
    </xf>
    <xf numFmtId="0" fontId="13" fillId="2" borderId="11" xfId="0" applyFont="1" applyFill="1" applyBorder="1" applyAlignment="1">
      <alignment horizontal="center" vertical="center"/>
    </xf>
    <xf numFmtId="0" fontId="13" fillId="2" borderId="14" xfId="0" applyFont="1" applyFill="1" applyBorder="1" applyAlignment="1">
      <alignment vertical="center"/>
    </xf>
    <xf numFmtId="0" fontId="13"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13" fillId="2" borderId="15" xfId="0" applyFont="1" applyFill="1" applyBorder="1" applyAlignment="1">
      <alignment vertical="center"/>
    </xf>
    <xf numFmtId="3" fontId="13" fillId="4" borderId="1" xfId="0" applyNumberFormat="1" applyFont="1" applyFill="1" applyBorder="1" applyAlignment="1" applyProtection="1">
      <alignment horizontal="center" vertical="center"/>
      <protection locked="0"/>
    </xf>
    <xf numFmtId="0" fontId="13" fillId="2" borderId="4" xfId="0" applyFont="1" applyFill="1" applyBorder="1" applyAlignment="1">
      <alignment vertical="center"/>
    </xf>
    <xf numFmtId="3" fontId="13" fillId="7" borderId="1" xfId="0" applyNumberFormat="1" applyFont="1" applyFill="1" applyBorder="1" applyAlignment="1">
      <alignment horizontal="center" vertical="center"/>
    </xf>
    <xf numFmtId="0" fontId="13" fillId="2" borderId="0" xfId="0" applyFont="1" applyFill="1" applyAlignment="1">
      <alignment vertical="center"/>
    </xf>
    <xf numFmtId="3" fontId="13" fillId="2" borderId="0" xfId="0" applyNumberFormat="1" applyFont="1" applyFill="1" applyAlignment="1">
      <alignment horizontal="center" vertical="center"/>
    </xf>
    <xf numFmtId="0" fontId="13" fillId="2" borderId="0" xfId="0" applyFont="1" applyFill="1" applyAlignment="1">
      <alignment horizontal="center" vertical="center"/>
    </xf>
    <xf numFmtId="0" fontId="13" fillId="4" borderId="1" xfId="0" applyFont="1" applyFill="1" applyBorder="1" applyAlignment="1" applyProtection="1">
      <alignment vertical="center"/>
      <protection locked="0"/>
    </xf>
    <xf numFmtId="0" fontId="13" fillId="4" borderId="14" xfId="0" applyFont="1" applyFill="1" applyBorder="1" applyAlignment="1" applyProtection="1">
      <alignment vertical="center"/>
      <protection locked="0"/>
    </xf>
    <xf numFmtId="3" fontId="13" fillId="4" borderId="14" xfId="0" applyNumberFormat="1" applyFont="1" applyFill="1" applyBorder="1" applyAlignment="1" applyProtection="1">
      <alignment horizontal="center" vertical="center"/>
      <protection locked="0"/>
    </xf>
    <xf numFmtId="0" fontId="13" fillId="4" borderId="0" xfId="0" applyFont="1" applyFill="1" applyAlignment="1" applyProtection="1">
      <alignment vertical="center"/>
      <protection locked="0"/>
    </xf>
    <xf numFmtId="3" fontId="13" fillId="4" borderId="10" xfId="0" applyNumberFormat="1" applyFont="1" applyFill="1" applyBorder="1" applyAlignment="1" applyProtection="1">
      <alignment horizontal="center" vertical="center"/>
      <protection locked="0"/>
    </xf>
    <xf numFmtId="3" fontId="13" fillId="4" borderId="11" xfId="0" applyNumberFormat="1" applyFont="1" applyFill="1" applyBorder="1" applyAlignment="1" applyProtection="1">
      <alignment horizontal="center" vertical="center"/>
      <protection locked="0"/>
    </xf>
    <xf numFmtId="0" fontId="13" fillId="4" borderId="11" xfId="0" applyFont="1" applyFill="1" applyBorder="1" applyAlignment="1" applyProtection="1">
      <alignment vertical="center"/>
      <protection locked="0"/>
    </xf>
    <xf numFmtId="0" fontId="13" fillId="4" borderId="3" xfId="0" applyFont="1" applyFill="1" applyBorder="1" applyAlignment="1" applyProtection="1">
      <alignment vertical="center"/>
      <protection locked="0"/>
    </xf>
    <xf numFmtId="3" fontId="13" fillId="4" borderId="7" xfId="0" applyNumberFormat="1" applyFont="1" applyFill="1" applyBorder="1" applyAlignment="1" applyProtection="1">
      <alignment horizontal="center" vertical="center"/>
      <protection locked="0"/>
    </xf>
    <xf numFmtId="0" fontId="13" fillId="4" borderId="7" xfId="0" applyFont="1" applyFill="1" applyBorder="1" applyAlignment="1" applyProtection="1">
      <alignment vertical="center"/>
      <protection locked="0"/>
    </xf>
    <xf numFmtId="3" fontId="13" fillId="7" borderId="3" xfId="0" applyNumberFormat="1" applyFont="1" applyFill="1" applyBorder="1" applyAlignment="1">
      <alignment horizontal="center" vertical="center"/>
    </xf>
    <xf numFmtId="3" fontId="13" fillId="9" borderId="1" xfId="0" applyNumberFormat="1" applyFont="1" applyFill="1" applyBorder="1" applyAlignment="1">
      <alignment horizontal="center" vertical="center"/>
    </xf>
    <xf numFmtId="3" fontId="18" fillId="9" borderId="0" xfId="0" applyNumberFormat="1" applyFont="1" applyFill="1" applyAlignment="1">
      <alignment horizontal="center" vertical="center"/>
    </xf>
    <xf numFmtId="3" fontId="5" fillId="0" borderId="0" xfId="0" applyNumberFormat="1" applyFont="1" applyAlignment="1">
      <alignment vertical="center"/>
    </xf>
    <xf numFmtId="165" fontId="5" fillId="2" borderId="4" xfId="0" applyNumberFormat="1" applyFont="1" applyFill="1" applyBorder="1" applyAlignment="1">
      <alignment vertical="center"/>
    </xf>
    <xf numFmtId="37" fontId="5" fillId="2" borderId="4" xfId="0" quotePrefix="1" applyNumberFormat="1" applyFont="1" applyFill="1" applyBorder="1" applyAlignment="1">
      <alignment horizontal="right" vertical="center"/>
    </xf>
    <xf numFmtId="3" fontId="5" fillId="3" borderId="11" xfId="0" applyNumberFormat="1" applyFont="1" applyFill="1" applyBorder="1" applyAlignment="1" applyProtection="1">
      <alignment vertical="center"/>
      <protection locked="0"/>
    </xf>
    <xf numFmtId="37" fontId="5" fillId="3" borderId="1" xfId="0" applyNumberFormat="1"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37" fontId="5" fillId="3" borderId="6" xfId="0" applyNumberFormat="1" applyFont="1" applyFill="1" applyBorder="1" applyAlignment="1" applyProtection="1">
      <alignment horizontal="left" vertical="center"/>
      <protection locked="0"/>
    </xf>
    <xf numFmtId="3" fontId="14" fillId="9" borderId="11" xfId="0" applyNumberFormat="1" applyFont="1" applyFill="1" applyBorder="1" applyAlignment="1">
      <alignment horizontal="center" vertical="center"/>
    </xf>
    <xf numFmtId="37" fontId="4" fillId="7" borderId="1" xfId="0" applyNumberFormat="1" applyFont="1" applyFill="1" applyBorder="1" applyAlignment="1">
      <alignment vertical="center"/>
    </xf>
    <xf numFmtId="3" fontId="4" fillId="7" borderId="1" xfId="0" applyNumberFormat="1" applyFont="1" applyFill="1" applyBorder="1" applyAlignment="1">
      <alignment vertical="center"/>
    </xf>
    <xf numFmtId="37" fontId="5" fillId="2" borderId="6" xfId="0" applyNumberFormat="1" applyFont="1" applyFill="1" applyBorder="1" applyAlignment="1" applyProtection="1">
      <alignment horizontal="left" vertical="center"/>
      <protection locked="0"/>
    </xf>
    <xf numFmtId="3" fontId="5" fillId="2" borderId="0" xfId="0" applyNumberFormat="1" applyFont="1" applyFill="1" applyAlignment="1">
      <alignment horizontal="fill" vertical="center"/>
    </xf>
    <xf numFmtId="0" fontId="5" fillId="2" borderId="6" xfId="0" applyFont="1" applyFill="1" applyBorder="1" applyAlignment="1" applyProtection="1">
      <alignment vertical="center"/>
      <protection locked="0"/>
    </xf>
    <xf numFmtId="0" fontId="4" fillId="2" borderId="4" xfId="0" applyFont="1" applyFill="1" applyBorder="1" applyAlignment="1">
      <alignment vertical="center"/>
    </xf>
    <xf numFmtId="3" fontId="5" fillId="2" borderId="1" xfId="0" applyNumberFormat="1" applyFont="1" applyFill="1" applyBorder="1" applyAlignment="1">
      <alignment horizontal="fill" vertical="center"/>
    </xf>
    <xf numFmtId="3" fontId="4" fillId="2" borderId="1" xfId="0" applyNumberFormat="1" applyFont="1" applyFill="1" applyBorder="1" applyAlignment="1">
      <alignment vertical="center"/>
    </xf>
    <xf numFmtId="0" fontId="5" fillId="2" borderId="0" xfId="0" applyFont="1" applyFill="1" applyAlignment="1">
      <alignment horizontal="fill" vertical="center"/>
    </xf>
    <xf numFmtId="0" fontId="5" fillId="4"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37" fontId="4" fillId="7" borderId="5" xfId="0" applyNumberFormat="1" applyFont="1" applyFill="1" applyBorder="1" applyAlignment="1">
      <alignment vertical="center"/>
    </xf>
    <xf numFmtId="0" fontId="22" fillId="0" borderId="0" xfId="0" applyFont="1" applyAlignment="1">
      <alignment horizontal="center"/>
    </xf>
    <xf numFmtId="0" fontId="2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vertical="center" wrapText="1"/>
    </xf>
    <xf numFmtId="0" fontId="7" fillId="0" borderId="0" xfId="0" applyFont="1" applyAlignment="1">
      <alignment vertical="center"/>
    </xf>
    <xf numFmtId="0" fontId="20" fillId="0" borderId="0" xfId="0" applyFont="1" applyAlignment="1">
      <alignment vertical="center" wrapText="1"/>
    </xf>
    <xf numFmtId="0" fontId="26" fillId="0" borderId="0" xfId="0" applyFont="1" applyAlignment="1">
      <alignment vertical="center"/>
    </xf>
    <xf numFmtId="0" fontId="5" fillId="4" borderId="8" xfId="0" applyFont="1" applyFill="1" applyBorder="1" applyAlignment="1" applyProtection="1">
      <alignment vertical="center"/>
      <protection locked="0"/>
    </xf>
    <xf numFmtId="0" fontId="28" fillId="0" borderId="0" xfId="478"/>
    <xf numFmtId="0" fontId="5" fillId="0" borderId="0" xfId="478" applyFont="1" applyAlignment="1">
      <alignment horizontal="left" vertical="center"/>
    </xf>
    <xf numFmtId="0" fontId="29" fillId="0" borderId="0" xfId="0" applyFont="1"/>
    <xf numFmtId="0" fontId="2" fillId="0" borderId="0" xfId="0" applyFont="1"/>
    <xf numFmtId="0" fontId="12" fillId="0" borderId="0" xfId="0" applyFont="1" applyAlignment="1">
      <alignment horizontal="center"/>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0" applyFont="1" applyFill="1" applyAlignment="1" applyProtection="1">
      <alignment horizontal="left" vertical="center"/>
      <protection locked="0"/>
    </xf>
    <xf numFmtId="0" fontId="31" fillId="2" borderId="0" xfId="0" applyFont="1" applyFill="1" applyAlignment="1" applyProtection="1">
      <alignment horizontal="right" vertical="center"/>
      <protection locked="0"/>
    </xf>
    <xf numFmtId="173" fontId="5" fillId="3" borderId="1" xfId="0" applyNumberFormat="1" applyFont="1" applyFill="1" applyBorder="1" applyAlignment="1" applyProtection="1">
      <alignment horizontal="center" vertical="center"/>
      <protection locked="0"/>
    </xf>
    <xf numFmtId="0" fontId="5" fillId="3" borderId="6" xfId="118" applyFont="1" applyFill="1" applyBorder="1" applyProtection="1">
      <protection locked="0"/>
    </xf>
    <xf numFmtId="0" fontId="5" fillId="3" borderId="6" xfId="390" applyFont="1" applyFill="1" applyBorder="1" applyProtection="1">
      <protection locked="0"/>
    </xf>
    <xf numFmtId="3" fontId="5" fillId="3" borderId="1" xfId="393" applyNumberFormat="1" applyFont="1" applyFill="1" applyBorder="1" applyProtection="1">
      <protection locked="0"/>
    </xf>
    <xf numFmtId="0" fontId="5" fillId="3" borderId="6" xfId="396" applyFont="1" applyFill="1" applyBorder="1" applyProtection="1">
      <protection locked="0"/>
    </xf>
    <xf numFmtId="3" fontId="5" fillId="3" borderId="1" xfId="399" applyNumberFormat="1" applyFont="1" applyFill="1" applyBorder="1" applyProtection="1">
      <protection locked="0"/>
    </xf>
    <xf numFmtId="164" fontId="5" fillId="3" borderId="1" xfId="0" applyNumberFormat="1" applyFont="1" applyFill="1" applyBorder="1" applyProtection="1">
      <protection locked="0"/>
    </xf>
    <xf numFmtId="3" fontId="5" fillId="7" borderId="6" xfId="0" applyNumberFormat="1" applyFont="1" applyFill="1" applyBorder="1" applyAlignment="1">
      <alignment horizontal="right" vertical="center"/>
    </xf>
    <xf numFmtId="3" fontId="14" fillId="8" borderId="6" xfId="0" applyNumberFormat="1" applyFont="1" applyFill="1" applyBorder="1" applyAlignment="1">
      <alignment horizontal="center" vertical="center"/>
    </xf>
    <xf numFmtId="3" fontId="5" fillId="4" borderId="2" xfId="0" applyNumberFormat="1" applyFont="1" applyFill="1" applyBorder="1" applyAlignment="1" applyProtection="1">
      <alignment horizontal="center"/>
      <protection locked="0"/>
    </xf>
    <xf numFmtId="3" fontId="5" fillId="0" borderId="0" xfId="0" applyNumberFormat="1" applyFont="1" applyAlignment="1" applyProtection="1">
      <alignment horizontal="center" vertical="center"/>
      <protection locked="0"/>
    </xf>
    <xf numFmtId="3" fontId="4" fillId="7" borderId="6" xfId="0" applyNumberFormat="1" applyFont="1" applyFill="1" applyBorder="1" applyAlignment="1">
      <alignment horizontal="right" vertical="center"/>
    </xf>
    <xf numFmtId="3" fontId="5" fillId="3" borderId="6" xfId="0" applyNumberFormat="1" applyFont="1" applyFill="1" applyBorder="1" applyAlignment="1" applyProtection="1">
      <alignment horizontal="right" vertical="center"/>
      <protection locked="0"/>
    </xf>
    <xf numFmtId="3" fontId="5" fillId="2" borderId="6" xfId="0" applyNumberFormat="1" applyFont="1" applyFill="1" applyBorder="1" applyAlignment="1">
      <alignment horizontal="right" vertical="center"/>
    </xf>
    <xf numFmtId="3" fontId="5" fillId="3" borderId="16" xfId="0" applyNumberFormat="1" applyFont="1" applyFill="1" applyBorder="1" applyAlignment="1" applyProtection="1">
      <alignment horizontal="right" vertical="center"/>
      <protection locked="0"/>
    </xf>
    <xf numFmtId="3" fontId="5" fillId="2" borderId="16"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protection locked="0"/>
    </xf>
    <xf numFmtId="3" fontId="14" fillId="8" borderId="1" xfId="0" applyNumberFormat="1" applyFont="1" applyFill="1" applyBorder="1" applyAlignment="1">
      <alignment horizontal="center" vertical="center"/>
    </xf>
    <xf numFmtId="3" fontId="4" fillId="7"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42" fillId="2" borderId="0" xfId="0" applyFont="1" applyFill="1" applyAlignment="1">
      <alignment horizontal="center" vertical="center"/>
    </xf>
    <xf numFmtId="0" fontId="3" fillId="5" borderId="3" xfId="0" applyFont="1" applyFill="1" applyBorder="1" applyAlignment="1">
      <alignment horizontal="center" vertical="center" shrinkToFit="1"/>
    </xf>
    <xf numFmtId="37" fontId="5" fillId="2" borderId="6" xfId="0" applyNumberFormat="1" applyFont="1" applyFill="1" applyBorder="1" applyAlignment="1">
      <alignment horizontal="fill" vertical="center"/>
    </xf>
    <xf numFmtId="3" fontId="5" fillId="3"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2" borderId="1" xfId="1" applyNumberFormat="1" applyFont="1" applyFill="1" applyBorder="1" applyAlignment="1" applyProtection="1">
      <alignment horizontal="right" vertical="center"/>
    </xf>
    <xf numFmtId="0" fontId="5" fillId="3" borderId="6" xfId="61" applyFont="1" applyFill="1" applyBorder="1" applyAlignment="1" applyProtection="1">
      <alignment horizontal="left" vertical="center"/>
      <protection locked="0"/>
    </xf>
    <xf numFmtId="37" fontId="5" fillId="4" borderId="6" xfId="0" applyNumberFormat="1" applyFont="1" applyFill="1" applyBorder="1" applyAlignment="1" applyProtection="1">
      <alignment horizontal="right" vertical="center"/>
      <protection locked="0"/>
    </xf>
    <xf numFmtId="3" fontId="14" fillId="9" borderId="6" xfId="0" applyNumberFormat="1" applyFont="1" applyFill="1" applyBorder="1" applyAlignment="1">
      <alignment horizontal="center" vertical="center"/>
    </xf>
    <xf numFmtId="3" fontId="4" fillId="7" borderId="6" xfId="0" applyNumberFormat="1" applyFont="1" applyFill="1" applyBorder="1" applyAlignment="1">
      <alignment vertical="center"/>
    </xf>
    <xf numFmtId="3" fontId="5" fillId="2" borderId="6" xfId="0" applyNumberFormat="1" applyFont="1" applyFill="1" applyBorder="1" applyAlignment="1">
      <alignment vertical="center"/>
    </xf>
    <xf numFmtId="37" fontId="5" fillId="4" borderId="6" xfId="0" applyNumberFormat="1" applyFont="1" applyFill="1" applyBorder="1" applyAlignment="1" applyProtection="1">
      <alignment vertical="center"/>
      <protection locked="0"/>
    </xf>
    <xf numFmtId="3" fontId="5" fillId="3" borderId="6" xfId="0" applyNumberFormat="1" applyFont="1" applyFill="1" applyBorder="1" applyAlignment="1" applyProtection="1">
      <alignment vertical="center"/>
      <protection locked="0"/>
    </xf>
    <xf numFmtId="3" fontId="4" fillId="2" borderId="6" xfId="0" applyNumberFormat="1" applyFont="1" applyFill="1" applyBorder="1" applyAlignment="1">
      <alignment vertical="center"/>
    </xf>
    <xf numFmtId="3" fontId="5" fillId="7" borderId="6" xfId="0" applyNumberFormat="1" applyFont="1" applyFill="1" applyBorder="1" applyAlignment="1">
      <alignment vertical="center"/>
    </xf>
    <xf numFmtId="3" fontId="14" fillId="9" borderId="6" xfId="0" applyNumberFormat="1" applyFont="1" applyFill="1" applyBorder="1" applyAlignment="1">
      <alignment horizontal="right" vertical="center"/>
    </xf>
    <xf numFmtId="37" fontId="4" fillId="2" borderId="4" xfId="0" applyNumberFormat="1" applyFont="1" applyFill="1" applyBorder="1" applyAlignment="1">
      <alignment vertical="center"/>
    </xf>
    <xf numFmtId="37" fontId="4" fillId="2" borderId="0" xfId="0" applyNumberFormat="1" applyFont="1" applyFill="1" applyAlignment="1">
      <alignment vertical="center"/>
    </xf>
    <xf numFmtId="3" fontId="14" fillId="9" borderId="1" xfId="0" applyNumberFormat="1" applyFont="1" applyFill="1" applyBorder="1" applyAlignment="1">
      <alignment horizontal="center" vertical="center"/>
    </xf>
    <xf numFmtId="0" fontId="42" fillId="0" borderId="0" xfId="61" applyFont="1" applyAlignment="1" applyProtection="1">
      <alignment vertical="center"/>
      <protection locked="0"/>
    </xf>
    <xf numFmtId="0" fontId="42" fillId="0" borderId="0" xfId="0" applyFont="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0" fontId="42" fillId="0" borderId="0" xfId="0" applyFont="1" applyProtection="1">
      <protection locked="0"/>
    </xf>
    <xf numFmtId="0" fontId="5" fillId="12" borderId="0" xfId="0" applyFont="1" applyFill="1" applyAlignment="1">
      <alignment vertical="center"/>
    </xf>
    <xf numFmtId="37" fontId="5" fillId="12" borderId="0" xfId="0" applyNumberFormat="1" applyFont="1" applyFill="1" applyAlignment="1">
      <alignment horizontal="left" vertical="center"/>
    </xf>
    <xf numFmtId="37" fontId="5" fillId="12" borderId="0" xfId="0" applyNumberFormat="1" applyFont="1" applyFill="1" applyAlignment="1">
      <alignment vertical="center"/>
    </xf>
    <xf numFmtId="0" fontId="0" fillId="12" borderId="0" xfId="0" applyFill="1" applyAlignment="1">
      <alignment vertical="center"/>
    </xf>
    <xf numFmtId="0" fontId="14" fillId="12" borderId="0" xfId="0" applyFont="1" applyFill="1" applyAlignment="1">
      <alignment horizontal="center" vertical="center"/>
    </xf>
    <xf numFmtId="0" fontId="33" fillId="0" borderId="0" xfId="0" applyFont="1" applyAlignment="1">
      <alignment vertical="center"/>
    </xf>
    <xf numFmtId="174" fontId="5" fillId="0" borderId="0" xfId="0" applyNumberFormat="1" applyFont="1" applyAlignment="1" applyProtection="1">
      <alignment vertical="center"/>
      <protection locked="0"/>
    </xf>
    <xf numFmtId="3" fontId="5" fillId="0" borderId="0" xfId="0" applyNumberFormat="1" applyFont="1" applyAlignment="1" applyProtection="1">
      <alignment horizontal="left" vertical="center"/>
      <protection locked="0"/>
    </xf>
    <xf numFmtId="174" fontId="3" fillId="13" borderId="1" xfId="0" applyNumberFormat="1" applyFont="1" applyFill="1" applyBorder="1" applyAlignment="1" applyProtection="1">
      <alignment horizontal="center" vertical="center"/>
      <protection locked="0"/>
    </xf>
    <xf numFmtId="0" fontId="5" fillId="12" borderId="9" xfId="0" applyFont="1" applyFill="1" applyBorder="1" applyAlignment="1">
      <alignment vertical="center"/>
    </xf>
    <xf numFmtId="0" fontId="5" fillId="12" borderId="7" xfId="0" applyFont="1" applyFill="1" applyBorder="1" applyAlignment="1">
      <alignment vertical="center"/>
    </xf>
    <xf numFmtId="174" fontId="3" fillId="12" borderId="9" xfId="0" applyNumberFormat="1" applyFont="1" applyFill="1" applyBorder="1" applyAlignment="1">
      <alignment horizontal="center" vertical="center"/>
    </xf>
    <xf numFmtId="0" fontId="3" fillId="12" borderId="0" xfId="0" applyFont="1" applyFill="1" applyAlignment="1">
      <alignment horizontal="left" vertical="center"/>
    </xf>
    <xf numFmtId="0" fontId="3" fillId="12" borderId="7" xfId="0" applyFont="1" applyFill="1" applyBorder="1" applyAlignment="1">
      <alignment vertical="center"/>
    </xf>
    <xf numFmtId="0" fontId="3" fillId="12" borderId="0" xfId="0" applyFont="1" applyFill="1" applyAlignment="1">
      <alignment vertical="center"/>
    </xf>
    <xf numFmtId="174" fontId="3" fillId="12" borderId="15" xfId="0" applyNumberFormat="1" applyFont="1" applyFill="1" applyBorder="1" applyAlignment="1">
      <alignment horizontal="center" vertical="center"/>
    </xf>
    <xf numFmtId="174" fontId="3" fillId="12" borderId="9" xfId="0" applyNumberFormat="1" applyFont="1" applyFill="1" applyBorder="1" applyAlignment="1">
      <alignment vertical="center"/>
    </xf>
    <xf numFmtId="0" fontId="35" fillId="14" borderId="4" xfId="0" applyFont="1" applyFill="1" applyBorder="1" applyAlignment="1">
      <alignment vertical="center"/>
    </xf>
    <xf numFmtId="0" fontId="3" fillId="14" borderId="10" xfId="0" applyFont="1" applyFill="1" applyBorder="1" applyAlignment="1">
      <alignment vertical="center"/>
    </xf>
    <xf numFmtId="0" fontId="5" fillId="14" borderId="10" xfId="0" applyFont="1" applyFill="1" applyBorder="1" applyAlignment="1">
      <alignment vertical="center"/>
    </xf>
    <xf numFmtId="0" fontId="3" fillId="12" borderId="9" xfId="0" applyFont="1" applyFill="1" applyBorder="1" applyAlignment="1">
      <alignment horizontal="left" vertical="center"/>
    </xf>
    <xf numFmtId="174" fontId="35" fillId="14" borderId="15" xfId="0" applyNumberFormat="1" applyFont="1" applyFill="1" applyBorder="1" applyAlignment="1">
      <alignment horizontal="center" vertical="center"/>
    </xf>
    <xf numFmtId="0" fontId="0" fillId="12" borderId="0" xfId="0" applyFill="1"/>
    <xf numFmtId="49" fontId="5" fillId="12" borderId="0" xfId="0" applyNumberFormat="1" applyFont="1" applyFill="1" applyAlignment="1">
      <alignment horizontal="left"/>
    </xf>
    <xf numFmtId="0" fontId="0" fillId="12" borderId="0" xfId="0" applyFill="1" applyAlignment="1">
      <alignment horizontal="center"/>
    </xf>
    <xf numFmtId="0" fontId="5" fillId="0" borderId="0" xfId="61" applyFont="1" applyAlignment="1">
      <alignment vertical="center" wrapText="1"/>
    </xf>
    <xf numFmtId="0" fontId="36" fillId="0" borderId="0" xfId="0" applyFont="1" applyAlignment="1">
      <alignment vertical="center"/>
    </xf>
    <xf numFmtId="3" fontId="5" fillId="4" borderId="6"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Alignment="1">
      <alignment vertical="center"/>
    </xf>
    <xf numFmtId="174" fontId="3" fillId="0" borderId="0" xfId="0" applyNumberFormat="1" applyFont="1" applyAlignment="1" applyProtection="1">
      <alignment horizontal="center" vertical="center"/>
      <protection locked="0"/>
    </xf>
    <xf numFmtId="171" fontId="3" fillId="0" borderId="0" xfId="0" applyNumberFormat="1" applyFont="1" applyAlignment="1" applyProtection="1">
      <alignment horizontal="center" vertical="center"/>
      <protection locked="0"/>
    </xf>
    <xf numFmtId="0" fontId="43" fillId="0" borderId="0" xfId="0" applyFont="1" applyAlignment="1">
      <alignment wrapText="1"/>
    </xf>
    <xf numFmtId="171" fontId="5" fillId="13" borderId="7" xfId="0" applyNumberFormat="1" applyFont="1" applyFill="1" applyBorder="1" applyAlignment="1" applyProtection="1">
      <alignment horizontal="center"/>
      <protection locked="0"/>
    </xf>
    <xf numFmtId="0" fontId="3" fillId="12" borderId="9" xfId="0" applyFont="1" applyFill="1" applyBorder="1"/>
    <xf numFmtId="0" fontId="5" fillId="12" borderId="0" xfId="0" applyFont="1" applyFill="1"/>
    <xf numFmtId="174" fontId="5" fillId="12" borderId="7" xfId="0" applyNumberFormat="1" applyFont="1" applyFill="1" applyBorder="1" applyAlignment="1">
      <alignment horizontal="center"/>
    </xf>
    <xf numFmtId="0" fontId="5" fillId="12" borderId="15" xfId="0" applyFont="1" applyFill="1" applyBorder="1"/>
    <xf numFmtId="0" fontId="5" fillId="12" borderId="4" xfId="0" applyFont="1" applyFill="1" applyBorder="1"/>
    <xf numFmtId="174" fontId="5" fillId="14" borderId="10" xfId="0" applyNumberFormat="1" applyFont="1" applyFill="1" applyBorder="1" applyAlignment="1">
      <alignment horizontal="center"/>
    </xf>
    <xf numFmtId="0" fontId="5" fillId="12" borderId="9" xfId="0" applyFont="1" applyFill="1" applyBorder="1"/>
    <xf numFmtId="0" fontId="5" fillId="12" borderId="7" xfId="0" applyFont="1" applyFill="1" applyBorder="1"/>
    <xf numFmtId="166" fontId="5" fillId="12" borderId="7" xfId="0" applyNumberFormat="1" applyFont="1" applyFill="1" applyBorder="1" applyAlignment="1">
      <alignment horizontal="center"/>
    </xf>
    <xf numFmtId="0" fontId="5" fillId="14" borderId="9" xfId="0" applyFont="1" applyFill="1" applyBorder="1"/>
    <xf numFmtId="0" fontId="5" fillId="14" borderId="0" xfId="0" applyFont="1" applyFill="1"/>
    <xf numFmtId="0" fontId="5" fillId="14" borderId="15" xfId="0" applyFont="1" applyFill="1" applyBorder="1"/>
    <xf numFmtId="0" fontId="5" fillId="14" borderId="4" xfId="0" applyFont="1" applyFill="1" applyBorder="1"/>
    <xf numFmtId="174" fontId="5" fillId="12" borderId="10" xfId="0" applyNumberFormat="1" applyFont="1" applyFill="1" applyBorder="1" applyAlignment="1">
      <alignment horizontal="center"/>
    </xf>
    <xf numFmtId="0" fontId="3" fillId="12" borderId="9" xfId="0" applyFont="1" applyFill="1" applyBorder="1" applyAlignment="1">
      <alignment vertical="center"/>
    </xf>
    <xf numFmtId="174" fontId="3" fillId="12" borderId="7" xfId="0" applyNumberFormat="1" applyFont="1" applyFill="1" applyBorder="1" applyAlignment="1">
      <alignment horizontal="center" vertical="center"/>
    </xf>
    <xf numFmtId="174" fontId="13" fillId="12" borderId="9" xfId="0" applyNumberFormat="1" applyFont="1" applyFill="1" applyBorder="1" applyAlignment="1">
      <alignment horizontal="center" vertical="center"/>
    </xf>
    <xf numFmtId="0" fontId="13" fillId="12" borderId="0" xfId="0" applyFont="1" applyFill="1" applyAlignment="1">
      <alignment vertical="center"/>
    </xf>
    <xf numFmtId="174" fontId="13" fillId="12" borderId="15" xfId="0" applyNumberFormat="1" applyFont="1" applyFill="1" applyBorder="1" applyAlignment="1">
      <alignment horizontal="center" vertical="center"/>
    </xf>
    <xf numFmtId="174" fontId="13" fillId="12" borderId="9" xfId="0" applyNumberFormat="1" applyFont="1" applyFill="1" applyBorder="1" applyAlignment="1">
      <alignment vertical="center"/>
    </xf>
    <xf numFmtId="0" fontId="25" fillId="0" borderId="0" xfId="0" applyFont="1" applyAlignment="1">
      <alignment wrapText="1"/>
    </xf>
    <xf numFmtId="0" fontId="38" fillId="0" borderId="0" xfId="14" applyFont="1" applyAlignment="1" applyProtection="1"/>
    <xf numFmtId="174" fontId="13" fillId="14" borderId="15" xfId="0" applyNumberFormat="1" applyFont="1" applyFill="1" applyBorder="1" applyAlignment="1">
      <alignment horizontal="center" vertical="center"/>
    </xf>
    <xf numFmtId="0" fontId="13" fillId="14" borderId="4" xfId="0" applyFont="1" applyFill="1" applyBorder="1" applyAlignment="1">
      <alignment vertical="center"/>
    </xf>
    <xf numFmtId="171" fontId="5" fillId="7" borderId="3" xfId="0" applyNumberFormat="1" applyFont="1" applyFill="1" applyBorder="1" applyAlignment="1">
      <alignment horizontal="center" vertical="center"/>
    </xf>
    <xf numFmtId="49" fontId="5" fillId="4" borderId="1"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protection locked="0"/>
    </xf>
    <xf numFmtId="3" fontId="5" fillId="4" borderId="1" xfId="0" applyNumberFormat="1" applyFont="1" applyFill="1" applyBorder="1" applyAlignment="1" applyProtection="1">
      <alignment horizontal="right" vertical="center"/>
      <protection locked="0"/>
    </xf>
    <xf numFmtId="37" fontId="5" fillId="2" borderId="4" xfId="0" applyNumberFormat="1" applyFont="1" applyFill="1" applyBorder="1" applyAlignment="1" applyProtection="1">
      <alignment vertical="center"/>
      <protection locked="0"/>
    </xf>
    <xf numFmtId="174" fontId="5" fillId="14" borderId="7" xfId="0" applyNumberFormat="1" applyFont="1" applyFill="1" applyBorder="1" applyAlignment="1">
      <alignment horizontal="center"/>
    </xf>
    <xf numFmtId="174" fontId="5" fillId="14" borderId="10" xfId="0" applyNumberFormat="1" applyFont="1" applyFill="1" applyBorder="1" applyAlignment="1">
      <alignment horizontal="center" vertical="center"/>
    </xf>
    <xf numFmtId="3" fontId="5" fillId="3" borderId="1" xfId="61" applyNumberFormat="1" applyFont="1" applyFill="1" applyBorder="1" applyAlignment="1" applyProtection="1">
      <alignment horizontal="right"/>
      <protection locked="0"/>
    </xf>
    <xf numFmtId="0" fontId="5" fillId="3" borderId="6" xfId="61" applyFont="1" applyFill="1" applyBorder="1" applyProtection="1">
      <protection locked="0"/>
    </xf>
    <xf numFmtId="0" fontId="5" fillId="0" borderId="0" xfId="479" applyFont="1" applyAlignment="1">
      <alignment horizontal="left" vertical="center"/>
    </xf>
    <xf numFmtId="0" fontId="5" fillId="3" borderId="6" xfId="108" applyFont="1" applyFill="1" applyBorder="1" applyProtection="1">
      <protection locked="0"/>
    </xf>
    <xf numFmtId="3" fontId="5" fillId="3" borderId="11" xfId="61" applyNumberFormat="1" applyFont="1" applyFill="1" applyBorder="1" applyAlignment="1" applyProtection="1">
      <alignment horizontal="right"/>
      <protection locked="0"/>
    </xf>
    <xf numFmtId="49" fontId="5" fillId="0" borderId="0" xfId="478" applyNumberFormat="1" applyFont="1" applyAlignment="1" applyProtection="1">
      <alignment horizontal="left" vertical="center"/>
      <protection locked="0"/>
    </xf>
    <xf numFmtId="0" fontId="0" fillId="0" borderId="0" xfId="0" applyAlignment="1" applyProtection="1">
      <alignment vertical="center"/>
      <protection locked="0"/>
    </xf>
    <xf numFmtId="3" fontId="5" fillId="2" borderId="0" xfId="0" applyNumberFormat="1" applyFont="1" applyFill="1" applyAlignment="1">
      <alignment horizontal="center" vertical="center"/>
    </xf>
    <xf numFmtId="3" fontId="5" fillId="16" borderId="1" xfId="0" applyNumberFormat="1" applyFont="1" applyFill="1" applyBorder="1" applyAlignment="1">
      <alignment vertical="center"/>
    </xf>
    <xf numFmtId="176" fontId="5" fillId="2" borderId="1" xfId="0" applyNumberFormat="1" applyFont="1" applyFill="1" applyBorder="1" applyAlignment="1">
      <alignment horizontal="right" vertical="center"/>
    </xf>
    <xf numFmtId="37" fontId="5" fillId="2" borderId="0" xfId="0" applyNumberFormat="1" applyFont="1" applyFill="1" applyAlignment="1" applyProtection="1">
      <alignment horizontal="centerContinuous" vertical="center"/>
      <protection locked="0"/>
    </xf>
    <xf numFmtId="0" fontId="5" fillId="2" borderId="0" xfId="0" applyFont="1" applyFill="1" applyAlignment="1" applyProtection="1">
      <alignment horizontal="centerContinuous" vertical="center"/>
      <protection locked="0"/>
    </xf>
    <xf numFmtId="174" fontId="35" fillId="14" borderId="11" xfId="0" applyNumberFormat="1" applyFont="1" applyFill="1" applyBorder="1" applyAlignment="1">
      <alignment horizontal="center" vertical="center"/>
    </xf>
    <xf numFmtId="0" fontId="34" fillId="12" borderId="0" xfId="0" applyFont="1" applyFill="1" applyAlignment="1">
      <alignment horizontal="center" vertical="center"/>
    </xf>
    <xf numFmtId="0" fontId="0" fillId="12" borderId="7" xfId="0" applyFill="1" applyBorder="1" applyAlignment="1">
      <alignment vertical="center"/>
    </xf>
    <xf numFmtId="0" fontId="5" fillId="14" borderId="0" xfId="0" applyFont="1" applyFill="1" applyAlignment="1">
      <alignment vertical="center"/>
    </xf>
    <xf numFmtId="0" fontId="3" fillId="14" borderId="0" xfId="0" applyFont="1" applyFill="1" applyAlignment="1">
      <alignment vertical="center"/>
    </xf>
    <xf numFmtId="0" fontId="35" fillId="12" borderId="11" xfId="0" applyFont="1" applyFill="1" applyBorder="1" applyAlignment="1">
      <alignment horizontal="center" vertical="center"/>
    </xf>
    <xf numFmtId="0" fontId="35" fillId="14" borderId="9" xfId="0" applyFont="1" applyFill="1" applyBorder="1" applyAlignment="1">
      <alignment vertical="center"/>
    </xf>
    <xf numFmtId="174" fontId="35" fillId="14" borderId="10" xfId="0" applyNumberFormat="1" applyFont="1" applyFill="1" applyBorder="1" applyAlignment="1" applyProtection="1">
      <alignment horizontal="center" vertical="center"/>
      <protection locked="0"/>
    </xf>
    <xf numFmtId="177" fontId="5" fillId="3" borderId="1" xfId="0" applyNumberFormat="1" applyFont="1" applyFill="1" applyBorder="1" applyAlignment="1" applyProtection="1">
      <alignment vertical="center"/>
      <protection locked="0"/>
    </xf>
    <xf numFmtId="6"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0" fontId="5" fillId="12" borderId="0" xfId="37" applyFont="1" applyFill="1"/>
    <xf numFmtId="0" fontId="2" fillId="0" borderId="0" xfId="37"/>
    <xf numFmtId="0" fontId="5" fillId="12" borderId="0" xfId="37" applyFont="1" applyFill="1" applyAlignment="1">
      <alignment vertical="center"/>
    </xf>
    <xf numFmtId="37" fontId="5" fillId="12" borderId="0" xfId="37" applyNumberFormat="1" applyFont="1" applyFill="1" applyAlignment="1">
      <alignment vertical="center"/>
    </xf>
    <xf numFmtId="0" fontId="5" fillId="12" borderId="4" xfId="37" applyFont="1" applyFill="1" applyBorder="1" applyAlignment="1">
      <alignment vertical="center"/>
    </xf>
    <xf numFmtId="0" fontId="5" fillId="12" borderId="0" xfId="37" applyFont="1" applyFill="1" applyAlignment="1">
      <alignment horizontal="center" vertical="center"/>
    </xf>
    <xf numFmtId="0" fontId="6" fillId="12" borderId="0" xfId="37" applyFont="1" applyFill="1" applyAlignment="1">
      <alignment horizontal="center" vertical="center"/>
    </xf>
    <xf numFmtId="174" fontId="5" fillId="12" borderId="0" xfId="37" applyNumberFormat="1" applyFont="1" applyFill="1" applyAlignment="1">
      <alignment vertical="center"/>
    </xf>
    <xf numFmtId="174" fontId="5" fillId="12" borderId="12" xfId="37" applyNumberFormat="1" applyFont="1" applyFill="1" applyBorder="1" applyAlignment="1">
      <alignment vertical="center"/>
    </xf>
    <xf numFmtId="6" fontId="5" fillId="12" borderId="0" xfId="37" applyNumberFormat="1" applyFont="1" applyFill="1" applyAlignment="1">
      <alignment vertical="center"/>
    </xf>
    <xf numFmtId="0" fontId="44" fillId="14" borderId="0" xfId="37" applyFont="1" applyFill="1" applyAlignment="1">
      <alignment vertical="center"/>
    </xf>
    <xf numFmtId="0" fontId="44" fillId="12" borderId="0" xfId="37" applyFont="1" applyFill="1" applyAlignment="1">
      <alignment horizontal="center" vertical="center"/>
    </xf>
    <xf numFmtId="0" fontId="44" fillId="14" borderId="0" xfId="37" applyFont="1" applyFill="1" applyAlignment="1">
      <alignment horizontal="center" vertical="center"/>
    </xf>
    <xf numFmtId="0" fontId="5" fillId="12" borderId="0" xfId="27" applyFont="1" applyFill="1"/>
    <xf numFmtId="0" fontId="2" fillId="12" borderId="0" xfId="37" applyFill="1"/>
    <xf numFmtId="0" fontId="4" fillId="12" borderId="0" xfId="27" applyFont="1" applyFill="1"/>
    <xf numFmtId="0" fontId="2" fillId="12" borderId="0" xfId="27" applyFill="1"/>
    <xf numFmtId="0" fontId="5" fillId="12" borderId="0" xfId="37" applyFont="1" applyFill="1" applyAlignment="1">
      <alignment horizontal="left" vertical="center"/>
    </xf>
    <xf numFmtId="0" fontId="5" fillId="12" borderId="0" xfId="37" applyFont="1" applyFill="1" applyAlignment="1">
      <alignment horizontal="right" vertical="center"/>
    </xf>
    <xf numFmtId="171" fontId="5" fillId="12" borderId="0" xfId="37" applyNumberFormat="1" applyFont="1" applyFill="1" applyAlignment="1">
      <alignment horizontal="center" vertical="center"/>
    </xf>
    <xf numFmtId="178" fontId="44" fillId="12" borderId="0" xfId="37" applyNumberFormat="1" applyFont="1" applyFill="1" applyAlignment="1">
      <alignment horizontal="center" vertical="center"/>
    </xf>
    <xf numFmtId="0" fontId="45" fillId="14" borderId="0" xfId="37" applyFont="1" applyFill="1" applyAlignment="1">
      <alignment horizontal="center" vertical="center"/>
    </xf>
    <xf numFmtId="0" fontId="40" fillId="0" borderId="0" xfId="0" applyFont="1" applyAlignment="1">
      <alignment horizontal="right" vertical="center"/>
    </xf>
    <xf numFmtId="0" fontId="46" fillId="0" borderId="0" xfId="0" applyFont="1"/>
    <xf numFmtId="37" fontId="3" fillId="2" borderId="15" xfId="0" applyNumberFormat="1" applyFont="1" applyFill="1" applyBorder="1" applyAlignment="1">
      <alignment horizontal="left" vertical="center"/>
    </xf>
    <xf numFmtId="37" fontId="5" fillId="2" borderId="7" xfId="0" applyNumberFormat="1" applyFont="1" applyFill="1" applyBorder="1" applyAlignment="1">
      <alignment horizontal="right" vertical="center"/>
    </xf>
    <xf numFmtId="171" fontId="35" fillId="12" borderId="11" xfId="0" applyNumberFormat="1" applyFont="1" applyFill="1" applyBorder="1" applyAlignment="1">
      <alignment horizontal="center" vertical="center"/>
    </xf>
    <xf numFmtId="174" fontId="3" fillId="14" borderId="15" xfId="0" applyNumberFormat="1" applyFont="1" applyFill="1" applyBorder="1" applyAlignment="1">
      <alignment horizontal="center" vertical="center"/>
    </xf>
    <xf numFmtId="0" fontId="3" fillId="14" borderId="4" xfId="0" applyFont="1" applyFill="1" applyBorder="1" applyAlignment="1">
      <alignment vertical="center"/>
    </xf>
    <xf numFmtId="0" fontId="39" fillId="12" borderId="4" xfId="0" applyFont="1" applyFill="1" applyBorder="1" applyAlignment="1">
      <alignment horizontal="left" vertical="center"/>
    </xf>
    <xf numFmtId="174" fontId="5" fillId="0" borderId="0" xfId="0" applyNumberFormat="1" applyFont="1" applyProtection="1">
      <protection locked="0"/>
    </xf>
    <xf numFmtId="0" fontId="46" fillId="0" borderId="0" xfId="0" applyFont="1" applyProtection="1">
      <protection locked="0"/>
    </xf>
    <xf numFmtId="10" fontId="5" fillId="3" borderId="1" xfId="0" applyNumberFormat="1" applyFont="1" applyFill="1" applyBorder="1" applyAlignment="1" applyProtection="1">
      <alignment vertical="center"/>
      <protection locked="0"/>
    </xf>
    <xf numFmtId="0" fontId="8" fillId="0" borderId="0" xfId="14" applyAlignment="1" applyProtection="1"/>
    <xf numFmtId="177" fontId="5" fillId="12" borderId="0" xfId="61" applyNumberFormat="1" applyFont="1" applyFill="1" applyAlignment="1">
      <alignment horizontal="center" vertical="center"/>
    </xf>
    <xf numFmtId="3" fontId="4" fillId="9" borderId="5" xfId="0" applyNumberFormat="1" applyFont="1" applyFill="1" applyBorder="1" applyAlignment="1">
      <alignment vertical="center"/>
    </xf>
    <xf numFmtId="171" fontId="3" fillId="12" borderId="6" xfId="0" applyNumberFormat="1" applyFont="1" applyFill="1" applyBorder="1" applyAlignment="1">
      <alignment horizontal="center" vertical="center"/>
    </xf>
    <xf numFmtId="171" fontId="3" fillId="14" borderId="15" xfId="0" applyNumberFormat="1" applyFont="1" applyFill="1" applyBorder="1" applyAlignment="1">
      <alignment horizontal="center" vertical="center"/>
    </xf>
    <xf numFmtId="0" fontId="5" fillId="12" borderId="7" xfId="0" applyFont="1" applyFill="1" applyBorder="1" applyProtection="1">
      <protection locked="0"/>
    </xf>
    <xf numFmtId="3" fontId="5" fillId="9" borderId="5" xfId="0" applyNumberFormat="1" applyFont="1" applyFill="1" applyBorder="1" applyAlignment="1">
      <alignment vertical="center"/>
    </xf>
    <xf numFmtId="171" fontId="5" fillId="12" borderId="0" xfId="0" applyNumberFormat="1" applyFont="1" applyFill="1" applyAlignment="1">
      <alignment vertical="center"/>
    </xf>
    <xf numFmtId="1" fontId="5" fillId="2" borderId="2" xfId="0" applyNumberFormat="1" applyFont="1" applyFill="1" applyBorder="1" applyAlignment="1">
      <alignment horizontal="center" vertical="center"/>
    </xf>
    <xf numFmtId="37" fontId="5" fillId="2" borderId="16" xfId="0" applyNumberFormat="1" applyFont="1" applyFill="1" applyBorder="1" applyAlignment="1">
      <alignment horizontal="center" vertical="center"/>
    </xf>
    <xf numFmtId="1" fontId="5" fillId="2" borderId="6" xfId="0" applyNumberFormat="1" applyFont="1" applyFill="1" applyBorder="1" applyAlignment="1">
      <alignment horizontal="centerContinuous" vertical="center"/>
    </xf>
    <xf numFmtId="37" fontId="5" fillId="2" borderId="6" xfId="0" applyNumberFormat="1" applyFont="1" applyFill="1" applyBorder="1" applyAlignment="1">
      <alignment horizontal="centerContinuous" vertical="center"/>
    </xf>
    <xf numFmtId="0" fontId="5" fillId="2" borderId="8" xfId="0" applyFont="1" applyFill="1" applyBorder="1" applyAlignment="1">
      <alignment horizontal="centerContinuous" vertical="center"/>
    </xf>
    <xf numFmtId="166" fontId="5" fillId="2" borderId="1"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172" fontId="5" fillId="2" borderId="0" xfId="0" applyNumberFormat="1" applyFont="1" applyFill="1" applyAlignment="1">
      <alignment horizontal="center" vertical="center"/>
    </xf>
    <xf numFmtId="171" fontId="5" fillId="2" borderId="0" xfId="0" applyNumberFormat="1" applyFont="1" applyFill="1" applyAlignment="1">
      <alignment horizontal="center" vertical="center"/>
    </xf>
    <xf numFmtId="166" fontId="5" fillId="2" borderId="0" xfId="0" applyNumberFormat="1" applyFont="1" applyFill="1" applyAlignment="1">
      <alignment horizontal="center" vertical="center"/>
    </xf>
    <xf numFmtId="3" fontId="5" fillId="7" borderId="5" xfId="0" applyNumberFormat="1" applyFont="1" applyFill="1" applyBorder="1" applyAlignment="1">
      <alignment horizontal="center" vertical="center"/>
    </xf>
    <xf numFmtId="1" fontId="5" fillId="2" borderId="0" xfId="0"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3" xfId="0" applyNumberFormat="1" applyFont="1" applyFill="1" applyBorder="1" applyAlignment="1">
      <alignment horizontal="fill" vertical="center"/>
    </xf>
    <xf numFmtId="0" fontId="5" fillId="12" borderId="0" xfId="0" applyFont="1" applyFill="1" applyAlignment="1">
      <alignment horizontal="center" vertical="center"/>
    </xf>
    <xf numFmtId="1" fontId="6" fillId="2" borderId="4" xfId="0" applyNumberFormat="1" applyFont="1" applyFill="1" applyBorder="1" applyAlignment="1">
      <alignment horizontal="center" vertical="center"/>
    </xf>
    <xf numFmtId="3" fontId="5" fillId="2" borderId="1" xfId="0" applyNumberFormat="1" applyFont="1" applyFill="1" applyBorder="1" applyAlignment="1" applyProtection="1">
      <alignment horizontal="center" vertical="center"/>
      <protection locked="0"/>
    </xf>
    <xf numFmtId="37" fontId="5" fillId="14" borderId="10" xfId="0" applyNumberFormat="1" applyFont="1" applyFill="1" applyBorder="1" applyAlignment="1">
      <alignment horizontal="right" vertical="center"/>
    </xf>
    <xf numFmtId="0" fontId="5" fillId="14" borderId="10" xfId="0" applyFont="1" applyFill="1" applyBorder="1" applyProtection="1">
      <protection locked="0"/>
    </xf>
    <xf numFmtId="0" fontId="5" fillId="12" borderId="7" xfId="0" applyFont="1" applyFill="1" applyBorder="1" applyAlignment="1" applyProtection="1">
      <alignment vertical="center"/>
      <protection locked="0"/>
    </xf>
    <xf numFmtId="0" fontId="3" fillId="2" borderId="7" xfId="14" applyNumberFormat="1" applyFont="1" applyFill="1" applyBorder="1" applyAlignment="1" applyProtection="1">
      <alignment horizontal="center" vertical="center"/>
    </xf>
    <xf numFmtId="0" fontId="5" fillId="0" borderId="0" xfId="27" applyFont="1" applyAlignment="1">
      <alignment vertical="center" wrapText="1"/>
    </xf>
    <xf numFmtId="0" fontId="41" fillId="17" borderId="0" xfId="402" applyFill="1"/>
    <xf numFmtId="3" fontId="5" fillId="2" borderId="0" xfId="0" applyNumberFormat="1" applyFont="1" applyFill="1" applyAlignment="1">
      <alignment horizontal="right" vertical="center"/>
    </xf>
    <xf numFmtId="3" fontId="11" fillId="2" borderId="0" xfId="0" applyNumberFormat="1" applyFont="1" applyFill="1" applyAlignment="1">
      <alignment horizontal="center" vertical="center"/>
    </xf>
    <xf numFmtId="0" fontId="5" fillId="0" borderId="0" xfId="0" applyFont="1" applyAlignment="1">
      <alignment vertical="top" wrapText="1"/>
    </xf>
    <xf numFmtId="37" fontId="5" fillId="10" borderId="6" xfId="0" applyNumberFormat="1" applyFont="1" applyFill="1" applyBorder="1" applyAlignment="1">
      <alignment horizontal="left" vertical="center"/>
    </xf>
    <xf numFmtId="0" fontId="5" fillId="10" borderId="11" xfId="0" applyFont="1" applyFill="1" applyBorder="1" applyAlignment="1">
      <alignment vertical="center"/>
    </xf>
    <xf numFmtId="37" fontId="5" fillId="10" borderId="15" xfId="0" applyNumberFormat="1" applyFont="1" applyFill="1" applyBorder="1" applyAlignment="1">
      <alignment horizontal="left" vertical="center"/>
    </xf>
    <xf numFmtId="0" fontId="5" fillId="10" borderId="16" xfId="0" applyFont="1" applyFill="1" applyBorder="1" applyAlignment="1" applyProtection="1">
      <alignment vertical="center"/>
      <protection locked="0"/>
    </xf>
    <xf numFmtId="0" fontId="5" fillId="10" borderId="14" xfId="0" applyFont="1" applyFill="1" applyBorder="1" applyAlignment="1" applyProtection="1">
      <alignment vertical="center"/>
      <protection locked="0"/>
    </xf>
    <xf numFmtId="0" fontId="5" fillId="10" borderId="15" xfId="0" applyFont="1" applyFill="1" applyBorder="1" applyAlignment="1" applyProtection="1">
      <alignment vertical="center"/>
      <protection locked="0"/>
    </xf>
    <xf numFmtId="0" fontId="5" fillId="10" borderId="10" xfId="0" applyFont="1" applyFill="1" applyBorder="1" applyAlignment="1" applyProtection="1">
      <alignment vertical="center"/>
      <protection locked="0"/>
    </xf>
    <xf numFmtId="0" fontId="5" fillId="10" borderId="6" xfId="0" applyFont="1" applyFill="1" applyBorder="1" applyAlignment="1" applyProtection="1">
      <alignment vertical="center"/>
      <protection locked="0"/>
    </xf>
    <xf numFmtId="0" fontId="5" fillId="10" borderId="11" xfId="0" applyFont="1" applyFill="1" applyBorder="1" applyAlignment="1" applyProtection="1">
      <alignment vertical="center"/>
      <protection locked="0"/>
    </xf>
    <xf numFmtId="3" fontId="5" fillId="4" borderId="3" xfId="0" applyNumberFormat="1" applyFont="1" applyFill="1" applyBorder="1" applyAlignment="1" applyProtection="1">
      <alignment vertical="center"/>
      <protection locked="0"/>
    </xf>
    <xf numFmtId="0" fontId="5" fillId="0" borderId="0" xfId="27" applyFont="1" applyAlignment="1">
      <alignment vertical="center"/>
    </xf>
    <xf numFmtId="37" fontId="5" fillId="4" borderId="0" xfId="0" applyNumberFormat="1" applyFont="1" applyFill="1" applyAlignment="1" applyProtection="1">
      <alignment horizontal="center" vertical="center"/>
      <protection locked="0"/>
    </xf>
    <xf numFmtId="0" fontId="5" fillId="2" borderId="0" xfId="26" applyFont="1" applyFill="1" applyAlignment="1">
      <alignment vertical="center"/>
    </xf>
    <xf numFmtId="0" fontId="5" fillId="4" borderId="0" xfId="0" applyFont="1" applyFill="1" applyAlignment="1" applyProtection="1">
      <alignment horizontal="center" vertical="center"/>
      <protection locked="0"/>
    </xf>
    <xf numFmtId="175" fontId="5" fillId="14" borderId="10" xfId="0" applyNumberFormat="1" applyFont="1" applyFill="1" applyBorder="1" applyAlignment="1">
      <alignment horizontal="center"/>
    </xf>
    <xf numFmtId="0" fontId="5" fillId="4" borderId="0" xfId="0" applyFont="1" applyFill="1" applyAlignment="1" applyProtection="1">
      <alignment horizontal="center"/>
      <protection locked="0"/>
    </xf>
    <xf numFmtId="167" fontId="5" fillId="2" borderId="0" xfId="0" applyNumberFormat="1" applyFont="1" applyFill="1" applyAlignment="1">
      <alignment vertical="center"/>
    </xf>
    <xf numFmtId="0" fontId="5" fillId="12" borderId="6" xfId="27" applyFont="1" applyFill="1" applyBorder="1" applyAlignment="1">
      <alignment vertical="center"/>
    </xf>
    <xf numFmtId="3" fontId="4" fillId="2" borderId="0" xfId="0" applyNumberFormat="1" applyFont="1" applyFill="1" applyAlignment="1">
      <alignment horizontal="center" vertical="center"/>
    </xf>
    <xf numFmtId="0" fontId="5" fillId="6" borderId="0" xfId="0" applyFont="1" applyFill="1" applyAlignment="1">
      <alignment horizontal="right" vertical="center"/>
    </xf>
    <xf numFmtId="0" fontId="17" fillId="2" borderId="0" xfId="0" applyFont="1" applyFill="1"/>
    <xf numFmtId="0" fontId="5" fillId="0" borderId="0" xfId="0" applyFont="1" applyAlignment="1">
      <alignment horizontal="left" vertical="center" wrapText="1"/>
    </xf>
    <xf numFmtId="0" fontId="38" fillId="17" borderId="0" xfId="14" applyFont="1" applyFill="1" applyAlignment="1" applyProtection="1"/>
    <xf numFmtId="0" fontId="47" fillId="17" borderId="0" xfId="402" applyFont="1" applyFill="1"/>
    <xf numFmtId="0" fontId="35" fillId="12" borderId="0" xfId="0" applyFont="1" applyFill="1" applyAlignment="1">
      <alignment horizontal="left" vertical="center"/>
    </xf>
    <xf numFmtId="171" fontId="3" fillId="12" borderId="15" xfId="0" applyNumberFormat="1" applyFont="1" applyFill="1" applyBorder="1" applyAlignment="1">
      <alignment horizontal="center" vertical="center"/>
    </xf>
    <xf numFmtId="171" fontId="35" fillId="12" borderId="15" xfId="0" applyNumberFormat="1" applyFont="1" applyFill="1" applyBorder="1" applyAlignment="1">
      <alignment horizontal="center" vertical="center"/>
    </xf>
    <xf numFmtId="166" fontId="5" fillId="4" borderId="1" xfId="0" applyNumberFormat="1" applyFont="1" applyFill="1" applyBorder="1" applyAlignment="1" applyProtection="1">
      <alignment vertical="center"/>
      <protection locked="0"/>
    </xf>
    <xf numFmtId="0" fontId="44" fillId="0" borderId="0" xfId="0" applyFont="1" applyAlignment="1" applyProtection="1">
      <alignment vertical="center" wrapText="1"/>
      <protection locked="0"/>
    </xf>
    <xf numFmtId="0" fontId="1" fillId="12" borderId="7" xfId="0" applyFont="1" applyFill="1" applyBorder="1" applyAlignment="1">
      <alignment vertical="center"/>
    </xf>
    <xf numFmtId="171" fontId="4" fillId="12" borderId="7" xfId="0" applyNumberFormat="1" applyFont="1" applyFill="1" applyBorder="1" applyAlignment="1">
      <alignment horizontal="center"/>
    </xf>
    <xf numFmtId="0" fontId="4" fillId="12" borderId="9" xfId="0" applyFont="1" applyFill="1" applyBorder="1"/>
    <xf numFmtId="37" fontId="5" fillId="2" borderId="2" xfId="0" applyNumberFormat="1" applyFont="1" applyFill="1" applyBorder="1" applyAlignment="1">
      <alignment horizontal="center" wrapText="1"/>
    </xf>
    <xf numFmtId="171" fontId="17" fillId="2" borderId="3" xfId="0" applyNumberFormat="1" applyFont="1" applyFill="1" applyBorder="1" applyAlignment="1">
      <alignment horizontal="center" vertical="center"/>
    </xf>
    <xf numFmtId="37" fontId="5" fillId="2" borderId="5" xfId="0" applyNumberFormat="1" applyFont="1" applyFill="1" applyBorder="1" applyAlignment="1">
      <alignment horizontal="left"/>
    </xf>
    <xf numFmtId="166" fontId="5" fillId="7" borderId="5" xfId="0" applyNumberFormat="1" applyFont="1" applyFill="1" applyBorder="1" applyAlignment="1">
      <alignment horizontal="center" vertical="center"/>
    </xf>
    <xf numFmtId="0" fontId="17" fillId="0" borderId="0" xfId="478" applyFont="1" applyAlignment="1">
      <alignment horizontal="left" vertical="center"/>
    </xf>
    <xf numFmtId="0" fontId="50" fillId="15" borderId="0" xfId="478" applyFont="1" applyFill="1" applyAlignment="1">
      <alignment wrapText="1"/>
    </xf>
    <xf numFmtId="0" fontId="5" fillId="0" borderId="0" xfId="0" applyFont="1" applyAlignment="1">
      <alignment horizontal="right"/>
    </xf>
    <xf numFmtId="0" fontId="28" fillId="0" borderId="0" xfId="478" applyAlignment="1">
      <alignment horizontal="right"/>
    </xf>
    <xf numFmtId="0" fontId="5" fillId="0" borderId="0" xfId="478" applyFont="1" applyAlignment="1">
      <alignment horizontal="right" vertical="center"/>
    </xf>
    <xf numFmtId="0" fontId="0" fillId="0" borderId="0" xfId="0" applyAlignment="1">
      <alignment horizontal="left"/>
    </xf>
    <xf numFmtId="0" fontId="28" fillId="0" borderId="0" xfId="478" applyAlignment="1">
      <alignment horizontal="left"/>
    </xf>
    <xf numFmtId="0" fontId="5" fillId="15" borderId="0" xfId="0" applyFont="1" applyFill="1" applyProtection="1">
      <protection locked="0"/>
    </xf>
    <xf numFmtId="49" fontId="5" fillId="15" borderId="0" xfId="0" applyNumberFormat="1" applyFont="1" applyFill="1" applyProtection="1">
      <protection locked="0"/>
    </xf>
    <xf numFmtId="0" fontId="5" fillId="15" borderId="0" xfId="0" applyFont="1" applyFill="1"/>
    <xf numFmtId="166" fontId="5" fillId="2" borderId="1" xfId="0" applyNumberFormat="1" applyFont="1" applyFill="1" applyBorder="1" applyAlignment="1">
      <alignment horizontal="centerContinuous" vertical="center"/>
    </xf>
    <xf numFmtId="0" fontId="5" fillId="0" borderId="4" xfId="0" applyFont="1" applyBorder="1"/>
    <xf numFmtId="0" fontId="4" fillId="0" borderId="0" xfId="0" applyFont="1"/>
    <xf numFmtId="0" fontId="5" fillId="0" borderId="0" xfId="0" quotePrefix="1" applyFont="1"/>
    <xf numFmtId="0" fontId="5" fillId="0" borderId="0" xfId="210" applyFont="1"/>
    <xf numFmtId="0" fontId="6" fillId="0" borderId="0" xfId="0" applyFont="1" applyAlignment="1">
      <alignment vertical="center" wrapText="1"/>
    </xf>
    <xf numFmtId="0" fontId="6" fillId="0" borderId="0" xfId="27" applyFont="1" applyAlignment="1">
      <alignment wrapText="1"/>
    </xf>
    <xf numFmtId="0" fontId="6" fillId="0" borderId="0" xfId="0" applyFont="1" applyAlignment="1">
      <alignment wrapText="1"/>
    </xf>
    <xf numFmtId="0" fontId="6" fillId="0" borderId="0" xfId="99" applyFont="1" applyAlignment="1">
      <alignment vertical="center" wrapText="1"/>
    </xf>
    <xf numFmtId="0" fontId="5" fillId="0" borderId="0" xfId="99" applyFont="1" applyAlignment="1">
      <alignment vertical="center" wrapText="1"/>
    </xf>
    <xf numFmtId="0" fontId="5" fillId="0" borderId="0" xfId="129" applyFont="1" applyAlignment="1">
      <alignment vertical="center" wrapText="1"/>
    </xf>
    <xf numFmtId="0" fontId="6" fillId="0" borderId="0" xfId="98" applyFont="1" applyAlignment="1">
      <alignment vertical="center" wrapText="1"/>
    </xf>
    <xf numFmtId="0" fontId="5" fillId="0" borderId="0" xfId="103" applyFont="1" applyAlignment="1">
      <alignment vertical="center" wrapText="1"/>
    </xf>
    <xf numFmtId="0" fontId="5" fillId="0" borderId="0" xfId="473" applyFont="1" applyAlignment="1">
      <alignment vertical="center" wrapText="1"/>
    </xf>
    <xf numFmtId="0" fontId="4" fillId="0" borderId="0" xfId="0" applyFont="1" applyAlignment="1">
      <alignment horizontal="center" vertical="center" wrapText="1"/>
    </xf>
    <xf numFmtId="0" fontId="42" fillId="0" borderId="0" xfId="0" applyFont="1" applyAlignment="1">
      <alignment vertical="center" wrapText="1"/>
    </xf>
    <xf numFmtId="0" fontId="52" fillId="0" borderId="0" xfId="0" applyFont="1" applyAlignment="1">
      <alignment vertical="center" wrapText="1"/>
    </xf>
    <xf numFmtId="0" fontId="10" fillId="0" borderId="0" xfId="0" applyFont="1" applyAlignment="1">
      <alignment vertical="center" wrapText="1"/>
    </xf>
    <xf numFmtId="0" fontId="22" fillId="0" borderId="0" xfId="0" applyFont="1" applyAlignment="1">
      <alignment horizontal="center" vertical="center" wrapText="1"/>
    </xf>
    <xf numFmtId="0" fontId="37" fillId="0" borderId="0" xfId="0" applyFont="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indent="2"/>
    </xf>
    <xf numFmtId="0" fontId="54" fillId="0" borderId="0" xfId="0" applyFont="1" applyAlignment="1">
      <alignment horizontal="left" vertical="center" wrapText="1" indent="4"/>
    </xf>
    <xf numFmtId="3" fontId="5" fillId="2" borderId="26" xfId="0" applyNumberFormat="1" applyFont="1" applyFill="1" applyBorder="1" applyAlignment="1">
      <alignment horizontal="right" vertical="center"/>
    </xf>
    <xf numFmtId="0" fontId="5" fillId="2" borderId="26" xfId="0" applyFont="1" applyFill="1" applyBorder="1" applyAlignment="1">
      <alignment horizontal="right" vertical="center"/>
    </xf>
    <xf numFmtId="0" fontId="5" fillId="2" borderId="26" xfId="0" applyFont="1" applyFill="1" applyBorder="1" applyAlignment="1">
      <alignment horizontal="center" vertical="center"/>
    </xf>
    <xf numFmtId="0" fontId="56" fillId="0" borderId="0" xfId="515" applyFont="1"/>
    <xf numFmtId="0" fontId="56" fillId="0" borderId="0" xfId="515" applyFont="1" applyAlignment="1">
      <alignment horizontal="left" wrapText="1"/>
    </xf>
    <xf numFmtId="0" fontId="56" fillId="0" borderId="0" xfId="515" applyFont="1" applyAlignment="1">
      <alignment horizontal="right" wrapText="1"/>
    </xf>
    <xf numFmtId="0" fontId="56" fillId="0" borderId="0" xfId="515" applyFont="1" applyAlignment="1">
      <alignment wrapText="1"/>
    </xf>
    <xf numFmtId="0" fontId="59" fillId="19" borderId="1" xfId="515" applyFont="1" applyFill="1" applyBorder="1" applyAlignment="1">
      <alignment horizontal="center" vertical="center"/>
    </xf>
    <xf numFmtId="0" fontId="61" fillId="0" borderId="0" xfId="0" applyFont="1"/>
    <xf numFmtId="0" fontId="62" fillId="0" borderId="0" xfId="0" applyFont="1" applyAlignment="1">
      <alignment horizontal="left" vertical="center" readingOrder="1"/>
    </xf>
    <xf numFmtId="0" fontId="63" fillId="0" borderId="0" xfId="0" applyFont="1" applyAlignment="1">
      <alignment horizontal="left" vertical="center" indent="2" readingOrder="1"/>
    </xf>
    <xf numFmtId="0" fontId="1" fillId="0" borderId="0" xfId="0" applyFont="1"/>
    <xf numFmtId="0" fontId="64" fillId="0" borderId="0" xfId="0" applyFont="1" applyAlignment="1">
      <alignment horizontal="left" vertical="center" readingOrder="1"/>
    </xf>
    <xf numFmtId="171" fontId="5" fillId="2" borderId="1" xfId="61" applyNumberFormat="1" applyFont="1" applyFill="1" applyBorder="1" applyAlignment="1">
      <alignment horizontal="center" vertical="center"/>
    </xf>
    <xf numFmtId="0" fontId="63" fillId="0" borderId="4" xfId="0" applyFont="1" applyBorder="1" applyAlignment="1">
      <alignment horizontal="center" vertical="center" readingOrder="1"/>
    </xf>
    <xf numFmtId="0" fontId="66" fillId="0" borderId="0" xfId="0" applyFont="1" applyAlignment="1">
      <alignment wrapText="1"/>
    </xf>
    <xf numFmtId="0" fontId="0" fillId="20" borderId="0" xfId="0" applyFill="1"/>
    <xf numFmtId="0" fontId="62" fillId="20" borderId="0" xfId="0" applyFont="1" applyFill="1" applyAlignment="1">
      <alignment horizontal="left" vertical="center" readingOrder="1"/>
    </xf>
    <xf numFmtId="0" fontId="56" fillId="0" borderId="0" xfId="0" applyFont="1"/>
    <xf numFmtId="0" fontId="67" fillId="0" borderId="0" xfId="0" applyFont="1" applyAlignment="1">
      <alignment horizontal="left"/>
    </xf>
    <xf numFmtId="0" fontId="68" fillId="0" borderId="0" xfId="0" applyFont="1"/>
    <xf numFmtId="3" fontId="5" fillId="7" borderId="3" xfId="0" applyNumberFormat="1" applyFont="1" applyFill="1" applyBorder="1" applyAlignment="1">
      <alignment horizontal="center" vertical="center"/>
    </xf>
    <xf numFmtId="0" fontId="21" fillId="0" borderId="0" xfId="0" applyFont="1"/>
    <xf numFmtId="37" fontId="11" fillId="2" borderId="0" xfId="0" applyNumberFormat="1" applyFont="1" applyFill="1" applyAlignment="1">
      <alignment horizontal="center" vertical="center"/>
    </xf>
    <xf numFmtId="0" fontId="0" fillId="0" borderId="0" xfId="0" applyAlignment="1">
      <alignment horizontal="center" vertical="center"/>
    </xf>
    <xf numFmtId="0" fontId="14" fillId="2" borderId="0" xfId="0" applyFont="1" applyFill="1" applyAlignment="1">
      <alignment vertical="center"/>
    </xf>
    <xf numFmtId="37" fontId="5" fillId="2" borderId="0" xfId="0" applyNumberFormat="1" applyFont="1" applyFill="1" applyAlignment="1">
      <alignment horizontal="right" vertical="center"/>
    </xf>
    <xf numFmtId="37" fontId="5" fillId="2" borderId="0" xfId="0" applyNumberFormat="1" applyFont="1" applyFill="1" applyAlignment="1">
      <alignment horizontal="center" vertical="center"/>
    </xf>
    <xf numFmtId="37" fontId="5" fillId="2" borderId="1" xfId="0" applyNumberFormat="1" applyFont="1" applyFill="1" applyBorder="1" applyAlignment="1">
      <alignment horizontal="left" vertical="center"/>
    </xf>
    <xf numFmtId="37" fontId="5" fillId="2" borderId="6" xfId="0" applyNumberFormat="1" applyFont="1" applyFill="1" applyBorder="1" applyAlignment="1">
      <alignment horizontal="left" vertical="center"/>
    </xf>
    <xf numFmtId="37" fontId="4" fillId="2" borderId="0" xfId="0" applyNumberFormat="1" applyFont="1" applyFill="1" applyAlignment="1">
      <alignment horizontal="center" vertical="center"/>
    </xf>
    <xf numFmtId="0" fontId="5" fillId="2" borderId="15" xfId="0" applyFont="1" applyFill="1" applyBorder="1" applyAlignment="1">
      <alignment horizontal="center" vertical="center"/>
    </xf>
    <xf numFmtId="0" fontId="5" fillId="2" borderId="0" xfId="14" applyNumberFormat="1" applyFont="1" applyFill="1" applyBorder="1" applyAlignment="1" applyProtection="1">
      <alignment horizontal="right" vertical="center"/>
    </xf>
    <xf numFmtId="0" fontId="0" fillId="0" borderId="0" xfId="0" applyAlignment="1">
      <alignment vertical="center"/>
    </xf>
    <xf numFmtId="0" fontId="5" fillId="2" borderId="0" xfId="61" applyFont="1" applyFill="1" applyAlignment="1">
      <alignment horizontal="right" vertical="center"/>
    </xf>
    <xf numFmtId="0" fontId="5" fillId="2" borderId="0" xfId="0" applyFont="1" applyFill="1" applyAlignment="1">
      <alignment horizontal="right" vertical="center"/>
    </xf>
    <xf numFmtId="37" fontId="5" fillId="2" borderId="0" xfId="0" applyNumberFormat="1"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5" fillId="2" borderId="1"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xf numFmtId="0" fontId="0" fillId="0" borderId="0" xfId="0"/>
    <xf numFmtId="0" fontId="5" fillId="2" borderId="0" xfId="0" applyFont="1" applyFill="1" applyAlignment="1">
      <alignment horizontal="right"/>
    </xf>
    <xf numFmtId="0" fontId="10" fillId="0" borderId="0" xfId="0" applyFont="1" applyAlignment="1">
      <alignment horizontal="center"/>
    </xf>
    <xf numFmtId="0" fontId="56" fillId="0" borderId="0" xfId="515" applyFont="1" applyAlignment="1">
      <alignment horizontal="center" wrapText="1"/>
    </xf>
    <xf numFmtId="0" fontId="56" fillId="0" borderId="0" xfId="515" applyFont="1" applyAlignment="1">
      <alignment horizontal="center"/>
    </xf>
    <xf numFmtId="0" fontId="56" fillId="0" borderId="1" xfId="515" applyFont="1" applyBorder="1" applyAlignment="1">
      <alignment horizontal="center"/>
    </xf>
    <xf numFmtId="0" fontId="56" fillId="0" borderId="5" xfId="515" applyFont="1" applyBorder="1" applyAlignment="1">
      <alignment horizontal="center"/>
    </xf>
    <xf numFmtId="0" fontId="58" fillId="0" borderId="3" xfId="515" applyFont="1" applyBorder="1" applyAlignment="1">
      <alignment horizontal="center" vertical="center"/>
    </xf>
    <xf numFmtId="0" fontId="5" fillId="0" borderId="0" xfId="0" applyFont="1" applyAlignment="1">
      <alignment wrapText="1"/>
    </xf>
    <xf numFmtId="0" fontId="4" fillId="0" borderId="0" xfId="0" applyFont="1" applyAlignment="1">
      <alignment wrapText="1"/>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20"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4" xfId="0" applyFont="1" applyFill="1" applyBorder="1" applyAlignment="1">
      <alignment horizontal="center" vertical="center"/>
    </xf>
    <xf numFmtId="37" fontId="11" fillId="2" borderId="0" xfId="0" applyNumberFormat="1" applyFont="1" applyFill="1" applyAlignment="1">
      <alignment horizontal="center" vertical="center"/>
    </xf>
    <xf numFmtId="0" fontId="12" fillId="0" borderId="0" xfId="0" applyFont="1" applyAlignment="1">
      <alignment horizontal="center" vertical="center"/>
    </xf>
    <xf numFmtId="37" fontId="10" fillId="2" borderId="0" xfId="0" applyNumberFormat="1" applyFont="1" applyFill="1" applyAlignment="1">
      <alignment horizontal="center" vertical="center"/>
    </xf>
    <xf numFmtId="0" fontId="0" fillId="0" borderId="0" xfId="0" applyAlignment="1">
      <alignment horizontal="center" vertical="center"/>
    </xf>
    <xf numFmtId="37" fontId="4" fillId="2" borderId="0" xfId="27" applyNumberFormat="1" applyFont="1" applyFill="1" applyAlignment="1">
      <alignment vertical="center" wrapText="1"/>
    </xf>
    <xf numFmtId="0" fontId="5" fillId="2" borderId="16" xfId="27" applyFont="1" applyFill="1" applyBorder="1" applyAlignment="1">
      <alignment vertical="center" wrapText="1"/>
    </xf>
    <xf numFmtId="0" fontId="2" fillId="0" borderId="14" xfId="27" applyBorder="1" applyAlignment="1">
      <alignment vertical="center" wrapText="1"/>
    </xf>
    <xf numFmtId="0" fontId="2" fillId="0" borderId="9" xfId="27" applyBorder="1" applyAlignment="1">
      <alignment vertical="center" wrapText="1"/>
    </xf>
    <xf numFmtId="0" fontId="2" fillId="0" borderId="7" xfId="27" applyBorder="1" applyAlignment="1">
      <alignment vertical="center" wrapText="1"/>
    </xf>
    <xf numFmtId="0" fontId="2" fillId="0" borderId="15" xfId="27" applyBorder="1" applyAlignment="1">
      <alignment vertical="center" wrapText="1"/>
    </xf>
    <xf numFmtId="0" fontId="2" fillId="0" borderId="10" xfId="27" applyBorder="1" applyAlignment="1">
      <alignment vertical="center" wrapText="1"/>
    </xf>
    <xf numFmtId="37" fontId="5" fillId="4" borderId="6" xfId="61" applyNumberFormat="1" applyFont="1" applyFill="1" applyBorder="1" applyAlignment="1" applyProtection="1">
      <alignment horizontal="left"/>
      <protection locked="0"/>
    </xf>
    <xf numFmtId="37" fontId="5" fillId="4" borderId="11" xfId="61" applyNumberFormat="1" applyFont="1" applyFill="1" applyBorder="1" applyAlignment="1" applyProtection="1">
      <alignment horizontal="left"/>
      <protection locked="0"/>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1"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14" fillId="2" borderId="0" xfId="0" applyFont="1" applyFill="1" applyAlignment="1">
      <alignment vertical="center"/>
    </xf>
    <xf numFmtId="0" fontId="16" fillId="0" borderId="0" xfId="0" applyFont="1" applyAlignment="1">
      <alignment vertical="center"/>
    </xf>
    <xf numFmtId="0" fontId="4" fillId="5" borderId="6" xfId="0" applyFont="1" applyFill="1" applyBorder="1" applyAlignment="1">
      <alignment horizontal="center" vertical="center"/>
    </xf>
    <xf numFmtId="0" fontId="1" fillId="5" borderId="11" xfId="0" applyFont="1" applyFill="1" applyBorder="1" applyAlignment="1">
      <alignment horizontal="center" vertical="center"/>
    </xf>
    <xf numFmtId="37" fontId="4" fillId="11" borderId="6" xfId="0" applyNumberFormat="1" applyFont="1" applyFill="1" applyBorder="1" applyAlignment="1">
      <alignment horizontal="center" vertical="center"/>
    </xf>
    <xf numFmtId="37" fontId="4" fillId="11" borderId="8" xfId="0" applyNumberFormat="1" applyFont="1" applyFill="1" applyBorder="1" applyAlignment="1">
      <alignment horizontal="center" vertical="center"/>
    </xf>
    <xf numFmtId="37" fontId="4" fillId="11" borderId="11" xfId="0" applyNumberFormat="1" applyFont="1" applyFill="1" applyBorder="1" applyAlignment="1">
      <alignment horizontal="center" vertical="center"/>
    </xf>
    <xf numFmtId="37" fontId="4" fillId="10" borderId="6" xfId="0" applyNumberFormat="1" applyFont="1" applyFill="1" applyBorder="1" applyAlignment="1">
      <alignment horizontal="center" vertical="center"/>
    </xf>
    <xf numFmtId="37" fontId="4" fillId="10" borderId="8" xfId="0" applyNumberFormat="1" applyFont="1" applyFill="1" applyBorder="1" applyAlignment="1">
      <alignment horizontal="center" vertical="center"/>
    </xf>
    <xf numFmtId="37" fontId="4" fillId="10" borderId="11" xfId="0" applyNumberFormat="1" applyFont="1" applyFill="1" applyBorder="1" applyAlignment="1">
      <alignment horizontal="center" vertical="center"/>
    </xf>
    <xf numFmtId="0" fontId="4" fillId="10" borderId="6"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11" xfId="0" applyFont="1" applyFill="1" applyBorder="1" applyAlignment="1">
      <alignment horizontal="center"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wrapText="1"/>
    </xf>
    <xf numFmtId="37" fontId="5" fillId="6" borderId="12" xfId="0" applyNumberFormat="1" applyFont="1" applyFill="1" applyBorder="1" applyAlignment="1">
      <alignment horizontal="center" vertical="center"/>
    </xf>
    <xf numFmtId="0" fontId="17" fillId="0" borderId="0" xfId="0" applyFont="1" applyAlignment="1">
      <alignment horizontal="center" vertical="top" wrapText="1"/>
    </xf>
    <xf numFmtId="0" fontId="50" fillId="18" borderId="0" xfId="478" applyFont="1" applyFill="1" applyAlignment="1">
      <alignment horizontal="center" vertical="center" wrapText="1"/>
    </xf>
    <xf numFmtId="49" fontId="5" fillId="4" borderId="6" xfId="478" applyNumberFormat="1" applyFont="1" applyFill="1" applyBorder="1" applyAlignment="1" applyProtection="1">
      <alignment horizontal="left" vertical="center"/>
      <protection locked="0"/>
    </xf>
    <xf numFmtId="49" fontId="5" fillId="4" borderId="8" xfId="478" applyNumberFormat="1" applyFont="1" applyFill="1" applyBorder="1" applyAlignment="1" applyProtection="1">
      <alignment horizontal="left" vertical="center"/>
      <protection locked="0"/>
    </xf>
    <xf numFmtId="49" fontId="5" fillId="4" borderId="11" xfId="478" applyNumberFormat="1" applyFont="1" applyFill="1" applyBorder="1" applyAlignment="1" applyProtection="1">
      <alignment horizontal="left" vertical="center"/>
      <protection locked="0"/>
    </xf>
    <xf numFmtId="49" fontId="5" fillId="4" borderId="6" xfId="479" applyNumberFormat="1" applyFont="1" applyFill="1" applyBorder="1" applyAlignment="1" applyProtection="1">
      <alignment horizontal="left" vertical="center"/>
      <protection locked="0"/>
    </xf>
    <xf numFmtId="49" fontId="5" fillId="4" borderId="8" xfId="479" applyNumberFormat="1" applyFont="1" applyFill="1" applyBorder="1" applyAlignment="1" applyProtection="1">
      <alignment horizontal="left" vertical="center"/>
      <protection locked="0"/>
    </xf>
    <xf numFmtId="49" fontId="5" fillId="4" borderId="11" xfId="479" applyNumberFormat="1" applyFont="1" applyFill="1" applyBorder="1" applyAlignment="1" applyProtection="1">
      <alignment horizontal="left" vertical="center"/>
      <protection locked="0"/>
    </xf>
    <xf numFmtId="0" fontId="5" fillId="4" borderId="6" xfId="479" applyFont="1" applyFill="1" applyBorder="1" applyAlignment="1" applyProtection="1">
      <alignment horizontal="left" vertical="center"/>
      <protection locked="0"/>
    </xf>
    <xf numFmtId="0" fontId="5" fillId="4" borderId="8" xfId="479" applyFont="1" applyFill="1" applyBorder="1" applyAlignment="1" applyProtection="1">
      <alignment horizontal="left" vertical="center"/>
      <protection locked="0"/>
    </xf>
    <xf numFmtId="0" fontId="5" fillId="4" borderId="11" xfId="479" applyFont="1" applyFill="1" applyBorder="1" applyAlignment="1" applyProtection="1">
      <alignment horizontal="left" vertical="center"/>
      <protection locked="0"/>
    </xf>
    <xf numFmtId="0" fontId="49" fillId="18" borderId="0" xfId="0" applyFont="1" applyFill="1" applyAlignment="1">
      <alignment horizontal="center" vertical="center"/>
    </xf>
    <xf numFmtId="0" fontId="5" fillId="0" borderId="0" xfId="478" applyFont="1" applyAlignment="1">
      <alignment horizontal="center" vertical="center" wrapText="1"/>
    </xf>
    <xf numFmtId="0" fontId="4" fillId="2" borderId="0" xfId="0" applyFont="1" applyFill="1" applyAlignment="1">
      <alignment horizontal="left" vertical="top"/>
    </xf>
    <xf numFmtId="37" fontId="4" fillId="2" borderId="0" xfId="0" applyNumberFormat="1" applyFont="1" applyFill="1" applyAlignment="1">
      <alignment horizontal="right" vertical="center"/>
    </xf>
    <xf numFmtId="37" fontId="5" fillId="2" borderId="0" xfId="0" applyNumberFormat="1" applyFont="1" applyFill="1" applyAlignment="1">
      <alignment horizontal="right" vertical="center"/>
    </xf>
    <xf numFmtId="0" fontId="5" fillId="12" borderId="0" xfId="0" applyFont="1" applyFill="1" applyAlignment="1">
      <alignment horizontal="right" vertical="center"/>
    </xf>
    <xf numFmtId="0" fontId="5" fillId="12" borderId="7" xfId="0" applyFont="1" applyFill="1" applyBorder="1" applyAlignment="1">
      <alignment horizontal="right" vertical="center"/>
    </xf>
    <xf numFmtId="37" fontId="5" fillId="2" borderId="0" xfId="0" applyNumberFormat="1" applyFont="1" applyFill="1" applyAlignment="1">
      <alignment horizontal="center" vertical="center"/>
    </xf>
    <xf numFmtId="1" fontId="5" fillId="2" borderId="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37" fontId="5" fillId="2" borderId="16" xfId="0" applyNumberFormat="1" applyFont="1" applyFill="1" applyBorder="1" applyAlignment="1">
      <alignment horizontal="left" vertical="center"/>
    </xf>
    <xf numFmtId="37" fontId="5" fillId="2" borderId="14" xfId="0" applyNumberFormat="1" applyFont="1" applyFill="1" applyBorder="1" applyAlignment="1">
      <alignment horizontal="left" vertical="center"/>
    </xf>
    <xf numFmtId="37" fontId="5" fillId="2" borderId="1" xfId="0" applyNumberFormat="1" applyFont="1" applyFill="1" applyBorder="1" applyAlignment="1">
      <alignment horizontal="left" vertical="center"/>
    </xf>
    <xf numFmtId="37" fontId="5" fillId="2" borderId="6" xfId="0" applyNumberFormat="1" applyFont="1" applyFill="1" applyBorder="1" applyAlignment="1">
      <alignment horizontal="left" vertical="center"/>
    </xf>
    <xf numFmtId="37" fontId="5" fillId="2" borderId="11" xfId="0" applyNumberFormat="1" applyFont="1" applyFill="1" applyBorder="1" applyAlignment="1">
      <alignment horizontal="left" vertical="center"/>
    </xf>
    <xf numFmtId="37" fontId="5" fillId="2" borderId="2" xfId="0" applyNumberFormat="1" applyFont="1" applyFill="1" applyBorder="1" applyAlignment="1">
      <alignment horizontal="center" vertical="center" wrapText="1"/>
    </xf>
    <xf numFmtId="37" fontId="5" fillId="2" borderId="13" xfId="0" applyNumberFormat="1" applyFont="1" applyFill="1" applyBorder="1" applyAlignment="1">
      <alignment horizontal="center" vertical="center" wrapText="1"/>
    </xf>
    <xf numFmtId="37" fontId="5" fillId="2" borderId="3"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3" fontId="5" fillId="4" borderId="2" xfId="0"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37" fontId="5" fillId="2" borderId="6" xfId="0" applyNumberFormat="1" applyFont="1"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37" fontId="4" fillId="2" borderId="0" xfId="0" applyNumberFormat="1" applyFont="1" applyFill="1" applyAlignment="1">
      <alignment horizontal="center" vertical="center"/>
    </xf>
    <xf numFmtId="37" fontId="4" fillId="0" borderId="0" xfId="0" applyNumberFormat="1" applyFont="1" applyAlignment="1">
      <alignment horizontal="center" vertical="center"/>
    </xf>
    <xf numFmtId="0" fontId="5" fillId="2" borderId="15" xfId="0" applyFont="1" applyFill="1" applyBorder="1" applyAlignment="1">
      <alignment horizontal="center" vertical="center"/>
    </xf>
    <xf numFmtId="0" fontId="0" fillId="0" borderId="10" xfId="0" applyBorder="1" applyAlignment="1">
      <alignment vertical="center"/>
    </xf>
    <xf numFmtId="1" fontId="5" fillId="2" borderId="15" xfId="0" applyNumberFormat="1" applyFont="1" applyFill="1" applyBorder="1" applyAlignment="1">
      <alignment horizontal="center" vertical="center"/>
    </xf>
    <xf numFmtId="0" fontId="0" fillId="0" borderId="10" xfId="0" applyBorder="1" applyAlignment="1">
      <alignment horizontal="center" vertical="center"/>
    </xf>
    <xf numFmtId="0" fontId="4" fillId="2" borderId="0" xfId="514" applyFont="1" applyFill="1" applyAlignment="1">
      <alignment horizontal="center" vertical="center"/>
    </xf>
    <xf numFmtId="0" fontId="22" fillId="6" borderId="0" xfId="513" applyFont="1" applyFill="1" applyAlignment="1">
      <alignment horizontal="center" vertical="center"/>
    </xf>
    <xf numFmtId="0" fontId="10" fillId="12" borderId="0" xfId="499" applyFont="1" applyFill="1" applyAlignment="1">
      <alignment horizontal="center"/>
    </xf>
    <xf numFmtId="0" fontId="2" fillId="12" borderId="0" xfId="37" applyFill="1" applyAlignment="1">
      <alignment horizontal="center"/>
    </xf>
    <xf numFmtId="0" fontId="4" fillId="12" borderId="0" xfId="37" applyFont="1" applyFill="1" applyAlignment="1">
      <alignment horizontal="center" vertical="center"/>
    </xf>
    <xf numFmtId="0" fontId="10" fillId="12" borderId="0" xfId="37" applyFont="1" applyFill="1" applyAlignment="1">
      <alignment horizontal="center" vertical="center"/>
    </xf>
    <xf numFmtId="0" fontId="5" fillId="12" borderId="0" xfId="37" applyFont="1" applyFill="1" applyAlignment="1">
      <alignment vertical="center" wrapText="1"/>
    </xf>
    <xf numFmtId="0" fontId="44" fillId="0" borderId="12"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34" fillId="12" borderId="16" xfId="0" applyFont="1" applyFill="1"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2" borderId="0" xfId="14" applyNumberFormat="1" applyFont="1" applyFill="1" applyBorder="1" applyAlignment="1" applyProtection="1">
      <alignment horizontal="right" vertical="center"/>
    </xf>
    <xf numFmtId="0" fontId="5" fillId="0" borderId="0" xfId="14" applyFont="1" applyAlignment="1" applyProtection="1">
      <alignment horizontal="right" vertical="center"/>
    </xf>
    <xf numFmtId="0" fontId="34" fillId="0" borderId="0" xfId="0" applyFont="1" applyAlignment="1">
      <alignment horizontal="center" vertical="center"/>
    </xf>
    <xf numFmtId="0" fontId="0" fillId="0" borderId="0" xfId="0" applyAlignment="1">
      <alignment vertical="center"/>
    </xf>
    <xf numFmtId="3" fontId="5" fillId="2" borderId="12" xfId="61" applyNumberFormat="1" applyFont="1" applyFill="1" applyBorder="1" applyAlignment="1">
      <alignment horizontal="right" vertical="center"/>
    </xf>
    <xf numFmtId="0" fontId="2" fillId="0" borderId="14" xfId="61" applyBorder="1" applyAlignment="1">
      <alignment horizontal="right" vertical="center"/>
    </xf>
    <xf numFmtId="0" fontId="5" fillId="2" borderId="0" xfId="61" applyFont="1" applyFill="1" applyAlignment="1">
      <alignment horizontal="right" vertical="center"/>
    </xf>
    <xf numFmtId="0" fontId="5" fillId="0" borderId="7" xfId="61" applyFont="1" applyBorder="1" applyAlignment="1">
      <alignment horizontal="right" vertical="center"/>
    </xf>
    <xf numFmtId="37" fontId="5" fillId="2" borderId="16" xfId="0" applyNumberFormat="1" applyFont="1" applyFill="1" applyBorder="1" applyAlignment="1">
      <alignment horizontal="left" vertical="top"/>
    </xf>
    <xf numFmtId="37" fontId="5" fillId="2" borderId="12" xfId="0" applyNumberFormat="1" applyFont="1" applyFill="1" applyBorder="1" applyAlignment="1">
      <alignment horizontal="left" vertical="top"/>
    </xf>
    <xf numFmtId="37" fontId="5" fillId="2" borderId="14" xfId="0" applyNumberFormat="1" applyFont="1" applyFill="1" applyBorder="1" applyAlignment="1">
      <alignment horizontal="left" vertical="top"/>
    </xf>
    <xf numFmtId="37" fontId="5" fillId="2" borderId="9" xfId="0" applyNumberFormat="1" applyFont="1" applyFill="1" applyBorder="1" applyAlignment="1">
      <alignment horizontal="left" vertical="top"/>
    </xf>
    <xf numFmtId="37" fontId="5" fillId="2" borderId="0" xfId="0" applyNumberFormat="1" applyFont="1" applyFill="1" applyAlignment="1">
      <alignment horizontal="left" vertical="top"/>
    </xf>
    <xf numFmtId="37" fontId="5" fillId="2" borderId="7" xfId="0" applyNumberFormat="1" applyFont="1" applyFill="1" applyBorder="1" applyAlignment="1">
      <alignment horizontal="left" vertical="top"/>
    </xf>
    <xf numFmtId="37" fontId="5" fillId="2" borderId="15" xfId="0" applyNumberFormat="1" applyFont="1" applyFill="1" applyBorder="1" applyAlignment="1">
      <alignment horizontal="left" vertical="top"/>
    </xf>
    <xf numFmtId="37" fontId="5" fillId="2" borderId="4" xfId="0" applyNumberFormat="1" applyFont="1" applyFill="1" applyBorder="1" applyAlignment="1">
      <alignment horizontal="left" vertical="top"/>
    </xf>
    <xf numFmtId="37" fontId="5" fillId="2" borderId="10" xfId="0" applyNumberFormat="1" applyFont="1" applyFill="1" applyBorder="1" applyAlignment="1">
      <alignment horizontal="left" vertical="top"/>
    </xf>
    <xf numFmtId="171" fontId="34" fillId="12" borderId="16" xfId="0" applyNumberFormat="1" applyFont="1" applyFill="1" applyBorder="1" applyAlignment="1">
      <alignment horizontal="center" wrapText="1"/>
    </xf>
    <xf numFmtId="171" fontId="34" fillId="12" borderId="12" xfId="0" applyNumberFormat="1" applyFont="1" applyFill="1" applyBorder="1" applyAlignment="1">
      <alignment horizontal="center" wrapText="1"/>
    </xf>
    <xf numFmtId="171" fontId="34" fillId="12" borderId="14" xfId="0" applyNumberFormat="1" applyFont="1" applyFill="1" applyBorder="1" applyAlignment="1">
      <alignment horizontal="center" wrapText="1"/>
    </xf>
    <xf numFmtId="171" fontId="34" fillId="12" borderId="9" xfId="0" applyNumberFormat="1" applyFont="1" applyFill="1" applyBorder="1" applyAlignment="1">
      <alignment horizontal="center" wrapText="1"/>
    </xf>
    <xf numFmtId="171" fontId="34" fillId="12" borderId="0" xfId="0" applyNumberFormat="1" applyFont="1" applyFill="1" applyAlignment="1">
      <alignment horizontal="center" wrapText="1"/>
    </xf>
    <xf numFmtId="171" fontId="34" fillId="12" borderId="7" xfId="0" applyNumberFormat="1" applyFont="1" applyFill="1" applyBorder="1" applyAlignment="1">
      <alignment horizontal="center" wrapText="1"/>
    </xf>
    <xf numFmtId="0" fontId="48" fillId="12" borderId="7" xfId="0" applyFont="1" applyFill="1" applyBorder="1" applyAlignment="1">
      <alignment horizontal="center" vertical="center"/>
    </xf>
    <xf numFmtId="0" fontId="48" fillId="12" borderId="10" xfId="0" applyFont="1" applyFill="1" applyBorder="1" applyAlignment="1">
      <alignment horizontal="center" vertical="center"/>
    </xf>
    <xf numFmtId="0" fontId="5" fillId="12" borderId="9"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15" xfId="0" applyFont="1" applyFill="1" applyBorder="1" applyAlignment="1">
      <alignment horizontal="center" vertical="center" wrapText="1"/>
    </xf>
    <xf numFmtId="0" fontId="5" fillId="12" borderId="4" xfId="0" applyFont="1" applyFill="1" applyBorder="1" applyAlignment="1">
      <alignment horizontal="center" vertical="center" wrapText="1"/>
    </xf>
    <xf numFmtId="171" fontId="34" fillId="12" borderId="16" xfId="0" applyNumberFormat="1" applyFont="1" applyFill="1" applyBorder="1" applyAlignment="1">
      <alignment horizontal="center" vertical="center" wrapText="1"/>
    </xf>
    <xf numFmtId="171" fontId="34" fillId="12" borderId="12" xfId="0" applyNumberFormat="1" applyFont="1" applyFill="1" applyBorder="1" applyAlignment="1">
      <alignment horizontal="center" vertical="center" wrapText="1"/>
    </xf>
    <xf numFmtId="171" fontId="34" fillId="12" borderId="14" xfId="0" applyNumberFormat="1" applyFont="1" applyFill="1" applyBorder="1" applyAlignment="1">
      <alignment horizontal="center" vertical="center" wrapText="1"/>
    </xf>
    <xf numFmtId="171" fontId="34" fillId="12" borderId="9" xfId="0" applyNumberFormat="1" applyFont="1" applyFill="1" applyBorder="1" applyAlignment="1">
      <alignment horizontal="center" vertical="center" wrapText="1"/>
    </xf>
    <xf numFmtId="171" fontId="34" fillId="12" borderId="0" xfId="0" applyNumberFormat="1" applyFont="1" applyFill="1" applyAlignment="1">
      <alignment horizontal="center" vertical="center" wrapText="1"/>
    </xf>
    <xf numFmtId="171" fontId="34" fillId="12" borderId="7" xfId="0" applyNumberFormat="1" applyFont="1" applyFill="1" applyBorder="1" applyAlignment="1">
      <alignment horizontal="center" vertical="center" wrapText="1"/>
    </xf>
    <xf numFmtId="171" fontId="5" fillId="12" borderId="9" xfId="0" applyNumberFormat="1" applyFont="1" applyFill="1" applyBorder="1" applyAlignment="1">
      <alignment horizontal="center" vertical="center"/>
    </xf>
    <xf numFmtId="171" fontId="5" fillId="12" borderId="0" xfId="0" applyNumberFormat="1" applyFont="1" applyFill="1" applyAlignment="1">
      <alignment horizontal="center" vertical="center"/>
    </xf>
    <xf numFmtId="171" fontId="5" fillId="12" borderId="15" xfId="0" applyNumberFormat="1" applyFont="1" applyFill="1" applyBorder="1" applyAlignment="1">
      <alignment horizontal="center" vertical="center"/>
    </xf>
    <xf numFmtId="171" fontId="5" fillId="12" borderId="4" xfId="0" applyNumberFormat="1" applyFont="1" applyFill="1" applyBorder="1" applyAlignment="1">
      <alignment horizontal="center" vertical="center"/>
    </xf>
    <xf numFmtId="171" fontId="48" fillId="12" borderId="7" xfId="0" applyNumberFormat="1" applyFont="1" applyFill="1" applyBorder="1" applyAlignment="1">
      <alignment horizontal="center" vertical="center"/>
    </xf>
    <xf numFmtId="171" fontId="48" fillId="12" borderId="10" xfId="0" applyNumberFormat="1" applyFont="1" applyFill="1" applyBorder="1" applyAlignment="1">
      <alignment horizontal="center" vertical="center"/>
    </xf>
    <xf numFmtId="0" fontId="0" fillId="0" borderId="12" xfId="0" applyBorder="1" applyAlignment="1">
      <alignment horizontal="center" vertical="center"/>
    </xf>
    <xf numFmtId="0" fontId="39" fillId="0" borderId="12" xfId="0" applyFont="1" applyBorder="1" applyAlignment="1">
      <alignment horizontal="center" vertical="center"/>
    </xf>
    <xf numFmtId="0" fontId="5" fillId="2" borderId="16" xfId="0" applyFont="1" applyFill="1" applyBorder="1" applyAlignment="1">
      <alignment horizontal="left" vertical="top"/>
    </xf>
    <xf numFmtId="0" fontId="5" fillId="2" borderId="12" xfId="0" applyFont="1" applyFill="1" applyBorder="1" applyAlignment="1">
      <alignment horizontal="left" vertical="top"/>
    </xf>
    <xf numFmtId="0" fontId="5" fillId="2" borderId="14" xfId="0" applyFont="1" applyFill="1" applyBorder="1" applyAlignment="1">
      <alignment horizontal="left" vertical="top"/>
    </xf>
    <xf numFmtId="0" fontId="5" fillId="2" borderId="9" xfId="0" applyFont="1" applyFill="1" applyBorder="1" applyAlignment="1">
      <alignment horizontal="left" vertical="top"/>
    </xf>
    <xf numFmtId="0" fontId="5" fillId="2" borderId="0" xfId="0" applyFont="1" applyFill="1" applyAlignment="1">
      <alignment horizontal="left" vertical="top"/>
    </xf>
    <xf numFmtId="0" fontId="5" fillId="2" borderId="7" xfId="0" applyFont="1" applyFill="1" applyBorder="1" applyAlignment="1">
      <alignment horizontal="left" vertical="top"/>
    </xf>
    <xf numFmtId="0" fontId="5" fillId="2" borderId="15" xfId="0" applyFont="1" applyFill="1" applyBorder="1" applyAlignment="1">
      <alignment horizontal="left" vertical="top"/>
    </xf>
    <xf numFmtId="0" fontId="5" fillId="2" borderId="4" xfId="0" applyFont="1" applyFill="1" applyBorder="1" applyAlignment="1">
      <alignment horizontal="left" vertical="top"/>
    </xf>
    <xf numFmtId="0" fontId="5" fillId="2" borderId="10" xfId="0" applyFont="1" applyFill="1" applyBorder="1" applyAlignment="1">
      <alignment horizontal="left" vertical="top"/>
    </xf>
    <xf numFmtId="171" fontId="7" fillId="12" borderId="9" xfId="0" applyNumberFormat="1" applyFont="1" applyFill="1" applyBorder="1" applyAlignment="1">
      <alignment horizontal="center" vertical="center"/>
    </xf>
    <xf numFmtId="171" fontId="7" fillId="12" borderId="0" xfId="0" applyNumberFormat="1" applyFont="1" applyFill="1" applyAlignment="1">
      <alignment horizontal="center" vertical="center"/>
    </xf>
    <xf numFmtId="171" fontId="7" fillId="12" borderId="15" xfId="0" applyNumberFormat="1" applyFont="1" applyFill="1" applyBorder="1" applyAlignment="1">
      <alignment horizontal="center" vertical="center"/>
    </xf>
    <xf numFmtId="171" fontId="7" fillId="12" borderId="4" xfId="0" applyNumberFormat="1" applyFont="1" applyFill="1" applyBorder="1" applyAlignment="1">
      <alignment horizontal="center" vertical="center"/>
    </xf>
    <xf numFmtId="171" fontId="34" fillId="12" borderId="12" xfId="0" applyNumberFormat="1" applyFont="1" applyFill="1" applyBorder="1" applyAlignment="1">
      <alignment horizontal="center"/>
    </xf>
    <xf numFmtId="171" fontId="34" fillId="12" borderId="14" xfId="0" applyNumberFormat="1" applyFont="1" applyFill="1" applyBorder="1" applyAlignment="1">
      <alignment horizontal="center"/>
    </xf>
    <xf numFmtId="171" fontId="34" fillId="12" borderId="9" xfId="0" applyNumberFormat="1" applyFont="1" applyFill="1" applyBorder="1" applyAlignment="1">
      <alignment horizontal="center"/>
    </xf>
    <xf numFmtId="171" fontId="34" fillId="12" borderId="0" xfId="0" applyNumberFormat="1" applyFont="1" applyFill="1" applyAlignment="1">
      <alignment horizontal="center"/>
    </xf>
    <xf numFmtId="171" fontId="34" fillId="12" borderId="7" xfId="0" applyNumberFormat="1" applyFont="1" applyFill="1" applyBorder="1" applyAlignment="1">
      <alignment horizontal="center"/>
    </xf>
    <xf numFmtId="0" fontId="5" fillId="2" borderId="0" xfId="0" applyFont="1" applyFill="1" applyAlignment="1">
      <alignment horizontal="right" vertical="center"/>
    </xf>
    <xf numFmtId="0" fontId="17" fillId="2" borderId="0" xfId="0" applyFont="1" applyFill="1" applyAlignment="1">
      <alignment horizontal="center" vertical="center"/>
    </xf>
    <xf numFmtId="0" fontId="4" fillId="2" borderId="6" xfId="0" applyFont="1" applyFill="1" applyBorder="1" applyAlignment="1">
      <alignment vertical="center"/>
    </xf>
    <xf numFmtId="0" fontId="4" fillId="2" borderId="11" xfId="0" applyFont="1" applyFill="1" applyBorder="1" applyAlignment="1">
      <alignment vertical="center"/>
    </xf>
    <xf numFmtId="37" fontId="4" fillId="2" borderId="0" xfId="0" applyNumberFormat="1" applyFont="1" applyFill="1" applyAlignment="1">
      <alignment horizontal="center"/>
    </xf>
    <xf numFmtId="37" fontId="5" fillId="2" borderId="0" xfId="0" applyNumberFormat="1" applyFont="1" applyFill="1" applyAlignment="1">
      <alignment horizontal="center"/>
    </xf>
    <xf numFmtId="37" fontId="10" fillId="2" borderId="0" xfId="0" applyNumberFormat="1" applyFont="1" applyFill="1" applyAlignment="1">
      <alignment horizontal="center"/>
    </xf>
    <xf numFmtId="49" fontId="5" fillId="2" borderId="0" xfId="0" applyNumberFormat="1" applyFont="1" applyFill="1" applyAlignment="1">
      <alignment horizontal="center"/>
    </xf>
    <xf numFmtId="0" fontId="10" fillId="12" borderId="16" xfId="0" applyFon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0" fillId="12" borderId="12" xfId="0" applyFont="1" applyFill="1" applyBorder="1" applyAlignment="1">
      <alignment horizontal="center"/>
    </xf>
    <xf numFmtId="0" fontId="10" fillId="12" borderId="14" xfId="0" applyFont="1" applyFill="1" applyBorder="1" applyAlignment="1">
      <alignment horizontal="center"/>
    </xf>
    <xf numFmtId="37" fontId="17" fillId="2" borderId="15" xfId="0" applyNumberFormat="1" applyFont="1" applyFill="1" applyBorder="1" applyAlignment="1">
      <alignment horizontal="right"/>
    </xf>
    <xf numFmtId="37" fontId="17" fillId="2" borderId="4" xfId="0" applyNumberFormat="1" applyFont="1" applyFill="1" applyBorder="1" applyAlignment="1">
      <alignment horizontal="right"/>
    </xf>
    <xf numFmtId="37" fontId="17" fillId="2" borderId="10" xfId="0" applyNumberFormat="1" applyFont="1" applyFill="1" applyBorder="1" applyAlignment="1">
      <alignment horizontal="right"/>
    </xf>
    <xf numFmtId="37" fontId="5" fillId="2" borderId="0" xfId="0" applyNumberFormat="1" applyFont="1" applyFill="1" applyAlignment="1">
      <alignment horizontal="center" wrapText="1"/>
    </xf>
    <xf numFmtId="37" fontId="5" fillId="2" borderId="0" xfId="0" applyNumberFormat="1" applyFont="1" applyFill="1" applyAlignment="1">
      <alignment horizontal="center" vertical="top"/>
    </xf>
    <xf numFmtId="0" fontId="4" fillId="12" borderId="16" xfId="0" applyFont="1" applyFill="1" applyBorder="1" applyAlignment="1">
      <alignment horizontal="center" wrapText="1"/>
    </xf>
    <xf numFmtId="0" fontId="10" fillId="12" borderId="12" xfId="0" applyFont="1" applyFill="1" applyBorder="1" applyAlignment="1">
      <alignment horizontal="center" wrapText="1"/>
    </xf>
    <xf numFmtId="0" fontId="10" fillId="12" borderId="15" xfId="0" applyFont="1" applyFill="1" applyBorder="1" applyAlignment="1">
      <alignment horizontal="center" wrapText="1"/>
    </xf>
    <xf numFmtId="0" fontId="10" fillId="12" borderId="4" xfId="0" applyFont="1" applyFill="1" applyBorder="1" applyAlignment="1">
      <alignment horizontal="center" wrapText="1"/>
    </xf>
    <xf numFmtId="0" fontId="49" fillId="12" borderId="14" xfId="0" applyFont="1" applyFill="1" applyBorder="1" applyAlignment="1">
      <alignment horizontal="center" vertical="center" wrapText="1"/>
    </xf>
    <xf numFmtId="0" fontId="50" fillId="12" borderId="10" xfId="0"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5" fillId="2" borderId="0" xfId="0" applyFont="1" applyFill="1" applyAlignment="1">
      <alignment horizontal="center"/>
    </xf>
    <xf numFmtId="0" fontId="5" fillId="2" borderId="1"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center"/>
    </xf>
    <xf numFmtId="0" fontId="5" fillId="2" borderId="0" xfId="0" applyFont="1" applyFill="1" applyAlignment="1">
      <alignment horizontal="right"/>
    </xf>
    <xf numFmtId="0" fontId="0" fillId="0" borderId="0" xfId="0" applyAlignment="1">
      <alignment horizontal="right"/>
    </xf>
    <xf numFmtId="0" fontId="10"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56" fillId="0" borderId="6" xfId="515" applyFont="1" applyBorder="1" applyAlignment="1">
      <alignment horizontal="center"/>
    </xf>
    <xf numFmtId="0" fontId="56" fillId="0" borderId="8" xfId="515" applyFont="1" applyBorder="1" applyAlignment="1">
      <alignment horizontal="center"/>
    </xf>
    <xf numFmtId="0" fontId="56" fillId="0" borderId="11" xfId="515" applyFont="1" applyBorder="1" applyAlignment="1">
      <alignment horizontal="center"/>
    </xf>
    <xf numFmtId="0" fontId="56" fillId="0" borderId="4" xfId="515" applyFont="1" applyBorder="1" applyAlignment="1">
      <alignment horizontal="center" wrapText="1"/>
    </xf>
    <xf numFmtId="0" fontId="55" fillId="0" borderId="0" xfId="515" applyFont="1" applyAlignment="1">
      <alignment horizontal="center"/>
    </xf>
    <xf numFmtId="0" fontId="56" fillId="0" borderId="0" xfId="515" applyFont="1" applyAlignment="1">
      <alignment horizontal="center" wrapText="1"/>
    </xf>
    <xf numFmtId="0" fontId="56" fillId="0" borderId="0" xfId="515" applyFont="1" applyAlignment="1">
      <alignment horizontal="center"/>
    </xf>
    <xf numFmtId="0" fontId="59" fillId="19" borderId="6" xfId="515" applyFont="1" applyFill="1" applyBorder="1" applyAlignment="1">
      <alignment horizontal="center" vertical="center"/>
    </xf>
    <xf numFmtId="0" fontId="59" fillId="19" borderId="8" xfId="515" applyFont="1" applyFill="1" applyBorder="1" applyAlignment="1">
      <alignment horizontal="center" vertical="center"/>
    </xf>
    <xf numFmtId="0" fontId="59" fillId="19" borderId="11" xfId="515" applyFont="1" applyFill="1" applyBorder="1" applyAlignment="1">
      <alignment horizontal="center" vertical="center"/>
    </xf>
    <xf numFmtId="0" fontId="56" fillId="0" borderId="1" xfId="515" applyFont="1" applyBorder="1" applyAlignment="1">
      <alignment horizontal="center"/>
    </xf>
    <xf numFmtId="0" fontId="56" fillId="0" borderId="5" xfId="515" applyFont="1" applyBorder="1" applyAlignment="1">
      <alignment horizontal="center"/>
    </xf>
    <xf numFmtId="0" fontId="58" fillId="0" borderId="3" xfId="515" applyFont="1" applyBorder="1" applyAlignment="1">
      <alignment horizontal="center" vertical="center"/>
    </xf>
    <xf numFmtId="0" fontId="5" fillId="0" borderId="0" xfId="0" applyFont="1" applyAlignment="1">
      <alignment wrapText="1"/>
    </xf>
    <xf numFmtId="0" fontId="4" fillId="0" borderId="0" xfId="0" applyFont="1" applyAlignment="1">
      <alignment wrapText="1"/>
    </xf>
    <xf numFmtId="0" fontId="51" fillId="0" borderId="0" xfId="0" quotePrefix="1" applyFont="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66" fillId="0" borderId="0" xfId="0" applyFont="1" applyAlignment="1">
      <alignment horizontal="center" wrapText="1"/>
    </xf>
    <xf numFmtId="0" fontId="0" fillId="0" borderId="14" xfId="0" applyBorder="1" applyAlignment="1"/>
    <xf numFmtId="0" fontId="0" fillId="0" borderId="0" xfId="0" applyAlignment="1"/>
  </cellXfs>
  <cellStyles count="516">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2" xfId="12" xr:uid="{00000000-0005-0000-0000-00000B000000}"/>
    <cellStyle name="Comma 7 3" xfId="13" xr:uid="{00000000-0005-0000-0000-00000C000000}"/>
    <cellStyle name="Hyperlink" xfId="14" builtinId="8"/>
    <cellStyle name="Hyperlink 16" xfId="15" xr:uid="{00000000-0005-0000-0000-00000E000000}"/>
    <cellStyle name="Hyperlink 2 2" xfId="16" xr:uid="{00000000-0005-0000-0000-00000F000000}"/>
    <cellStyle name="Hyperlink 2 3" xfId="17" xr:uid="{00000000-0005-0000-0000-000010000000}"/>
    <cellStyle name="Hyperlink 3 2" xfId="18" xr:uid="{00000000-0005-0000-0000-000011000000}"/>
    <cellStyle name="Hyperlink 3 3" xfId="19" xr:uid="{00000000-0005-0000-0000-000012000000}"/>
    <cellStyle name="Hyperlink 3 4" xfId="20" xr:uid="{00000000-0005-0000-0000-000013000000}"/>
    <cellStyle name="Hyperlink 4 2" xfId="21" xr:uid="{00000000-0005-0000-0000-000014000000}"/>
    <cellStyle name="Hyperlink 7 2" xfId="22" xr:uid="{00000000-0005-0000-0000-000015000000}"/>
    <cellStyle name="Hyperlink 7 3" xfId="23" xr:uid="{00000000-0005-0000-0000-000016000000}"/>
    <cellStyle name="Hyperlink 8 2" xfId="24" xr:uid="{00000000-0005-0000-0000-000017000000}"/>
    <cellStyle name="Normal" xfId="0" builtinId="0"/>
    <cellStyle name="Normal 10" xfId="25" xr:uid="{00000000-0005-0000-0000-000019000000}"/>
    <cellStyle name="Normal 10 2" xfId="26" xr:uid="{00000000-0005-0000-0000-00001A000000}"/>
    <cellStyle name="Normal 10 2 2" xfId="27" xr:uid="{00000000-0005-0000-0000-00001B000000}"/>
    <cellStyle name="Normal 10 2 2 2" xfId="28" xr:uid="{00000000-0005-0000-0000-00001C000000}"/>
    <cellStyle name="Normal 10 2 2 3" xfId="29" xr:uid="{00000000-0005-0000-0000-00001D000000}"/>
    <cellStyle name="Normal 10 2 3" xfId="30" xr:uid="{00000000-0005-0000-0000-00001E000000}"/>
    <cellStyle name="Normal 10 3" xfId="31" xr:uid="{00000000-0005-0000-0000-00001F000000}"/>
    <cellStyle name="Normal 10 3 2" xfId="32" xr:uid="{00000000-0005-0000-0000-000020000000}"/>
    <cellStyle name="Normal 10 3 3" xfId="33" xr:uid="{00000000-0005-0000-0000-000021000000}"/>
    <cellStyle name="Normal 10 4" xfId="34" xr:uid="{00000000-0005-0000-0000-000022000000}"/>
    <cellStyle name="Normal 10 4 2" xfId="35" xr:uid="{00000000-0005-0000-0000-000023000000}"/>
    <cellStyle name="Normal 10 4 3" xfId="36" xr:uid="{00000000-0005-0000-0000-000024000000}"/>
    <cellStyle name="Normal 10 5" xfId="37" xr:uid="{00000000-0005-0000-0000-000025000000}"/>
    <cellStyle name="Normal 10 5 2" xfId="38" xr:uid="{00000000-0005-0000-0000-000026000000}"/>
    <cellStyle name="Normal 10 5 3" xfId="39" xr:uid="{00000000-0005-0000-0000-000027000000}"/>
    <cellStyle name="Normal 10 6" xfId="40" xr:uid="{00000000-0005-0000-0000-000028000000}"/>
    <cellStyle name="Normal 10 6 2" xfId="41" xr:uid="{00000000-0005-0000-0000-000029000000}"/>
    <cellStyle name="Normal 10 6 3" xfId="42" xr:uid="{00000000-0005-0000-0000-00002A000000}"/>
    <cellStyle name="Normal 10 7" xfId="43" xr:uid="{00000000-0005-0000-0000-00002B000000}"/>
    <cellStyle name="Normal 10 7 2" xfId="44" xr:uid="{00000000-0005-0000-0000-00002C000000}"/>
    <cellStyle name="Normal 10 7 3" xfId="45" xr:uid="{00000000-0005-0000-0000-00002D000000}"/>
    <cellStyle name="Normal 11" xfId="46" xr:uid="{00000000-0005-0000-0000-00002E000000}"/>
    <cellStyle name="Normal 11 2" xfId="47" xr:uid="{00000000-0005-0000-0000-00002F000000}"/>
    <cellStyle name="Normal 11 2 2" xfId="48" xr:uid="{00000000-0005-0000-0000-000030000000}"/>
    <cellStyle name="Normal 11 2 3" xfId="49" xr:uid="{00000000-0005-0000-0000-000031000000}"/>
    <cellStyle name="Normal 11 3" xfId="50" xr:uid="{00000000-0005-0000-0000-000032000000}"/>
    <cellStyle name="Normal 11 4" xfId="51" xr:uid="{00000000-0005-0000-0000-000033000000}"/>
    <cellStyle name="Normal 11 5" xfId="52" xr:uid="{00000000-0005-0000-0000-000034000000}"/>
    <cellStyle name="Normal 11 5 2" xfId="53" xr:uid="{00000000-0005-0000-0000-000035000000}"/>
    <cellStyle name="Normal 11 5 3" xfId="54" xr:uid="{00000000-0005-0000-0000-000036000000}"/>
    <cellStyle name="Normal 11 6" xfId="55" xr:uid="{00000000-0005-0000-0000-000037000000}"/>
    <cellStyle name="Normal 12" xfId="56" xr:uid="{00000000-0005-0000-0000-000038000000}"/>
    <cellStyle name="Normal 12 10" xfId="57" xr:uid="{00000000-0005-0000-0000-000039000000}"/>
    <cellStyle name="Normal 12 11" xfId="58" xr:uid="{00000000-0005-0000-0000-00003A000000}"/>
    <cellStyle name="Normal 12 12" xfId="59" xr:uid="{00000000-0005-0000-0000-00003B000000}"/>
    <cellStyle name="Normal 12 13" xfId="60" xr:uid="{00000000-0005-0000-0000-00003C000000}"/>
    <cellStyle name="Normal 12 2" xfId="61" xr:uid="{00000000-0005-0000-0000-00003D000000}"/>
    <cellStyle name="Normal 12 2 2" xfId="62" xr:uid="{00000000-0005-0000-0000-00003E000000}"/>
    <cellStyle name="Normal 12 3" xfId="63" xr:uid="{00000000-0005-0000-0000-00003F000000}"/>
    <cellStyle name="Normal 12 4" xfId="64" xr:uid="{00000000-0005-0000-0000-000040000000}"/>
    <cellStyle name="Normal 12 5" xfId="65" xr:uid="{00000000-0005-0000-0000-000041000000}"/>
    <cellStyle name="Normal 12 6" xfId="66" xr:uid="{00000000-0005-0000-0000-000042000000}"/>
    <cellStyle name="Normal 12 7" xfId="67" xr:uid="{00000000-0005-0000-0000-000043000000}"/>
    <cellStyle name="Normal 12 8" xfId="68" xr:uid="{00000000-0005-0000-0000-000044000000}"/>
    <cellStyle name="Normal 12 9" xfId="69" xr:uid="{00000000-0005-0000-0000-000045000000}"/>
    <cellStyle name="Normal 13" xfId="70" xr:uid="{00000000-0005-0000-0000-000046000000}"/>
    <cellStyle name="Normal 13 10" xfId="71" xr:uid="{00000000-0005-0000-0000-000047000000}"/>
    <cellStyle name="Normal 13 11" xfId="72" xr:uid="{00000000-0005-0000-0000-000048000000}"/>
    <cellStyle name="Normal 13 12" xfId="73" xr:uid="{00000000-0005-0000-0000-000049000000}"/>
    <cellStyle name="Normal 13 13" xfId="74" xr:uid="{00000000-0005-0000-0000-00004A000000}"/>
    <cellStyle name="Normal 13 2" xfId="75" xr:uid="{00000000-0005-0000-0000-00004B000000}"/>
    <cellStyle name="Normal 13 2 2" xfId="76" xr:uid="{00000000-0005-0000-0000-00004C000000}"/>
    <cellStyle name="Normal 13 3" xfId="77" xr:uid="{00000000-0005-0000-0000-00004D000000}"/>
    <cellStyle name="Normal 13 4" xfId="78" xr:uid="{00000000-0005-0000-0000-00004E000000}"/>
    <cellStyle name="Normal 13 5" xfId="79" xr:uid="{00000000-0005-0000-0000-00004F000000}"/>
    <cellStyle name="Normal 13 6" xfId="80" xr:uid="{00000000-0005-0000-0000-000050000000}"/>
    <cellStyle name="Normal 13 7" xfId="81" xr:uid="{00000000-0005-0000-0000-000051000000}"/>
    <cellStyle name="Normal 13 8" xfId="82" xr:uid="{00000000-0005-0000-0000-000052000000}"/>
    <cellStyle name="Normal 13 9" xfId="83" xr:uid="{00000000-0005-0000-0000-000053000000}"/>
    <cellStyle name="Normal 14" xfId="84" xr:uid="{00000000-0005-0000-0000-000054000000}"/>
    <cellStyle name="Normal 14 2" xfId="85" xr:uid="{00000000-0005-0000-0000-000055000000}"/>
    <cellStyle name="Normal 14 3" xfId="86" xr:uid="{00000000-0005-0000-0000-000056000000}"/>
    <cellStyle name="Normal 14 4" xfId="87" xr:uid="{00000000-0005-0000-0000-000057000000}"/>
    <cellStyle name="Normal 14 5" xfId="88" xr:uid="{00000000-0005-0000-0000-000058000000}"/>
    <cellStyle name="Normal 14 6" xfId="89" xr:uid="{00000000-0005-0000-0000-000059000000}"/>
    <cellStyle name="Normal 14 7" xfId="90" xr:uid="{00000000-0005-0000-0000-00005A000000}"/>
    <cellStyle name="Normal 14 7 2" xfId="91" xr:uid="{00000000-0005-0000-0000-00005B000000}"/>
    <cellStyle name="Normal 14 7 3" xfId="92" xr:uid="{00000000-0005-0000-0000-00005C000000}"/>
    <cellStyle name="Normal 15" xfId="93" xr:uid="{00000000-0005-0000-0000-00005D000000}"/>
    <cellStyle name="Normal 15 2" xfId="94" xr:uid="{00000000-0005-0000-0000-00005E000000}"/>
    <cellStyle name="Normal 15 3" xfId="95" xr:uid="{00000000-0005-0000-0000-00005F000000}"/>
    <cellStyle name="Normal 15 4" xfId="96" xr:uid="{00000000-0005-0000-0000-000060000000}"/>
    <cellStyle name="Normal 15 5" xfId="97" xr:uid="{00000000-0005-0000-0000-000061000000}"/>
    <cellStyle name="Normal 16" xfId="98" xr:uid="{00000000-0005-0000-0000-000062000000}"/>
    <cellStyle name="Normal 16 2" xfId="99" xr:uid="{00000000-0005-0000-0000-000063000000}"/>
    <cellStyle name="Normal 16 3" xfId="100" xr:uid="{00000000-0005-0000-0000-000064000000}"/>
    <cellStyle name="Normal 16 4" xfId="101" xr:uid="{00000000-0005-0000-0000-000065000000}"/>
    <cellStyle name="Normal 16 5" xfId="102" xr:uid="{00000000-0005-0000-0000-000066000000}"/>
    <cellStyle name="Normal 17" xfId="103" xr:uid="{00000000-0005-0000-0000-000067000000}"/>
    <cellStyle name="Normal 17 2" xfId="104" xr:uid="{00000000-0005-0000-0000-000068000000}"/>
    <cellStyle name="Normal 17 3" xfId="105" xr:uid="{00000000-0005-0000-0000-000069000000}"/>
    <cellStyle name="Normal 17 4" xfId="106" xr:uid="{00000000-0005-0000-0000-00006A000000}"/>
    <cellStyle name="Normal 17 5" xfId="107" xr:uid="{00000000-0005-0000-0000-00006B000000}"/>
    <cellStyle name="Normal 18 2" xfId="108" xr:uid="{00000000-0005-0000-0000-00006C000000}"/>
    <cellStyle name="Normal 18 2 2" xfId="109" xr:uid="{00000000-0005-0000-0000-00006D000000}"/>
    <cellStyle name="Normal 18 2 3" xfId="110" xr:uid="{00000000-0005-0000-0000-00006E000000}"/>
    <cellStyle name="Normal 18 3" xfId="111" xr:uid="{00000000-0005-0000-0000-00006F000000}"/>
    <cellStyle name="Normal 18 4" xfId="112" xr:uid="{00000000-0005-0000-0000-000070000000}"/>
    <cellStyle name="Normal 18 5" xfId="113" xr:uid="{00000000-0005-0000-0000-000071000000}"/>
    <cellStyle name="Normal 18 6" xfId="114" xr:uid="{00000000-0005-0000-0000-000072000000}"/>
    <cellStyle name="Normal 18 7" xfId="115" xr:uid="{00000000-0005-0000-0000-000073000000}"/>
    <cellStyle name="Normal 18 8" xfId="116" xr:uid="{00000000-0005-0000-0000-000074000000}"/>
    <cellStyle name="Normal 18 9" xfId="117" xr:uid="{00000000-0005-0000-0000-000075000000}"/>
    <cellStyle name="Normal 19" xfId="118" xr:uid="{00000000-0005-0000-0000-000076000000}"/>
    <cellStyle name="Normal 19 2" xfId="119" xr:uid="{00000000-0005-0000-0000-000077000000}"/>
    <cellStyle name="Normal 19 2 2" xfId="120" xr:uid="{00000000-0005-0000-0000-000078000000}"/>
    <cellStyle name="Normal 19 2 3" xfId="121" xr:uid="{00000000-0005-0000-0000-000079000000}"/>
    <cellStyle name="Normal 19 3" xfId="122" xr:uid="{00000000-0005-0000-0000-00007A000000}"/>
    <cellStyle name="Normal 19 4" xfId="123" xr:uid="{00000000-0005-0000-0000-00007B000000}"/>
    <cellStyle name="Normal 19 5" xfId="124" xr:uid="{00000000-0005-0000-0000-00007C000000}"/>
    <cellStyle name="Normal 19 6" xfId="125" xr:uid="{00000000-0005-0000-0000-00007D000000}"/>
    <cellStyle name="Normal 19 7" xfId="126" xr:uid="{00000000-0005-0000-0000-00007E000000}"/>
    <cellStyle name="Normal 19 8" xfId="127" xr:uid="{00000000-0005-0000-0000-00007F000000}"/>
    <cellStyle name="Normal 2" xfId="128" xr:uid="{00000000-0005-0000-0000-000080000000}"/>
    <cellStyle name="Normal 2 10" xfId="129" xr:uid="{00000000-0005-0000-0000-000081000000}"/>
    <cellStyle name="Normal 2 10 10" xfId="130" xr:uid="{00000000-0005-0000-0000-000082000000}"/>
    <cellStyle name="Normal 2 10 11" xfId="131" xr:uid="{00000000-0005-0000-0000-000083000000}"/>
    <cellStyle name="Normal 2 10 11 2" xfId="132" xr:uid="{00000000-0005-0000-0000-000084000000}"/>
    <cellStyle name="Normal 2 10 11 2 2" xfId="133" xr:uid="{00000000-0005-0000-0000-000085000000}"/>
    <cellStyle name="Normal 2 10 11 2 2 2" xfId="134" xr:uid="{00000000-0005-0000-0000-000086000000}"/>
    <cellStyle name="Normal 2 10 11 2 2 3" xfId="135" xr:uid="{00000000-0005-0000-0000-000087000000}"/>
    <cellStyle name="Normal 2 10 11 3" xfId="136" xr:uid="{00000000-0005-0000-0000-000088000000}"/>
    <cellStyle name="Normal 2 10 11 4" xfId="137" xr:uid="{00000000-0005-0000-0000-000089000000}"/>
    <cellStyle name="Normal 2 10 11 5" xfId="138" xr:uid="{00000000-0005-0000-0000-00008A000000}"/>
    <cellStyle name="Normal 2 10 12" xfId="139" xr:uid="{00000000-0005-0000-0000-00008B000000}"/>
    <cellStyle name="Normal 2 10 2" xfId="140" xr:uid="{00000000-0005-0000-0000-00008C000000}"/>
    <cellStyle name="Normal 2 10 2 2" xfId="141" xr:uid="{00000000-0005-0000-0000-00008D000000}"/>
    <cellStyle name="Normal 2 10 3" xfId="142" xr:uid="{00000000-0005-0000-0000-00008E000000}"/>
    <cellStyle name="Normal 2 10 3 2" xfId="143" xr:uid="{00000000-0005-0000-0000-00008F000000}"/>
    <cellStyle name="Normal 2 10 4" xfId="144" xr:uid="{00000000-0005-0000-0000-000090000000}"/>
    <cellStyle name="Normal 2 10 4 2" xfId="145" xr:uid="{00000000-0005-0000-0000-000091000000}"/>
    <cellStyle name="Normal 2 10 5" xfId="146" xr:uid="{00000000-0005-0000-0000-000092000000}"/>
    <cellStyle name="Normal 2 10 5 2" xfId="147" xr:uid="{00000000-0005-0000-0000-000093000000}"/>
    <cellStyle name="Normal 2 10 6" xfId="148" xr:uid="{00000000-0005-0000-0000-000094000000}"/>
    <cellStyle name="Normal 2 10 6 2" xfId="149" xr:uid="{00000000-0005-0000-0000-000095000000}"/>
    <cellStyle name="Normal 2 10 7" xfId="150" xr:uid="{00000000-0005-0000-0000-000096000000}"/>
    <cellStyle name="Normal 2 10 7 2" xfId="151" xr:uid="{00000000-0005-0000-0000-000097000000}"/>
    <cellStyle name="Normal 2 10 8" xfId="152" xr:uid="{00000000-0005-0000-0000-000098000000}"/>
    <cellStyle name="Normal 2 10 8 2" xfId="153" xr:uid="{00000000-0005-0000-0000-000099000000}"/>
    <cellStyle name="Normal 2 10 9" xfId="154" xr:uid="{00000000-0005-0000-0000-00009A000000}"/>
    <cellStyle name="Normal 2 11" xfId="155" xr:uid="{00000000-0005-0000-0000-00009B000000}"/>
    <cellStyle name="Normal 2 11 10" xfId="156" xr:uid="{00000000-0005-0000-0000-00009C000000}"/>
    <cellStyle name="Normal 2 11 11" xfId="157" xr:uid="{00000000-0005-0000-0000-00009D000000}"/>
    <cellStyle name="Normal 2 11 2" xfId="158" xr:uid="{00000000-0005-0000-0000-00009E000000}"/>
    <cellStyle name="Normal 2 11 2 2" xfId="159" xr:uid="{00000000-0005-0000-0000-00009F000000}"/>
    <cellStyle name="Normal 2 11 3" xfId="160" xr:uid="{00000000-0005-0000-0000-0000A0000000}"/>
    <cellStyle name="Normal 2 11 3 2" xfId="161" xr:uid="{00000000-0005-0000-0000-0000A1000000}"/>
    <cellStyle name="Normal 2 11 4" xfId="162" xr:uid="{00000000-0005-0000-0000-0000A2000000}"/>
    <cellStyle name="Normal 2 11 4 2" xfId="163" xr:uid="{00000000-0005-0000-0000-0000A3000000}"/>
    <cellStyle name="Normal 2 11 5" xfId="164" xr:uid="{00000000-0005-0000-0000-0000A4000000}"/>
    <cellStyle name="Normal 2 11 5 2" xfId="165" xr:uid="{00000000-0005-0000-0000-0000A5000000}"/>
    <cellStyle name="Normal 2 11 6" xfId="166" xr:uid="{00000000-0005-0000-0000-0000A6000000}"/>
    <cellStyle name="Normal 2 11 6 2" xfId="167" xr:uid="{00000000-0005-0000-0000-0000A7000000}"/>
    <cellStyle name="Normal 2 11 7" xfId="168" xr:uid="{00000000-0005-0000-0000-0000A8000000}"/>
    <cellStyle name="Normal 2 11 7 2" xfId="169" xr:uid="{00000000-0005-0000-0000-0000A9000000}"/>
    <cellStyle name="Normal 2 11 8" xfId="170" xr:uid="{00000000-0005-0000-0000-0000AA000000}"/>
    <cellStyle name="Normal 2 11 8 2" xfId="171" xr:uid="{00000000-0005-0000-0000-0000AB000000}"/>
    <cellStyle name="Normal 2 11 9" xfId="172" xr:uid="{00000000-0005-0000-0000-0000AC000000}"/>
    <cellStyle name="Normal 2 12" xfId="173" xr:uid="{00000000-0005-0000-0000-0000AD000000}"/>
    <cellStyle name="Normal 2 13" xfId="174" xr:uid="{00000000-0005-0000-0000-0000AE000000}"/>
    <cellStyle name="Normal 2 14" xfId="175" xr:uid="{00000000-0005-0000-0000-0000AF000000}"/>
    <cellStyle name="Normal 2 15" xfId="176" xr:uid="{00000000-0005-0000-0000-0000B0000000}"/>
    <cellStyle name="Normal 2 16" xfId="177" xr:uid="{00000000-0005-0000-0000-0000B1000000}"/>
    <cellStyle name="Normal 2 17" xfId="178" xr:uid="{00000000-0005-0000-0000-0000B2000000}"/>
    <cellStyle name="Normal 2 17 2" xfId="179" xr:uid="{00000000-0005-0000-0000-0000B3000000}"/>
    <cellStyle name="Normal 2 17 3" xfId="180" xr:uid="{00000000-0005-0000-0000-0000B4000000}"/>
    <cellStyle name="Normal 2 2" xfId="181" xr:uid="{00000000-0005-0000-0000-0000B5000000}"/>
    <cellStyle name="Normal 2 2 10" xfId="182" xr:uid="{00000000-0005-0000-0000-0000B6000000}"/>
    <cellStyle name="Normal 2 2 10 2" xfId="183" xr:uid="{00000000-0005-0000-0000-0000B7000000}"/>
    <cellStyle name="Normal 2 2 11" xfId="184" xr:uid="{00000000-0005-0000-0000-0000B8000000}"/>
    <cellStyle name="Normal 2 2 11 2" xfId="185" xr:uid="{00000000-0005-0000-0000-0000B9000000}"/>
    <cellStyle name="Normal 2 2 12" xfId="186" xr:uid="{00000000-0005-0000-0000-0000BA000000}"/>
    <cellStyle name="Normal 2 2 12 2" xfId="187" xr:uid="{00000000-0005-0000-0000-0000BB000000}"/>
    <cellStyle name="Normal 2 2 12 2 2" xfId="188" xr:uid="{00000000-0005-0000-0000-0000BC000000}"/>
    <cellStyle name="Normal 2 2 12 2 3" xfId="189" xr:uid="{00000000-0005-0000-0000-0000BD000000}"/>
    <cellStyle name="Normal 2 2 12 2 4" xfId="190" xr:uid="{00000000-0005-0000-0000-0000BE000000}"/>
    <cellStyle name="Normal 2 2 12 3" xfId="191" xr:uid="{00000000-0005-0000-0000-0000BF000000}"/>
    <cellStyle name="Normal 2 2 12 4" xfId="192" xr:uid="{00000000-0005-0000-0000-0000C0000000}"/>
    <cellStyle name="Normal 2 2 13" xfId="193" xr:uid="{00000000-0005-0000-0000-0000C1000000}"/>
    <cellStyle name="Normal 2 2 13 2" xfId="194" xr:uid="{00000000-0005-0000-0000-0000C2000000}"/>
    <cellStyle name="Normal 2 2 13 2 2" xfId="195" xr:uid="{00000000-0005-0000-0000-0000C3000000}"/>
    <cellStyle name="Normal 2 2 13 2 3" xfId="196" xr:uid="{00000000-0005-0000-0000-0000C4000000}"/>
    <cellStyle name="Normal 2 2 13 2 4" xfId="197" xr:uid="{00000000-0005-0000-0000-0000C5000000}"/>
    <cellStyle name="Normal 2 2 13 3" xfId="198" xr:uid="{00000000-0005-0000-0000-0000C6000000}"/>
    <cellStyle name="Normal 2 2 13 4" xfId="199" xr:uid="{00000000-0005-0000-0000-0000C7000000}"/>
    <cellStyle name="Normal 2 2 14" xfId="200" xr:uid="{00000000-0005-0000-0000-0000C8000000}"/>
    <cellStyle name="Normal 2 2 14 2" xfId="201" xr:uid="{00000000-0005-0000-0000-0000C9000000}"/>
    <cellStyle name="Normal 2 2 15" xfId="202" xr:uid="{00000000-0005-0000-0000-0000CA000000}"/>
    <cellStyle name="Normal 2 2 15 2" xfId="203" xr:uid="{00000000-0005-0000-0000-0000CB000000}"/>
    <cellStyle name="Normal 2 2 16" xfId="204" xr:uid="{00000000-0005-0000-0000-0000CC000000}"/>
    <cellStyle name="Normal 2 2 16 2" xfId="205" xr:uid="{00000000-0005-0000-0000-0000CD000000}"/>
    <cellStyle name="Normal 2 2 16 3" xfId="206" xr:uid="{00000000-0005-0000-0000-0000CE000000}"/>
    <cellStyle name="Normal 2 2 17" xfId="207" xr:uid="{00000000-0005-0000-0000-0000CF000000}"/>
    <cellStyle name="Normal 2 2 18" xfId="208" xr:uid="{00000000-0005-0000-0000-0000D0000000}"/>
    <cellStyle name="Normal 2 2 19" xfId="209" xr:uid="{00000000-0005-0000-0000-0000D1000000}"/>
    <cellStyle name="Normal 2 2 2" xfId="210" xr:uid="{00000000-0005-0000-0000-0000D2000000}"/>
    <cellStyle name="Normal 2 2 2 2" xfId="211" xr:uid="{00000000-0005-0000-0000-0000D3000000}"/>
    <cellStyle name="Normal 2 2 2 2 2" xfId="212" xr:uid="{00000000-0005-0000-0000-0000D4000000}"/>
    <cellStyle name="Normal 2 2 2 2 3" xfId="213" xr:uid="{00000000-0005-0000-0000-0000D5000000}"/>
    <cellStyle name="Normal 2 2 2 2 3 2" xfId="214" xr:uid="{00000000-0005-0000-0000-0000D6000000}"/>
    <cellStyle name="Normal 2 2 2 2 3 3" xfId="215" xr:uid="{00000000-0005-0000-0000-0000D7000000}"/>
    <cellStyle name="Normal 2 2 2 3" xfId="216" xr:uid="{00000000-0005-0000-0000-0000D8000000}"/>
    <cellStyle name="Normal 2 2 2 3 2" xfId="217" xr:uid="{00000000-0005-0000-0000-0000D9000000}"/>
    <cellStyle name="Normal 2 2 2 3 3" xfId="218" xr:uid="{00000000-0005-0000-0000-0000DA000000}"/>
    <cellStyle name="Normal 2 2 2 3 4" xfId="219" xr:uid="{00000000-0005-0000-0000-0000DB000000}"/>
    <cellStyle name="Normal 2 2 2 4" xfId="220" xr:uid="{00000000-0005-0000-0000-0000DC000000}"/>
    <cellStyle name="Normal 2 2 2 4 2" xfId="221" xr:uid="{00000000-0005-0000-0000-0000DD000000}"/>
    <cellStyle name="Normal 2 2 2 5" xfId="222" xr:uid="{00000000-0005-0000-0000-0000DE000000}"/>
    <cellStyle name="Normal 2 2 2 5 2" xfId="223" xr:uid="{00000000-0005-0000-0000-0000DF000000}"/>
    <cellStyle name="Normal 2 2 2 5 3" xfId="224" xr:uid="{00000000-0005-0000-0000-0000E0000000}"/>
    <cellStyle name="Normal 2 2 2 5 4" xfId="225" xr:uid="{00000000-0005-0000-0000-0000E1000000}"/>
    <cellStyle name="Normal 2 2 2 6" xfId="226" xr:uid="{00000000-0005-0000-0000-0000E2000000}"/>
    <cellStyle name="Normal 2 2 2 6 2" xfId="227" xr:uid="{00000000-0005-0000-0000-0000E3000000}"/>
    <cellStyle name="Normal 2 2 2 7" xfId="228" xr:uid="{00000000-0005-0000-0000-0000E4000000}"/>
    <cellStyle name="Normal 2 2 2 7 2" xfId="229" xr:uid="{00000000-0005-0000-0000-0000E5000000}"/>
    <cellStyle name="Normal 2 2 2 7 3" xfId="230" xr:uid="{00000000-0005-0000-0000-0000E6000000}"/>
    <cellStyle name="Normal 2 2 2 8" xfId="231" xr:uid="{00000000-0005-0000-0000-0000E7000000}"/>
    <cellStyle name="Normal 2 2 20" xfId="232" xr:uid="{00000000-0005-0000-0000-0000E8000000}"/>
    <cellStyle name="Normal 2 2 21" xfId="233" xr:uid="{00000000-0005-0000-0000-0000E9000000}"/>
    <cellStyle name="Normal 2 2 22" xfId="234" xr:uid="{00000000-0005-0000-0000-0000EA000000}"/>
    <cellStyle name="Normal 2 2 3" xfId="235" xr:uid="{00000000-0005-0000-0000-0000EB000000}"/>
    <cellStyle name="Normal 2 2 3 2" xfId="236" xr:uid="{00000000-0005-0000-0000-0000EC000000}"/>
    <cellStyle name="Normal 2 2 4" xfId="237" xr:uid="{00000000-0005-0000-0000-0000ED000000}"/>
    <cellStyle name="Normal 2 2 4 2" xfId="238" xr:uid="{00000000-0005-0000-0000-0000EE000000}"/>
    <cellStyle name="Normal 2 2 5" xfId="239" xr:uid="{00000000-0005-0000-0000-0000EF000000}"/>
    <cellStyle name="Normal 2 2 5 2" xfId="240" xr:uid="{00000000-0005-0000-0000-0000F0000000}"/>
    <cellStyle name="Normal 2 2 6" xfId="241" xr:uid="{00000000-0005-0000-0000-0000F1000000}"/>
    <cellStyle name="Normal 2 2 6 2" xfId="242" xr:uid="{00000000-0005-0000-0000-0000F2000000}"/>
    <cellStyle name="Normal 2 2 7" xfId="243" xr:uid="{00000000-0005-0000-0000-0000F3000000}"/>
    <cellStyle name="Normal 2 2 7 2" xfId="244" xr:uid="{00000000-0005-0000-0000-0000F4000000}"/>
    <cellStyle name="Normal 2 2 8" xfId="245" xr:uid="{00000000-0005-0000-0000-0000F5000000}"/>
    <cellStyle name="Normal 2 2 8 2" xfId="246" xr:uid="{00000000-0005-0000-0000-0000F6000000}"/>
    <cellStyle name="Normal 2 2 9" xfId="247" xr:uid="{00000000-0005-0000-0000-0000F7000000}"/>
    <cellStyle name="Normal 2 2 9 2" xfId="248" xr:uid="{00000000-0005-0000-0000-0000F8000000}"/>
    <cellStyle name="Normal 2 3" xfId="249" xr:uid="{00000000-0005-0000-0000-0000F9000000}"/>
    <cellStyle name="Normal 2 3 10" xfId="250" xr:uid="{00000000-0005-0000-0000-0000FA000000}"/>
    <cellStyle name="Normal 2 3 11" xfId="251" xr:uid="{00000000-0005-0000-0000-0000FB000000}"/>
    <cellStyle name="Normal 2 3 12" xfId="252" xr:uid="{00000000-0005-0000-0000-0000FC000000}"/>
    <cellStyle name="Normal 2 3 13" xfId="253" xr:uid="{00000000-0005-0000-0000-0000FD000000}"/>
    <cellStyle name="Normal 2 3 14" xfId="254" xr:uid="{00000000-0005-0000-0000-0000FE000000}"/>
    <cellStyle name="Normal 2 3 15" xfId="255" xr:uid="{00000000-0005-0000-0000-0000FF000000}"/>
    <cellStyle name="Normal 2 3 2" xfId="256" xr:uid="{00000000-0005-0000-0000-000000010000}"/>
    <cellStyle name="Normal 2 3 2 2" xfId="257" xr:uid="{00000000-0005-0000-0000-000001010000}"/>
    <cellStyle name="Normal 2 3 2 2 2" xfId="258" xr:uid="{00000000-0005-0000-0000-000002010000}"/>
    <cellStyle name="Normal 2 3 2 2 3" xfId="259" xr:uid="{00000000-0005-0000-0000-000003010000}"/>
    <cellStyle name="Normal 2 3 2 3" xfId="260" xr:uid="{00000000-0005-0000-0000-000004010000}"/>
    <cellStyle name="Normal 2 3 2 4" xfId="261" xr:uid="{00000000-0005-0000-0000-000005010000}"/>
    <cellStyle name="Normal 2 3 2 5" xfId="262" xr:uid="{00000000-0005-0000-0000-000006010000}"/>
    <cellStyle name="Normal 2 3 3" xfId="263" xr:uid="{00000000-0005-0000-0000-000007010000}"/>
    <cellStyle name="Normal 2 3 3 2" xfId="264" xr:uid="{00000000-0005-0000-0000-000008010000}"/>
    <cellStyle name="Normal 2 3 3 3" xfId="265" xr:uid="{00000000-0005-0000-0000-000009010000}"/>
    <cellStyle name="Normal 2 3 4" xfId="266" xr:uid="{00000000-0005-0000-0000-00000A010000}"/>
    <cellStyle name="Normal 2 3 5" xfId="267" xr:uid="{00000000-0005-0000-0000-00000B010000}"/>
    <cellStyle name="Normal 2 3 6" xfId="268" xr:uid="{00000000-0005-0000-0000-00000C010000}"/>
    <cellStyle name="Normal 2 3 7" xfId="269" xr:uid="{00000000-0005-0000-0000-00000D010000}"/>
    <cellStyle name="Normal 2 3 8" xfId="270" xr:uid="{00000000-0005-0000-0000-00000E010000}"/>
    <cellStyle name="Normal 2 3 9" xfId="271" xr:uid="{00000000-0005-0000-0000-00000F010000}"/>
    <cellStyle name="Normal 2 4" xfId="272" xr:uid="{00000000-0005-0000-0000-000010010000}"/>
    <cellStyle name="Normal 2 4 10" xfId="273" xr:uid="{00000000-0005-0000-0000-000011010000}"/>
    <cellStyle name="Normal 2 4 11" xfId="274" xr:uid="{00000000-0005-0000-0000-000012010000}"/>
    <cellStyle name="Normal 2 4 12" xfId="275" xr:uid="{00000000-0005-0000-0000-000013010000}"/>
    <cellStyle name="Normal 2 4 12 2" xfId="276" xr:uid="{00000000-0005-0000-0000-000014010000}"/>
    <cellStyle name="Normal 2 4 12 3" xfId="277" xr:uid="{00000000-0005-0000-0000-000015010000}"/>
    <cellStyle name="Normal 2 4 13" xfId="278" xr:uid="{00000000-0005-0000-0000-000016010000}"/>
    <cellStyle name="Normal 2 4 13 2" xfId="279" xr:uid="{00000000-0005-0000-0000-000017010000}"/>
    <cellStyle name="Normal 2 4 13 3" xfId="280" xr:uid="{00000000-0005-0000-0000-000018010000}"/>
    <cellStyle name="Normal 2 4 2" xfId="281" xr:uid="{00000000-0005-0000-0000-000019010000}"/>
    <cellStyle name="Normal 2 4 2 2" xfId="282" xr:uid="{00000000-0005-0000-0000-00001A010000}"/>
    <cellStyle name="Normal 2 4 2 2 2" xfId="283" xr:uid="{00000000-0005-0000-0000-00001B010000}"/>
    <cellStyle name="Normal 2 4 2 2 3" xfId="284" xr:uid="{00000000-0005-0000-0000-00001C010000}"/>
    <cellStyle name="Normal 2 4 2 3" xfId="285" xr:uid="{00000000-0005-0000-0000-00001D010000}"/>
    <cellStyle name="Normal 2 4 2 4" xfId="286" xr:uid="{00000000-0005-0000-0000-00001E010000}"/>
    <cellStyle name="Normal 2 4 2 5" xfId="287" xr:uid="{00000000-0005-0000-0000-00001F010000}"/>
    <cellStyle name="Normal 2 4 3" xfId="288" xr:uid="{00000000-0005-0000-0000-000020010000}"/>
    <cellStyle name="Normal 2 4 3 2" xfId="289" xr:uid="{00000000-0005-0000-0000-000021010000}"/>
    <cellStyle name="Normal 2 4 3 3" xfId="290" xr:uid="{00000000-0005-0000-0000-000022010000}"/>
    <cellStyle name="Normal 2 4 4" xfId="291" xr:uid="{00000000-0005-0000-0000-000023010000}"/>
    <cellStyle name="Normal 2 4 5" xfId="292" xr:uid="{00000000-0005-0000-0000-000024010000}"/>
    <cellStyle name="Normal 2 4 6" xfId="293" xr:uid="{00000000-0005-0000-0000-000025010000}"/>
    <cellStyle name="Normal 2 4 7" xfId="294" xr:uid="{00000000-0005-0000-0000-000026010000}"/>
    <cellStyle name="Normal 2 4 8" xfId="295" xr:uid="{00000000-0005-0000-0000-000027010000}"/>
    <cellStyle name="Normal 2 4 9" xfId="296" xr:uid="{00000000-0005-0000-0000-000028010000}"/>
    <cellStyle name="Normal 2 5" xfId="297" xr:uid="{00000000-0005-0000-0000-000029010000}"/>
    <cellStyle name="Normal 2 5 10" xfId="298" xr:uid="{00000000-0005-0000-0000-00002A010000}"/>
    <cellStyle name="Normal 2 5 11" xfId="299" xr:uid="{00000000-0005-0000-0000-00002B010000}"/>
    <cellStyle name="Normal 2 5 12" xfId="300" xr:uid="{00000000-0005-0000-0000-00002C010000}"/>
    <cellStyle name="Normal 2 5 12 2" xfId="301" xr:uid="{00000000-0005-0000-0000-00002D010000}"/>
    <cellStyle name="Normal 2 5 12 3" xfId="302" xr:uid="{00000000-0005-0000-0000-00002E010000}"/>
    <cellStyle name="Normal 2 5 2" xfId="303" xr:uid="{00000000-0005-0000-0000-00002F010000}"/>
    <cellStyle name="Normal 2 5 2 2" xfId="304" xr:uid="{00000000-0005-0000-0000-000030010000}"/>
    <cellStyle name="Normal 2 5 3" xfId="305" xr:uid="{00000000-0005-0000-0000-000031010000}"/>
    <cellStyle name="Normal 2 5 3 2" xfId="306" xr:uid="{00000000-0005-0000-0000-000032010000}"/>
    <cellStyle name="Normal 2 5 4" xfId="307" xr:uid="{00000000-0005-0000-0000-000033010000}"/>
    <cellStyle name="Normal 2 5 5" xfId="308" xr:uid="{00000000-0005-0000-0000-000034010000}"/>
    <cellStyle name="Normal 2 5 6" xfId="309" xr:uid="{00000000-0005-0000-0000-000035010000}"/>
    <cellStyle name="Normal 2 5 7" xfId="310" xr:uid="{00000000-0005-0000-0000-000036010000}"/>
    <cellStyle name="Normal 2 5 8" xfId="311" xr:uid="{00000000-0005-0000-0000-000037010000}"/>
    <cellStyle name="Normal 2 5 9" xfId="312" xr:uid="{00000000-0005-0000-0000-000038010000}"/>
    <cellStyle name="Normal 2 6" xfId="313" xr:uid="{00000000-0005-0000-0000-000039010000}"/>
    <cellStyle name="Normal 2 6 10" xfId="314" xr:uid="{00000000-0005-0000-0000-00003A010000}"/>
    <cellStyle name="Normal 2 6 11" xfId="315" xr:uid="{00000000-0005-0000-0000-00003B010000}"/>
    <cellStyle name="Normal 2 6 12" xfId="316" xr:uid="{00000000-0005-0000-0000-00003C010000}"/>
    <cellStyle name="Normal 2 6 2" xfId="317" xr:uid="{00000000-0005-0000-0000-00003D010000}"/>
    <cellStyle name="Normal 2 6 2 2" xfId="318" xr:uid="{00000000-0005-0000-0000-00003E010000}"/>
    <cellStyle name="Normal 2 6 3" xfId="319" xr:uid="{00000000-0005-0000-0000-00003F010000}"/>
    <cellStyle name="Normal 2 6 3 2" xfId="320" xr:uid="{00000000-0005-0000-0000-000040010000}"/>
    <cellStyle name="Normal 2 6 4" xfId="321" xr:uid="{00000000-0005-0000-0000-000041010000}"/>
    <cellStyle name="Normal 2 6 5" xfId="322" xr:uid="{00000000-0005-0000-0000-000042010000}"/>
    <cellStyle name="Normal 2 6 6" xfId="323" xr:uid="{00000000-0005-0000-0000-000043010000}"/>
    <cellStyle name="Normal 2 6 7" xfId="324" xr:uid="{00000000-0005-0000-0000-000044010000}"/>
    <cellStyle name="Normal 2 6 8" xfId="325" xr:uid="{00000000-0005-0000-0000-000045010000}"/>
    <cellStyle name="Normal 2 6 9" xfId="326" xr:uid="{00000000-0005-0000-0000-000046010000}"/>
    <cellStyle name="Normal 2 7" xfId="327" xr:uid="{00000000-0005-0000-0000-000047010000}"/>
    <cellStyle name="Normal 2 7 10" xfId="328" xr:uid="{00000000-0005-0000-0000-000048010000}"/>
    <cellStyle name="Normal 2 7 11" xfId="329" xr:uid="{00000000-0005-0000-0000-000049010000}"/>
    <cellStyle name="Normal 2 7 2" xfId="330" xr:uid="{00000000-0005-0000-0000-00004A010000}"/>
    <cellStyle name="Normal 2 7 2 2" xfId="331" xr:uid="{00000000-0005-0000-0000-00004B010000}"/>
    <cellStyle name="Normal 2 7 2 3" xfId="332" xr:uid="{00000000-0005-0000-0000-00004C010000}"/>
    <cellStyle name="Normal 2 7 3" xfId="333" xr:uid="{00000000-0005-0000-0000-00004D010000}"/>
    <cellStyle name="Normal 2 7 3 2" xfId="334" xr:uid="{00000000-0005-0000-0000-00004E010000}"/>
    <cellStyle name="Normal 2 7 4" xfId="335" xr:uid="{00000000-0005-0000-0000-00004F010000}"/>
    <cellStyle name="Normal 2 7 4 2" xfId="336" xr:uid="{00000000-0005-0000-0000-000050010000}"/>
    <cellStyle name="Normal 2 7 5" xfId="337" xr:uid="{00000000-0005-0000-0000-000051010000}"/>
    <cellStyle name="Normal 2 7 5 2" xfId="338" xr:uid="{00000000-0005-0000-0000-000052010000}"/>
    <cellStyle name="Normal 2 7 6" xfId="339" xr:uid="{00000000-0005-0000-0000-000053010000}"/>
    <cellStyle name="Normal 2 7 6 2" xfId="340" xr:uid="{00000000-0005-0000-0000-000054010000}"/>
    <cellStyle name="Normal 2 7 7" xfId="341" xr:uid="{00000000-0005-0000-0000-000055010000}"/>
    <cellStyle name="Normal 2 7 7 2" xfId="342" xr:uid="{00000000-0005-0000-0000-000056010000}"/>
    <cellStyle name="Normal 2 7 8" xfId="343" xr:uid="{00000000-0005-0000-0000-000057010000}"/>
    <cellStyle name="Normal 2 7 8 2" xfId="344" xr:uid="{00000000-0005-0000-0000-000058010000}"/>
    <cellStyle name="Normal 2 7 9" xfId="345" xr:uid="{00000000-0005-0000-0000-000059010000}"/>
    <cellStyle name="Normal 2 8" xfId="346" xr:uid="{00000000-0005-0000-0000-00005A010000}"/>
    <cellStyle name="Normal 2 8 10" xfId="347" xr:uid="{00000000-0005-0000-0000-00005B010000}"/>
    <cellStyle name="Normal 2 8 11" xfId="348" xr:uid="{00000000-0005-0000-0000-00005C010000}"/>
    <cellStyle name="Normal 2 8 2" xfId="349" xr:uid="{00000000-0005-0000-0000-00005D010000}"/>
    <cellStyle name="Normal 2 8 2 2" xfId="350" xr:uid="{00000000-0005-0000-0000-00005E010000}"/>
    <cellStyle name="Normal 2 8 3" xfId="351" xr:uid="{00000000-0005-0000-0000-00005F010000}"/>
    <cellStyle name="Normal 2 8 3 2" xfId="352" xr:uid="{00000000-0005-0000-0000-000060010000}"/>
    <cellStyle name="Normal 2 8 4" xfId="353" xr:uid="{00000000-0005-0000-0000-000061010000}"/>
    <cellStyle name="Normal 2 8 4 2" xfId="354" xr:uid="{00000000-0005-0000-0000-000062010000}"/>
    <cellStyle name="Normal 2 8 5" xfId="355" xr:uid="{00000000-0005-0000-0000-000063010000}"/>
    <cellStyle name="Normal 2 8 5 2" xfId="356" xr:uid="{00000000-0005-0000-0000-000064010000}"/>
    <cellStyle name="Normal 2 8 6" xfId="357" xr:uid="{00000000-0005-0000-0000-000065010000}"/>
    <cellStyle name="Normal 2 8 6 2" xfId="358" xr:uid="{00000000-0005-0000-0000-000066010000}"/>
    <cellStyle name="Normal 2 8 7" xfId="359" xr:uid="{00000000-0005-0000-0000-000067010000}"/>
    <cellStyle name="Normal 2 8 7 2" xfId="360" xr:uid="{00000000-0005-0000-0000-000068010000}"/>
    <cellStyle name="Normal 2 8 8" xfId="361" xr:uid="{00000000-0005-0000-0000-000069010000}"/>
    <cellStyle name="Normal 2 8 8 2" xfId="362" xr:uid="{00000000-0005-0000-0000-00006A010000}"/>
    <cellStyle name="Normal 2 8 9" xfId="363" xr:uid="{00000000-0005-0000-0000-00006B010000}"/>
    <cellStyle name="Normal 2 9" xfId="364" xr:uid="{00000000-0005-0000-0000-00006C010000}"/>
    <cellStyle name="Normal 2 9 10" xfId="365" xr:uid="{00000000-0005-0000-0000-00006D010000}"/>
    <cellStyle name="Normal 2 9 11" xfId="366" xr:uid="{00000000-0005-0000-0000-00006E010000}"/>
    <cellStyle name="Normal 2 9 2" xfId="367" xr:uid="{00000000-0005-0000-0000-00006F010000}"/>
    <cellStyle name="Normal 2 9 2 2" xfId="368" xr:uid="{00000000-0005-0000-0000-000070010000}"/>
    <cellStyle name="Normal 2 9 3" xfId="369" xr:uid="{00000000-0005-0000-0000-000071010000}"/>
    <cellStyle name="Normal 2 9 3 2" xfId="370" xr:uid="{00000000-0005-0000-0000-000072010000}"/>
    <cellStyle name="Normal 2 9 4" xfId="371" xr:uid="{00000000-0005-0000-0000-000073010000}"/>
    <cellStyle name="Normal 2 9 4 2" xfId="372" xr:uid="{00000000-0005-0000-0000-000074010000}"/>
    <cellStyle name="Normal 2 9 5" xfId="373" xr:uid="{00000000-0005-0000-0000-000075010000}"/>
    <cellStyle name="Normal 2 9 5 2" xfId="374" xr:uid="{00000000-0005-0000-0000-000076010000}"/>
    <cellStyle name="Normal 2 9 6" xfId="375" xr:uid="{00000000-0005-0000-0000-000077010000}"/>
    <cellStyle name="Normal 2 9 6 2" xfId="376" xr:uid="{00000000-0005-0000-0000-000078010000}"/>
    <cellStyle name="Normal 2 9 7" xfId="377" xr:uid="{00000000-0005-0000-0000-000079010000}"/>
    <cellStyle name="Normal 2 9 7 2" xfId="378" xr:uid="{00000000-0005-0000-0000-00007A010000}"/>
    <cellStyle name="Normal 2 9 8" xfId="379" xr:uid="{00000000-0005-0000-0000-00007B010000}"/>
    <cellStyle name="Normal 2 9 8 2" xfId="380" xr:uid="{00000000-0005-0000-0000-00007C010000}"/>
    <cellStyle name="Normal 2 9 9" xfId="381" xr:uid="{00000000-0005-0000-0000-00007D010000}"/>
    <cellStyle name="Normal 20 2" xfId="382" xr:uid="{00000000-0005-0000-0000-00007E010000}"/>
    <cellStyle name="Normal 20 3" xfId="383" xr:uid="{00000000-0005-0000-0000-00007F010000}"/>
    <cellStyle name="Normal 21 2" xfId="384" xr:uid="{00000000-0005-0000-0000-000080010000}"/>
    <cellStyle name="Normal 21 2 2" xfId="385" xr:uid="{00000000-0005-0000-0000-000081010000}"/>
    <cellStyle name="Normal 21 2 3" xfId="386" xr:uid="{00000000-0005-0000-0000-000082010000}"/>
    <cellStyle name="Normal 21 3" xfId="387" xr:uid="{00000000-0005-0000-0000-000083010000}"/>
    <cellStyle name="Normal 21 4" xfId="388" xr:uid="{00000000-0005-0000-0000-000084010000}"/>
    <cellStyle name="Normal 21 5" xfId="389" xr:uid="{00000000-0005-0000-0000-000085010000}"/>
    <cellStyle name="Normal 22" xfId="390" xr:uid="{00000000-0005-0000-0000-000086010000}"/>
    <cellStyle name="Normal 22 2" xfId="391" xr:uid="{00000000-0005-0000-0000-000087010000}"/>
    <cellStyle name="Normal 22 3" xfId="392" xr:uid="{00000000-0005-0000-0000-000088010000}"/>
    <cellStyle name="Normal 23" xfId="393" xr:uid="{00000000-0005-0000-0000-000089010000}"/>
    <cellStyle name="Normal 23 2" xfId="394" xr:uid="{00000000-0005-0000-0000-00008A010000}"/>
    <cellStyle name="Normal 23 3" xfId="395" xr:uid="{00000000-0005-0000-0000-00008B010000}"/>
    <cellStyle name="Normal 24" xfId="396" xr:uid="{00000000-0005-0000-0000-00008C010000}"/>
    <cellStyle name="Normal 24 2" xfId="397" xr:uid="{00000000-0005-0000-0000-00008D010000}"/>
    <cellStyle name="Normal 24 3" xfId="398" xr:uid="{00000000-0005-0000-0000-00008E010000}"/>
    <cellStyle name="Normal 25" xfId="399" xr:uid="{00000000-0005-0000-0000-00008F010000}"/>
    <cellStyle name="Normal 25 2" xfId="400" xr:uid="{00000000-0005-0000-0000-000090010000}"/>
    <cellStyle name="Normal 25 3" xfId="401" xr:uid="{00000000-0005-0000-0000-000091010000}"/>
    <cellStyle name="Normal 26" xfId="402" xr:uid="{00000000-0005-0000-0000-000092010000}"/>
    <cellStyle name="Normal 27" xfId="403" xr:uid="{00000000-0005-0000-0000-000093010000}"/>
    <cellStyle name="Normal 27 2" xfId="404" xr:uid="{00000000-0005-0000-0000-000094010000}"/>
    <cellStyle name="Normal 3" xfId="405" xr:uid="{00000000-0005-0000-0000-000095010000}"/>
    <cellStyle name="Normal 3 10" xfId="406" xr:uid="{00000000-0005-0000-0000-000096010000}"/>
    <cellStyle name="Normal 3 10 2" xfId="407" xr:uid="{00000000-0005-0000-0000-000097010000}"/>
    <cellStyle name="Normal 3 11" xfId="408" xr:uid="{00000000-0005-0000-0000-000098010000}"/>
    <cellStyle name="Normal 3 12" xfId="409" xr:uid="{00000000-0005-0000-0000-000099010000}"/>
    <cellStyle name="Normal 3 13" xfId="410" xr:uid="{00000000-0005-0000-0000-00009A010000}"/>
    <cellStyle name="Normal 3 14" xfId="411" xr:uid="{00000000-0005-0000-0000-00009B010000}"/>
    <cellStyle name="Normal 3 15" xfId="412" xr:uid="{00000000-0005-0000-0000-00009C010000}"/>
    <cellStyle name="Normal 3 2" xfId="413" xr:uid="{00000000-0005-0000-0000-00009D010000}"/>
    <cellStyle name="Normal 3 2 2" xfId="414" xr:uid="{00000000-0005-0000-0000-00009E010000}"/>
    <cellStyle name="Normal 3 2 2 2" xfId="415" xr:uid="{00000000-0005-0000-0000-00009F010000}"/>
    <cellStyle name="Normal 3 2 2 3" xfId="416" xr:uid="{00000000-0005-0000-0000-0000A0010000}"/>
    <cellStyle name="Normal 3 2 3" xfId="417" xr:uid="{00000000-0005-0000-0000-0000A1010000}"/>
    <cellStyle name="Normal 3 2 4" xfId="418" xr:uid="{00000000-0005-0000-0000-0000A2010000}"/>
    <cellStyle name="Normal 3 2 5" xfId="419" xr:uid="{00000000-0005-0000-0000-0000A3010000}"/>
    <cellStyle name="Normal 3 3" xfId="420" xr:uid="{00000000-0005-0000-0000-0000A4010000}"/>
    <cellStyle name="Normal 3 3 2" xfId="421" xr:uid="{00000000-0005-0000-0000-0000A5010000}"/>
    <cellStyle name="Normal 3 3 2 2" xfId="422" xr:uid="{00000000-0005-0000-0000-0000A6010000}"/>
    <cellStyle name="Normal 3 3 2 3" xfId="423" xr:uid="{00000000-0005-0000-0000-0000A7010000}"/>
    <cellStyle name="Normal 3 3 3" xfId="424" xr:uid="{00000000-0005-0000-0000-0000A8010000}"/>
    <cellStyle name="Normal 3 3 4" xfId="425" xr:uid="{00000000-0005-0000-0000-0000A9010000}"/>
    <cellStyle name="Normal 3 4" xfId="426" xr:uid="{00000000-0005-0000-0000-0000AA010000}"/>
    <cellStyle name="Normal 3 5" xfId="427" xr:uid="{00000000-0005-0000-0000-0000AB010000}"/>
    <cellStyle name="Normal 3 6" xfId="428" xr:uid="{00000000-0005-0000-0000-0000AC010000}"/>
    <cellStyle name="Normal 3 7" xfId="429" xr:uid="{00000000-0005-0000-0000-0000AD010000}"/>
    <cellStyle name="Normal 3 7 2" xfId="430" xr:uid="{00000000-0005-0000-0000-0000AE010000}"/>
    <cellStyle name="Normal 3 7 3" xfId="431" xr:uid="{00000000-0005-0000-0000-0000AF010000}"/>
    <cellStyle name="Normal 3 8" xfId="432" xr:uid="{00000000-0005-0000-0000-0000B0010000}"/>
    <cellStyle name="Normal 3 8 2" xfId="433" xr:uid="{00000000-0005-0000-0000-0000B1010000}"/>
    <cellStyle name="Normal 3 8 3" xfId="434" xr:uid="{00000000-0005-0000-0000-0000B2010000}"/>
    <cellStyle name="Normal 3 9" xfId="435" xr:uid="{00000000-0005-0000-0000-0000B3010000}"/>
    <cellStyle name="Normal 3 9 2" xfId="436" xr:uid="{00000000-0005-0000-0000-0000B4010000}"/>
    <cellStyle name="Normal 3 9 3" xfId="437" xr:uid="{00000000-0005-0000-0000-0000B5010000}"/>
    <cellStyle name="Normal 4" xfId="438" xr:uid="{00000000-0005-0000-0000-0000B6010000}"/>
    <cellStyle name="Normal 4 10" xfId="439" xr:uid="{00000000-0005-0000-0000-0000B7010000}"/>
    <cellStyle name="Normal 4 11" xfId="440" xr:uid="{00000000-0005-0000-0000-0000B8010000}"/>
    <cellStyle name="Normal 4 12" xfId="441" xr:uid="{00000000-0005-0000-0000-0000B9010000}"/>
    <cellStyle name="Normal 4 13" xfId="442" xr:uid="{00000000-0005-0000-0000-0000BA010000}"/>
    <cellStyle name="Normal 4 2" xfId="443" xr:uid="{00000000-0005-0000-0000-0000BB010000}"/>
    <cellStyle name="Normal 4 2 2" xfId="444" xr:uid="{00000000-0005-0000-0000-0000BC010000}"/>
    <cellStyle name="Normal 4 2 2 2" xfId="445" xr:uid="{00000000-0005-0000-0000-0000BD010000}"/>
    <cellStyle name="Normal 4 2 2 3" xfId="446" xr:uid="{00000000-0005-0000-0000-0000BE010000}"/>
    <cellStyle name="Normal 4 2 2 3 2" xfId="447" xr:uid="{00000000-0005-0000-0000-0000BF010000}"/>
    <cellStyle name="Normal 4 2 3" xfId="448" xr:uid="{00000000-0005-0000-0000-0000C0010000}"/>
    <cellStyle name="Normal 4 2 4" xfId="449" xr:uid="{00000000-0005-0000-0000-0000C1010000}"/>
    <cellStyle name="Normal 4 2 5" xfId="450" xr:uid="{00000000-0005-0000-0000-0000C2010000}"/>
    <cellStyle name="Normal 4 3" xfId="451" xr:uid="{00000000-0005-0000-0000-0000C3010000}"/>
    <cellStyle name="Normal 4 3 2" xfId="452" xr:uid="{00000000-0005-0000-0000-0000C4010000}"/>
    <cellStyle name="Normal 4 3 3" xfId="453" xr:uid="{00000000-0005-0000-0000-0000C5010000}"/>
    <cellStyle name="Normal 4 4" xfId="454" xr:uid="{00000000-0005-0000-0000-0000C6010000}"/>
    <cellStyle name="Normal 4 5" xfId="455" xr:uid="{00000000-0005-0000-0000-0000C7010000}"/>
    <cellStyle name="Normal 4 5 2" xfId="456" xr:uid="{00000000-0005-0000-0000-0000C8010000}"/>
    <cellStyle name="Normal 4 5 3" xfId="457" xr:uid="{00000000-0005-0000-0000-0000C9010000}"/>
    <cellStyle name="Normal 4 6" xfId="458" xr:uid="{00000000-0005-0000-0000-0000CA010000}"/>
    <cellStyle name="Normal 4 6 2" xfId="459" xr:uid="{00000000-0005-0000-0000-0000CB010000}"/>
    <cellStyle name="Normal 4 6 3" xfId="460" xr:uid="{00000000-0005-0000-0000-0000CC010000}"/>
    <cellStyle name="Normal 4 7" xfId="461" xr:uid="{00000000-0005-0000-0000-0000CD010000}"/>
    <cellStyle name="Normal 4 8" xfId="462" xr:uid="{00000000-0005-0000-0000-0000CE010000}"/>
    <cellStyle name="Normal 4 9" xfId="463" xr:uid="{00000000-0005-0000-0000-0000CF010000}"/>
    <cellStyle name="Normal 5" xfId="515" xr:uid="{385C66D9-4A4B-49F7-86B7-BACACE85CA04}"/>
    <cellStyle name="Normal 5 2" xfId="464" xr:uid="{00000000-0005-0000-0000-0000D0010000}"/>
    <cellStyle name="Normal 5 3" xfId="465" xr:uid="{00000000-0005-0000-0000-0000D1010000}"/>
    <cellStyle name="Normal 5 3 2" xfId="466" xr:uid="{00000000-0005-0000-0000-0000D2010000}"/>
    <cellStyle name="Normal 5 3 3" xfId="467" xr:uid="{00000000-0005-0000-0000-0000D3010000}"/>
    <cellStyle name="Normal 5 4" xfId="468" xr:uid="{00000000-0005-0000-0000-0000D4010000}"/>
    <cellStyle name="Normal 5 5" xfId="469" xr:uid="{00000000-0005-0000-0000-0000D5010000}"/>
    <cellStyle name="Normal 5 5 2" xfId="470" xr:uid="{00000000-0005-0000-0000-0000D6010000}"/>
    <cellStyle name="Normal 5 5 3" xfId="471" xr:uid="{00000000-0005-0000-0000-0000D7010000}"/>
    <cellStyle name="Normal 5 6" xfId="472" xr:uid="{00000000-0005-0000-0000-0000D8010000}"/>
    <cellStyle name="Normal 6" xfId="473" xr:uid="{00000000-0005-0000-0000-0000D9010000}"/>
    <cellStyle name="Normal 6 2" xfId="474" xr:uid="{00000000-0005-0000-0000-0000DA010000}"/>
    <cellStyle name="Normal 6 3" xfId="475" xr:uid="{00000000-0005-0000-0000-0000DB010000}"/>
    <cellStyle name="Normal 6 4" xfId="476" xr:uid="{00000000-0005-0000-0000-0000DC010000}"/>
    <cellStyle name="Normal 6 5" xfId="477" xr:uid="{00000000-0005-0000-0000-0000DD010000}"/>
    <cellStyle name="Normal 7" xfId="478" xr:uid="{00000000-0005-0000-0000-0000DE010000}"/>
    <cellStyle name="Normal 7 2" xfId="479" xr:uid="{00000000-0005-0000-0000-0000DF010000}"/>
    <cellStyle name="Normal 7 2 2" xfId="480" xr:uid="{00000000-0005-0000-0000-0000E0010000}"/>
    <cellStyle name="Normal 7 2 2 2" xfId="481" xr:uid="{00000000-0005-0000-0000-0000E1010000}"/>
    <cellStyle name="Normal 7 2 2 3" xfId="482" xr:uid="{00000000-0005-0000-0000-0000E2010000}"/>
    <cellStyle name="Normal 7 2 3" xfId="483" xr:uid="{00000000-0005-0000-0000-0000E3010000}"/>
    <cellStyle name="Normal 7 2 4" xfId="484" xr:uid="{00000000-0005-0000-0000-0000E4010000}"/>
    <cellStyle name="Normal 7 2 4 2" xfId="485" xr:uid="{00000000-0005-0000-0000-0000E5010000}"/>
    <cellStyle name="Normal 7 2 4 3" xfId="486" xr:uid="{00000000-0005-0000-0000-0000E6010000}"/>
    <cellStyle name="Normal 7 2 5" xfId="487" xr:uid="{00000000-0005-0000-0000-0000E7010000}"/>
    <cellStyle name="Normal 7 3" xfId="488" xr:uid="{00000000-0005-0000-0000-0000E8010000}"/>
    <cellStyle name="Normal 7 4" xfId="489" xr:uid="{00000000-0005-0000-0000-0000E9010000}"/>
    <cellStyle name="Normal 7 4 2" xfId="490" xr:uid="{00000000-0005-0000-0000-0000EA010000}"/>
    <cellStyle name="Normal 7 4 3" xfId="491" xr:uid="{00000000-0005-0000-0000-0000EB010000}"/>
    <cellStyle name="Normal 7 5" xfId="492" xr:uid="{00000000-0005-0000-0000-0000EC010000}"/>
    <cellStyle name="Normal 7 5 2" xfId="493" xr:uid="{00000000-0005-0000-0000-0000ED010000}"/>
    <cellStyle name="Normal 7 5 3" xfId="494" xr:uid="{00000000-0005-0000-0000-0000EE010000}"/>
    <cellStyle name="Normal 7 5 4" xfId="495" xr:uid="{00000000-0005-0000-0000-0000EF010000}"/>
    <cellStyle name="Normal 7 5 5" xfId="496" xr:uid="{00000000-0005-0000-0000-0000F0010000}"/>
    <cellStyle name="Normal 7 6" xfId="497" xr:uid="{00000000-0005-0000-0000-0000F1010000}"/>
    <cellStyle name="Normal 7 7" xfId="498" xr:uid="{00000000-0005-0000-0000-0000F2010000}"/>
    <cellStyle name="Normal 8 2" xfId="499" xr:uid="{00000000-0005-0000-0000-0000F3010000}"/>
    <cellStyle name="Normal 8 3" xfId="500" xr:uid="{00000000-0005-0000-0000-0000F4010000}"/>
    <cellStyle name="Normal 9" xfId="501" xr:uid="{00000000-0005-0000-0000-0000F5010000}"/>
    <cellStyle name="Normal 9 2" xfId="502" xr:uid="{00000000-0005-0000-0000-0000F6010000}"/>
    <cellStyle name="Normal 9 2 2" xfId="503" xr:uid="{00000000-0005-0000-0000-0000F7010000}"/>
    <cellStyle name="Normal 9 2 3" xfId="504" xr:uid="{00000000-0005-0000-0000-0000F8010000}"/>
    <cellStyle name="Normal 9 3" xfId="505" xr:uid="{00000000-0005-0000-0000-0000F9010000}"/>
    <cellStyle name="Normal 9 4" xfId="506" xr:uid="{00000000-0005-0000-0000-0000FA010000}"/>
    <cellStyle name="Normal 9 5" xfId="507" xr:uid="{00000000-0005-0000-0000-0000FB010000}"/>
    <cellStyle name="Normal 9 5 2" xfId="508" xr:uid="{00000000-0005-0000-0000-0000FC010000}"/>
    <cellStyle name="Normal 9 5 3" xfId="509" xr:uid="{00000000-0005-0000-0000-0000FD010000}"/>
    <cellStyle name="Normal 9 6" xfId="510" xr:uid="{00000000-0005-0000-0000-0000FE010000}"/>
    <cellStyle name="Normal 9 6 2" xfId="511" xr:uid="{00000000-0005-0000-0000-0000FF010000}"/>
    <cellStyle name="Normal 9 6 3" xfId="512" xr:uid="{00000000-0005-0000-0000-000000020000}"/>
    <cellStyle name="Normal_debt" xfId="513" xr:uid="{00000000-0005-0000-0000-000001020000}"/>
    <cellStyle name="Normal_lpform" xfId="514" xr:uid="{00000000-0005-0000-0000-000002020000}"/>
  </cellStyles>
  <dxfs count="144">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strike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font>
      <fill>
        <patternFill>
          <bgColor rgb="FFFF0000"/>
        </patternFill>
      </fill>
    </dxf>
    <dxf>
      <font>
        <b/>
        <i val="0"/>
        <strike val="0"/>
      </font>
      <fill>
        <patternFill>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ill>
        <patternFill>
          <bgColor rgb="FFFF000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AC1ED043-D548-401F-A9CF-E28EFFE2C724}"/>
            </a:ext>
          </a:extLst>
        </xdr:cNvPr>
        <xdr:cNvSpPr txBox="1"/>
      </xdr:nvSpPr>
      <xdr:spPr>
        <a:xfrm>
          <a:off x="180975" y="601980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1027" name="Text Box 5">
          <a:extLst>
            <a:ext uri="{FF2B5EF4-FFF2-40B4-BE49-F238E27FC236}">
              <a16:creationId xmlns:a16="http://schemas.microsoft.com/office/drawing/2014/main" id="{BD173934-1E21-4118-B3BF-D87C34282572}"/>
            </a:ext>
          </a:extLst>
        </xdr:cNvPr>
        <xdr:cNvSpPr txBox="1">
          <a:spLocks noChangeArrowheads="1"/>
        </xdr:cNvSpPr>
      </xdr:nvSpPr>
      <xdr:spPr bwMode="auto">
        <a:xfrm>
          <a:off x="104775" y="6286500"/>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B4080743-3693-427A-9B09-DC4729F692A9}"/>
            </a:ext>
          </a:extLst>
        </xdr:cNvPr>
        <xdr:cNvSpPr txBox="1"/>
      </xdr:nvSpPr>
      <xdr:spPr>
        <a:xfrm>
          <a:off x="152400" y="7153275"/>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81C72B31-5488-4BB3-9159-E067B9793D93}"/>
            </a:ext>
          </a:extLst>
        </xdr:cNvPr>
        <xdr:cNvSpPr txBox="1"/>
      </xdr:nvSpPr>
      <xdr:spPr>
        <a:xfrm>
          <a:off x="152400" y="75152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3" name="Picture 2">
          <a:extLst>
            <a:ext uri="{FF2B5EF4-FFF2-40B4-BE49-F238E27FC236}">
              <a16:creationId xmlns:a16="http://schemas.microsoft.com/office/drawing/2014/main" id="{7970497C-AE90-1092-B09B-C1AB5D984715}"/>
            </a:ext>
          </a:extLst>
        </xdr:cNvPr>
        <xdr:cNvPicPr>
          <a:picLocks noChangeAspect="1"/>
        </xdr:cNvPicPr>
      </xdr:nvPicPr>
      <xdr:blipFill>
        <a:blip xmlns:r="http://schemas.openxmlformats.org/officeDocument/2006/relationships" r:embed="rId1"/>
        <a:stretch>
          <a:fillRect/>
        </a:stretch>
      </xdr:blipFill>
      <xdr:spPr>
        <a:xfrm>
          <a:off x="180975" y="3220751"/>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4" name="Picture 3">
          <a:extLst>
            <a:ext uri="{FF2B5EF4-FFF2-40B4-BE49-F238E27FC236}">
              <a16:creationId xmlns:a16="http://schemas.microsoft.com/office/drawing/2014/main" id="{995DF47F-1492-D905-4710-E520DCC48F6D}"/>
            </a:ext>
          </a:extLst>
        </xdr:cNvPr>
        <xdr:cNvPicPr>
          <a:picLocks noChangeAspect="1"/>
        </xdr:cNvPicPr>
      </xdr:nvPicPr>
      <xdr:blipFill>
        <a:blip xmlns:r="http://schemas.openxmlformats.org/officeDocument/2006/relationships" r:embed="rId2"/>
        <a:stretch>
          <a:fillRect/>
        </a:stretch>
      </xdr:blipFill>
      <xdr:spPr>
        <a:xfrm>
          <a:off x="4857750" y="3619500"/>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5" name="Picture 4">
          <a:extLst>
            <a:ext uri="{FF2B5EF4-FFF2-40B4-BE49-F238E27FC236}">
              <a16:creationId xmlns:a16="http://schemas.microsoft.com/office/drawing/2014/main" id="{301DC4A1-06A0-785E-7399-3A8CB4D2C963}"/>
            </a:ext>
          </a:extLst>
        </xdr:cNvPr>
        <xdr:cNvPicPr>
          <a:picLocks noChangeAspect="1"/>
        </xdr:cNvPicPr>
      </xdr:nvPicPr>
      <xdr:blipFill>
        <a:blip xmlns:r="http://schemas.openxmlformats.org/officeDocument/2006/relationships" r:embed="rId3"/>
        <a:stretch>
          <a:fillRect/>
        </a:stretch>
      </xdr:blipFill>
      <xdr:spPr>
        <a:xfrm>
          <a:off x="123826" y="8674654"/>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6" name="Picture 5">
          <a:extLst>
            <a:ext uri="{FF2B5EF4-FFF2-40B4-BE49-F238E27FC236}">
              <a16:creationId xmlns:a16="http://schemas.microsoft.com/office/drawing/2014/main" id="{76638D41-17F1-C8A5-1551-8E5BF5C9F1E3}"/>
            </a:ext>
          </a:extLst>
        </xdr:cNvPr>
        <xdr:cNvPicPr>
          <a:picLocks noChangeAspect="1"/>
        </xdr:cNvPicPr>
      </xdr:nvPicPr>
      <xdr:blipFill>
        <a:blip xmlns:r="http://schemas.openxmlformats.org/officeDocument/2006/relationships" r:embed="rId4"/>
        <a:stretch>
          <a:fillRect/>
        </a:stretch>
      </xdr:blipFill>
      <xdr:spPr>
        <a:xfrm>
          <a:off x="4838701" y="8531311"/>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16" name="Picture 15">
          <a:extLst>
            <a:ext uri="{FF2B5EF4-FFF2-40B4-BE49-F238E27FC236}">
              <a16:creationId xmlns:a16="http://schemas.microsoft.com/office/drawing/2014/main" id="{2E1507B3-5EAE-7FB1-0CF1-109B186D5660}"/>
            </a:ext>
          </a:extLst>
        </xdr:cNvPr>
        <xdr:cNvPicPr>
          <a:picLocks noChangeAspect="1"/>
        </xdr:cNvPicPr>
      </xdr:nvPicPr>
      <xdr:blipFill>
        <a:blip xmlns:r="http://schemas.openxmlformats.org/officeDocument/2006/relationships" r:embed="rId5"/>
        <a:stretch>
          <a:fillRect/>
        </a:stretch>
      </xdr:blipFill>
      <xdr:spPr>
        <a:xfrm>
          <a:off x="304799" y="16229007"/>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17" name="Picture 16">
          <a:extLst>
            <a:ext uri="{FF2B5EF4-FFF2-40B4-BE49-F238E27FC236}">
              <a16:creationId xmlns:a16="http://schemas.microsoft.com/office/drawing/2014/main" id="{A92527C3-04B8-8D70-5E15-07195002FAD3}"/>
            </a:ext>
          </a:extLst>
        </xdr:cNvPr>
        <xdr:cNvPicPr>
          <a:picLocks noChangeAspect="1"/>
        </xdr:cNvPicPr>
      </xdr:nvPicPr>
      <xdr:blipFill>
        <a:blip xmlns:r="http://schemas.openxmlformats.org/officeDocument/2006/relationships" r:embed="rId6"/>
        <a:stretch>
          <a:fillRect/>
        </a:stretch>
      </xdr:blipFill>
      <xdr:spPr>
        <a:xfrm>
          <a:off x="304800" y="118099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18" name="Picture 17">
          <a:extLst>
            <a:ext uri="{FF2B5EF4-FFF2-40B4-BE49-F238E27FC236}">
              <a16:creationId xmlns:a16="http://schemas.microsoft.com/office/drawing/2014/main" id="{2D4B5C1B-500B-86D2-A981-258C87931075}"/>
            </a:ext>
          </a:extLst>
        </xdr:cNvPr>
        <xdr:cNvPicPr>
          <a:picLocks noChangeAspect="1"/>
        </xdr:cNvPicPr>
      </xdr:nvPicPr>
      <xdr:blipFill>
        <a:blip xmlns:r="http://schemas.openxmlformats.org/officeDocument/2006/relationships" r:embed="rId7"/>
        <a:stretch>
          <a:fillRect/>
        </a:stretch>
      </xdr:blipFill>
      <xdr:spPr>
        <a:xfrm>
          <a:off x="295275" y="20840080"/>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19" name="Picture 18">
          <a:extLst>
            <a:ext uri="{FF2B5EF4-FFF2-40B4-BE49-F238E27FC236}">
              <a16:creationId xmlns:a16="http://schemas.microsoft.com/office/drawing/2014/main" id="{1AE91BD3-C73F-B7B0-EDDC-3EF61A2BBD29}"/>
            </a:ext>
          </a:extLst>
        </xdr:cNvPr>
        <xdr:cNvPicPr>
          <a:picLocks noChangeAspect="1"/>
        </xdr:cNvPicPr>
      </xdr:nvPicPr>
      <xdr:blipFill>
        <a:blip xmlns:r="http://schemas.openxmlformats.org/officeDocument/2006/relationships" r:embed="rId8"/>
        <a:stretch>
          <a:fillRect/>
        </a:stretch>
      </xdr:blipFill>
      <xdr:spPr>
        <a:xfrm>
          <a:off x="285749" y="26924245"/>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20" name="Picture 19">
          <a:extLst>
            <a:ext uri="{FF2B5EF4-FFF2-40B4-BE49-F238E27FC236}">
              <a16:creationId xmlns:a16="http://schemas.microsoft.com/office/drawing/2014/main" id="{B5DD8ED2-887D-8E53-7D55-EE7C76B1AC20}"/>
            </a:ext>
          </a:extLst>
        </xdr:cNvPr>
        <xdr:cNvPicPr>
          <a:picLocks noChangeAspect="1"/>
        </xdr:cNvPicPr>
      </xdr:nvPicPr>
      <xdr:blipFill>
        <a:blip xmlns:r="http://schemas.openxmlformats.org/officeDocument/2006/relationships" r:embed="rId9"/>
        <a:stretch>
          <a:fillRect/>
        </a:stretch>
      </xdr:blipFill>
      <xdr:spPr>
        <a:xfrm>
          <a:off x="295275" y="34807908"/>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s://pooledmoneyinvestmentboard.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sheetPr>
  <dimension ref="B1:B109"/>
  <sheetViews>
    <sheetView tabSelected="1" zoomScaleNormal="100" workbookViewId="0"/>
  </sheetViews>
  <sheetFormatPr defaultColWidth="8.88671875" defaultRowHeight="15.75"/>
  <cols>
    <col min="1" max="1" width="1.21875" style="31" customWidth="1"/>
    <col min="2" max="2" width="84.6640625" style="32" customWidth="1"/>
    <col min="3" max="16384" width="8.88671875" style="31"/>
  </cols>
  <sheetData>
    <row r="1" spans="2:2" ht="39" customHeight="1">
      <c r="B1" s="524" t="s">
        <v>0</v>
      </c>
    </row>
    <row r="2" spans="2:2" ht="12.95" customHeight="1"/>
    <row r="3" spans="2:2" ht="34.5" customHeight="1">
      <c r="B3" s="32" t="s">
        <v>1</v>
      </c>
    </row>
    <row r="4" spans="2:2" ht="12.95" customHeight="1"/>
    <row r="5" spans="2:2" ht="66" customHeight="1">
      <c r="B5" s="32" t="s">
        <v>2</v>
      </c>
    </row>
    <row r="6" spans="2:2" ht="14.45" customHeight="1"/>
    <row r="7" spans="2:2" ht="25.5" customHeight="1">
      <c r="B7" s="525" t="s">
        <v>3</v>
      </c>
    </row>
    <row r="8" spans="2:2" ht="12.95" customHeight="1"/>
    <row r="9" spans="2:2" ht="57" customHeight="1">
      <c r="B9" s="32" t="s">
        <v>4</v>
      </c>
    </row>
    <row r="10" spans="2:2" ht="12.95" customHeight="1"/>
    <row r="11" spans="2:2" ht="39" customHeight="1">
      <c r="B11" s="32" t="s">
        <v>5</v>
      </c>
    </row>
    <row r="12" spans="2:2" ht="15" customHeight="1"/>
    <row r="13" spans="2:2" ht="25.5" customHeight="1">
      <c r="B13" s="525" t="s">
        <v>6</v>
      </c>
    </row>
    <row r="14" spans="2:2" ht="12.95" customHeight="1"/>
    <row r="15" spans="2:2" ht="39.75" customHeight="1">
      <c r="B15" s="32" t="s">
        <v>7</v>
      </c>
    </row>
    <row r="16" spans="2:2" ht="12.95" customHeight="1"/>
    <row r="17" spans="2:2">
      <c r="B17" s="521" t="s">
        <v>8</v>
      </c>
    </row>
    <row r="18" spans="2:2" ht="12.95" customHeight="1">
      <c r="B18" s="521"/>
    </row>
    <row r="19" spans="2:2">
      <c r="B19" s="32" t="s">
        <v>9</v>
      </c>
    </row>
    <row r="20" spans="2:2" ht="12.95" customHeight="1"/>
    <row r="21" spans="2:2" ht="67.5" customHeight="1">
      <c r="B21" s="32" t="s">
        <v>10</v>
      </c>
    </row>
    <row r="22" spans="2:2" ht="12.95" customHeight="1">
      <c r="B22" s="522"/>
    </row>
    <row r="23" spans="2:2" ht="15.75" customHeight="1">
      <c r="B23" s="32" t="s">
        <v>11</v>
      </c>
    </row>
    <row r="24" spans="2:2" ht="12.95" customHeight="1">
      <c r="B24" s="522"/>
    </row>
    <row r="25" spans="2:2" ht="15.75" customHeight="1">
      <c r="B25" s="32" t="s">
        <v>12</v>
      </c>
    </row>
    <row r="26" spans="2:2" ht="12.95" customHeight="1"/>
    <row r="27" spans="2:2" ht="49.5" customHeight="1">
      <c r="B27" s="32" t="s">
        <v>13</v>
      </c>
    </row>
    <row r="28" spans="2:2" ht="12.95" customHeight="1"/>
    <row r="29" spans="2:2" ht="25.5" customHeight="1">
      <c r="B29" s="525" t="s">
        <v>14</v>
      </c>
    </row>
    <row r="30" spans="2:2" ht="12.95" customHeight="1">
      <c r="B30" s="520"/>
    </row>
    <row r="31" spans="2:2" ht="50.25" customHeight="1">
      <c r="B31" s="32" t="s">
        <v>15</v>
      </c>
    </row>
    <row r="32" spans="2:2" ht="12.95" customHeight="1"/>
    <row r="33" spans="2:2" ht="49.5" customHeight="1">
      <c r="B33" s="33" t="s">
        <v>16</v>
      </c>
    </row>
    <row r="34" spans="2:2" ht="39.75" customHeight="1">
      <c r="B34" s="526" t="s">
        <v>17</v>
      </c>
    </row>
    <row r="35" spans="2:2" ht="60.75" customHeight="1">
      <c r="B35" s="526" t="s">
        <v>18</v>
      </c>
    </row>
    <row r="36" spans="2:2" ht="61.5" customHeight="1">
      <c r="B36" s="526" t="s">
        <v>19</v>
      </c>
    </row>
    <row r="37" spans="2:2" ht="41.25" customHeight="1">
      <c r="B37" s="526" t="s">
        <v>20</v>
      </c>
    </row>
    <row r="38" spans="2:2" ht="12.95" customHeight="1"/>
    <row r="39" spans="2:2" ht="52.5" customHeight="1">
      <c r="B39" s="33" t="s">
        <v>21</v>
      </c>
    </row>
    <row r="40" spans="2:2" ht="27.75" customHeight="1">
      <c r="B40" s="526" t="s">
        <v>22</v>
      </c>
    </row>
    <row r="41" spans="2:2" ht="57" customHeight="1">
      <c r="B41" s="526" t="s">
        <v>23</v>
      </c>
    </row>
    <row r="42" spans="2:2" ht="105" customHeight="1">
      <c r="B42" s="526" t="s">
        <v>24</v>
      </c>
    </row>
    <row r="43" spans="2:2" s="32" customFormat="1" ht="12.95" customHeight="1"/>
    <row r="44" spans="2:2" ht="47.25">
      <c r="B44" s="33" t="s">
        <v>25</v>
      </c>
    </row>
    <row r="45" spans="2:2" ht="66.75" customHeight="1">
      <c r="B45" s="33" t="s">
        <v>26</v>
      </c>
    </row>
    <row r="46" spans="2:2" ht="72.75" customHeight="1">
      <c r="B46" s="526" t="s">
        <v>27</v>
      </c>
    </row>
    <row r="47" spans="2:2" ht="108" customHeight="1">
      <c r="B47" s="526" t="s">
        <v>28</v>
      </c>
    </row>
    <row r="48" spans="2:2" ht="95.25" customHeight="1">
      <c r="B48" s="526" t="s">
        <v>29</v>
      </c>
    </row>
    <row r="49" spans="2:2" ht="12.95" customHeight="1"/>
    <row r="50" spans="2:2" ht="60.75" customHeight="1">
      <c r="B50" s="33" t="s">
        <v>30</v>
      </c>
    </row>
    <row r="51" spans="2:2" ht="38.25" customHeight="1">
      <c r="B51" s="526" t="s">
        <v>31</v>
      </c>
    </row>
    <row r="52" spans="2:2" ht="34.5" customHeight="1">
      <c r="B52" s="526" t="s">
        <v>32</v>
      </c>
    </row>
    <row r="53" spans="2:2" ht="12.95" customHeight="1"/>
    <row r="54" spans="2:2" ht="71.25" customHeight="1">
      <c r="B54" s="33" t="s">
        <v>33</v>
      </c>
    </row>
    <row r="55" spans="2:2" ht="21.75" customHeight="1">
      <c r="B55" s="526" t="s">
        <v>34</v>
      </c>
    </row>
    <row r="56" spans="2:2" ht="12.95" customHeight="1">
      <c r="B56" s="481"/>
    </row>
    <row r="57" spans="2:2" ht="57.75" customHeight="1">
      <c r="B57" s="33" t="s">
        <v>35</v>
      </c>
    </row>
    <row r="58" spans="2:2" ht="41.25" customHeight="1">
      <c r="B58" s="526" t="s">
        <v>36</v>
      </c>
    </row>
    <row r="59" spans="2:2" ht="72" customHeight="1">
      <c r="B59" s="526" t="s">
        <v>37</v>
      </c>
    </row>
    <row r="60" spans="2:2" ht="27" customHeight="1">
      <c r="B60" s="526" t="s">
        <v>38</v>
      </c>
    </row>
    <row r="61" spans="2:2" ht="44.25" customHeight="1">
      <c r="B61" s="526" t="s">
        <v>39</v>
      </c>
    </row>
    <row r="62" spans="2:2" ht="12.95" customHeight="1"/>
    <row r="63" spans="2:2" ht="38.25" customHeight="1">
      <c r="B63" s="33" t="s">
        <v>40</v>
      </c>
    </row>
    <row r="64" spans="2:2" s="527" customFormat="1" ht="30.75" customHeight="1">
      <c r="B64" s="526" t="s">
        <v>41</v>
      </c>
    </row>
    <row r="65" spans="2:2" ht="12.95" customHeight="1"/>
    <row r="66" spans="2:2" ht="52.5" customHeight="1">
      <c r="B66" s="33" t="s">
        <v>42</v>
      </c>
    </row>
    <row r="67" spans="2:2" s="527" customFormat="1" ht="39.75" customHeight="1">
      <c r="B67" s="526" t="s">
        <v>43</v>
      </c>
    </row>
    <row r="68" spans="2:2" ht="12.95" customHeight="1"/>
    <row r="69" spans="2:2" ht="68.25" customHeight="1">
      <c r="B69" s="33" t="s">
        <v>44</v>
      </c>
    </row>
    <row r="70" spans="2:2" ht="57" customHeight="1">
      <c r="B70" s="526" t="s">
        <v>45</v>
      </c>
    </row>
    <row r="71" spans="2:2" ht="44.25" customHeight="1">
      <c r="B71" s="526" t="s">
        <v>46</v>
      </c>
    </row>
    <row r="72" spans="2:2" ht="12.95" customHeight="1"/>
    <row r="73" spans="2:2" ht="78.75">
      <c r="B73" s="33" t="s">
        <v>47</v>
      </c>
    </row>
    <row r="74" spans="2:2" ht="72.75" customHeight="1">
      <c r="B74" s="526" t="s">
        <v>48</v>
      </c>
    </row>
    <row r="75" spans="2:2" ht="90" customHeight="1">
      <c r="B75" s="526" t="s">
        <v>49</v>
      </c>
    </row>
    <row r="76" spans="2:2" ht="70.5" customHeight="1">
      <c r="B76" s="526" t="s">
        <v>50</v>
      </c>
    </row>
    <row r="77" spans="2:2" ht="87" customHeight="1">
      <c r="B77" s="526" t="s">
        <v>51</v>
      </c>
    </row>
    <row r="78" spans="2:2" ht="110.25">
      <c r="B78" s="526" t="s">
        <v>52</v>
      </c>
    </row>
    <row r="79" spans="2:2" ht="55.5" customHeight="1">
      <c r="B79" s="526" t="s">
        <v>53</v>
      </c>
    </row>
    <row r="80" spans="2:2" ht="96.75" customHeight="1">
      <c r="B80" s="526" t="s">
        <v>54</v>
      </c>
    </row>
    <row r="81" spans="2:2" ht="111.75" customHeight="1">
      <c r="B81" s="526" t="s">
        <v>55</v>
      </c>
    </row>
    <row r="82" spans="2:2" ht="123.75" customHeight="1">
      <c r="B82" s="526" t="s">
        <v>56</v>
      </c>
    </row>
    <row r="83" spans="2:2" ht="26.25" customHeight="1">
      <c r="B83" s="526" t="s">
        <v>57</v>
      </c>
    </row>
    <row r="84" spans="2:2" ht="57.75" customHeight="1">
      <c r="B84" s="526" t="s">
        <v>58</v>
      </c>
    </row>
    <row r="85" spans="2:2" ht="57.75" customHeight="1">
      <c r="B85" s="526" t="s">
        <v>59</v>
      </c>
    </row>
    <row r="86" spans="2:2" ht="91.5" customHeight="1">
      <c r="B86" s="526" t="s">
        <v>60</v>
      </c>
    </row>
    <row r="87" spans="2:2" ht="75" customHeight="1">
      <c r="B87" s="526" t="s">
        <v>61</v>
      </c>
    </row>
    <row r="88" spans="2:2" ht="69" customHeight="1">
      <c r="B88" s="526" t="s">
        <v>62</v>
      </c>
    </row>
    <row r="89" spans="2:2" ht="39" customHeight="1">
      <c r="B89" s="526" t="s">
        <v>63</v>
      </c>
    </row>
    <row r="90" spans="2:2" ht="12.95" customHeight="1"/>
    <row r="91" spans="2:2" ht="63">
      <c r="B91" s="33" t="s">
        <v>64</v>
      </c>
    </row>
    <row r="92" spans="2:2" ht="75.75" customHeight="1">
      <c r="B92" s="526" t="s">
        <v>65</v>
      </c>
    </row>
    <row r="93" spans="2:2" ht="23.25" customHeight="1">
      <c r="B93" s="526" t="s">
        <v>66</v>
      </c>
    </row>
    <row r="94" spans="2:2" ht="27" customHeight="1">
      <c r="B94" s="526" t="s">
        <v>67</v>
      </c>
    </row>
    <row r="95" spans="2:2" ht="42" customHeight="1">
      <c r="B95" s="528" t="s">
        <v>68</v>
      </c>
    </row>
    <row r="96" spans="2:2" ht="108" customHeight="1">
      <c r="B96" s="528" t="s">
        <v>69</v>
      </c>
    </row>
    <row r="97" spans="2:2" ht="88.5" customHeight="1">
      <c r="B97" s="528" t="s">
        <v>70</v>
      </c>
    </row>
    <row r="98" spans="2:2" ht="98.25" customHeight="1">
      <c r="B98" s="526" t="s">
        <v>71</v>
      </c>
    </row>
    <row r="99" spans="2:2" ht="68.25" customHeight="1">
      <c r="B99" s="526" t="s">
        <v>72</v>
      </c>
    </row>
    <row r="100" spans="2:2" ht="12.95" customHeight="1"/>
    <row r="101" spans="2:2" ht="104.25" customHeight="1">
      <c r="B101" s="33" t="s">
        <v>73</v>
      </c>
    </row>
    <row r="102" spans="2:2" ht="92.25" customHeight="1">
      <c r="B102" s="523" t="s">
        <v>74</v>
      </c>
    </row>
    <row r="103" spans="2:2" ht="63">
      <c r="B103" s="526" t="s">
        <v>75</v>
      </c>
    </row>
    <row r="104" spans="2:2" ht="39.75" customHeight="1">
      <c r="B104" s="526" t="s">
        <v>76</v>
      </c>
    </row>
    <row r="105" spans="2:2" ht="12.95" customHeight="1">
      <c r="B105" s="31"/>
    </row>
    <row r="106" spans="2:2" ht="47.25">
      <c r="B106" s="33" t="s">
        <v>77</v>
      </c>
    </row>
    <row r="107" spans="2:2" ht="12.95" customHeight="1">
      <c r="B107" s="31"/>
    </row>
    <row r="108" spans="2:2" ht="51.75" customHeight="1">
      <c r="B108" s="33" t="s">
        <v>78</v>
      </c>
    </row>
    <row r="109" spans="2:2">
      <c r="B109" s="31"/>
    </row>
  </sheetData>
  <sheetProtection sheet="1" objects="1" scenarios="1"/>
  <phoneticPr fontId="0" type="noConversion"/>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pageSetUpPr fitToPage="1"/>
  </sheetPr>
  <dimension ref="B1:AC36"/>
  <sheetViews>
    <sheetView zoomScale="75" workbookViewId="0">
      <selection activeCell="B9" sqref="B9"/>
    </sheetView>
  </sheetViews>
  <sheetFormatPr defaultColWidth="8.88671875" defaultRowHeight="15.75"/>
  <cols>
    <col min="1" max="1" width="4.88671875" style="37" customWidth="1"/>
    <col min="2" max="2" width="20.77734375" style="37" customWidth="1"/>
    <col min="3" max="3" width="9.33203125" style="37" customWidth="1"/>
    <col min="4" max="4" width="9" style="37" customWidth="1"/>
    <col min="5" max="5" width="8.77734375" style="37" customWidth="1"/>
    <col min="6" max="6" width="12.77734375" style="37" customWidth="1"/>
    <col min="7" max="7" width="12.6640625" style="37" customWidth="1"/>
    <col min="8" max="13" width="9.77734375" style="37" customWidth="1"/>
    <col min="14" max="16384" width="8.88671875" style="37"/>
  </cols>
  <sheetData>
    <row r="1" spans="2:13">
      <c r="B1" s="75">
        <f>inputPrYr!$D$3</f>
        <v>0</v>
      </c>
      <c r="C1" s="36"/>
      <c r="D1" s="36"/>
      <c r="E1" s="36"/>
      <c r="F1" s="36"/>
      <c r="G1" s="36"/>
      <c r="H1" s="36"/>
      <c r="I1" s="36"/>
      <c r="J1" s="36"/>
      <c r="K1" s="36"/>
      <c r="L1" s="36"/>
      <c r="M1" s="91">
        <f>inputPrYr!$C$6</f>
        <v>2025</v>
      </c>
    </row>
    <row r="2" spans="2:13">
      <c r="B2" s="75"/>
      <c r="C2" s="36"/>
      <c r="D2" s="36"/>
      <c r="E2" s="36"/>
      <c r="F2" s="36"/>
      <c r="G2" s="36"/>
      <c r="H2" s="36"/>
      <c r="I2" s="36"/>
      <c r="J2" s="36"/>
      <c r="K2" s="36"/>
      <c r="L2" s="36"/>
      <c r="M2" s="555"/>
    </row>
    <row r="3" spans="2:13">
      <c r="B3" s="668" t="s">
        <v>247</v>
      </c>
      <c r="C3" s="668"/>
      <c r="D3" s="668"/>
      <c r="E3" s="668"/>
      <c r="F3" s="668"/>
      <c r="G3" s="668"/>
      <c r="H3" s="668"/>
      <c r="I3" s="668"/>
      <c r="J3" s="668"/>
      <c r="K3" s="668"/>
      <c r="L3" s="668"/>
      <c r="M3" s="668"/>
    </row>
    <row r="4" spans="2:13">
      <c r="B4" s="36"/>
      <c r="C4" s="144"/>
      <c r="D4" s="144"/>
      <c r="E4" s="144"/>
      <c r="F4" s="144"/>
      <c r="G4" s="144"/>
      <c r="H4" s="144"/>
      <c r="I4" s="144"/>
      <c r="J4" s="144"/>
      <c r="K4" s="144"/>
      <c r="L4" s="144"/>
      <c r="M4" s="144"/>
    </row>
    <row r="5" spans="2:13">
      <c r="B5" s="125"/>
      <c r="C5" s="125" t="s">
        <v>248</v>
      </c>
      <c r="D5" s="125" t="s">
        <v>248</v>
      </c>
      <c r="E5" s="125" t="s">
        <v>249</v>
      </c>
      <c r="F5" s="125"/>
      <c r="G5" s="125" t="s">
        <v>250</v>
      </c>
      <c r="H5" s="36"/>
      <c r="I5" s="36"/>
      <c r="J5" s="145" t="s">
        <v>251</v>
      </c>
      <c r="K5" s="146"/>
      <c r="L5" s="145" t="s">
        <v>251</v>
      </c>
      <c r="M5" s="146"/>
    </row>
    <row r="6" spans="2:13">
      <c r="B6" s="147" t="s">
        <v>252</v>
      </c>
      <c r="C6" s="147" t="s">
        <v>253</v>
      </c>
      <c r="D6" s="147" t="s">
        <v>254</v>
      </c>
      <c r="E6" s="147" t="s">
        <v>118</v>
      </c>
      <c r="F6" s="147" t="s">
        <v>255</v>
      </c>
      <c r="G6" s="147" t="s">
        <v>256</v>
      </c>
      <c r="H6" s="664" t="s">
        <v>257</v>
      </c>
      <c r="I6" s="665"/>
      <c r="J6" s="664">
        <f>inputPrYr!$C$6-1</f>
        <v>2024</v>
      </c>
      <c r="K6" s="667"/>
      <c r="L6" s="666">
        <f>inputPrYr!$C$6</f>
        <v>2025</v>
      </c>
      <c r="M6" s="667"/>
    </row>
    <row r="7" spans="2:13">
      <c r="B7" s="149" t="s">
        <v>258</v>
      </c>
      <c r="C7" s="149" t="s">
        <v>259</v>
      </c>
      <c r="D7" s="149" t="s">
        <v>260</v>
      </c>
      <c r="E7" s="149" t="s">
        <v>97</v>
      </c>
      <c r="F7" s="149" t="s">
        <v>261</v>
      </c>
      <c r="G7" s="560" t="str">
        <f>CONCATENATE("Jan 1, ",M1-1, "")</f>
        <v>Jan 1, 2024</v>
      </c>
      <c r="H7" s="569" t="s">
        <v>249</v>
      </c>
      <c r="I7" s="569" t="s">
        <v>262</v>
      </c>
      <c r="J7" s="569" t="s">
        <v>249</v>
      </c>
      <c r="K7" s="569" t="s">
        <v>262</v>
      </c>
      <c r="L7" s="569" t="s">
        <v>249</v>
      </c>
      <c r="M7" s="569" t="s">
        <v>262</v>
      </c>
    </row>
    <row r="8" spans="2:13">
      <c r="B8" s="148" t="s">
        <v>263</v>
      </c>
      <c r="C8" s="46"/>
      <c r="D8" s="46"/>
      <c r="E8" s="150"/>
      <c r="F8" s="113"/>
      <c r="G8" s="113"/>
      <c r="H8" s="46"/>
      <c r="I8" s="46"/>
      <c r="J8" s="113"/>
      <c r="K8" s="113"/>
      <c r="L8" s="113"/>
      <c r="M8" s="113"/>
    </row>
    <row r="9" spans="2:13">
      <c r="B9" s="151"/>
      <c r="C9" s="174"/>
      <c r="D9" s="174"/>
      <c r="E9" s="152"/>
      <c r="F9" s="153"/>
      <c r="G9" s="154"/>
      <c r="H9" s="155"/>
      <c r="I9" s="155"/>
      <c r="J9" s="154"/>
      <c r="K9" s="154"/>
      <c r="L9" s="154"/>
      <c r="M9" s="154"/>
    </row>
    <row r="10" spans="2:13">
      <c r="B10" s="151"/>
      <c r="C10" s="174"/>
      <c r="D10" s="174"/>
      <c r="E10" s="152"/>
      <c r="F10" s="153"/>
      <c r="G10" s="154"/>
      <c r="H10" s="155"/>
      <c r="I10" s="155"/>
      <c r="J10" s="154"/>
      <c r="K10" s="154"/>
      <c r="L10" s="154"/>
      <c r="M10" s="154"/>
    </row>
    <row r="11" spans="2:13">
      <c r="B11" s="151"/>
      <c r="C11" s="174"/>
      <c r="D11" s="174"/>
      <c r="E11" s="152"/>
      <c r="F11" s="153"/>
      <c r="G11" s="154"/>
      <c r="H11" s="155"/>
      <c r="I11" s="155"/>
      <c r="J11" s="154"/>
      <c r="K11" s="154"/>
      <c r="L11" s="154"/>
      <c r="M11" s="154"/>
    </row>
    <row r="12" spans="2:13">
      <c r="B12" s="151"/>
      <c r="C12" s="174"/>
      <c r="D12" s="174"/>
      <c r="E12" s="152"/>
      <c r="F12" s="153"/>
      <c r="G12" s="154"/>
      <c r="H12" s="155"/>
      <c r="I12" s="155"/>
      <c r="J12" s="154"/>
      <c r="K12" s="154"/>
      <c r="L12" s="154"/>
      <c r="M12" s="154"/>
    </row>
    <row r="13" spans="2:13">
      <c r="B13" s="151"/>
      <c r="C13" s="174"/>
      <c r="D13" s="174"/>
      <c r="E13" s="152"/>
      <c r="F13" s="153"/>
      <c r="G13" s="154"/>
      <c r="H13" s="155"/>
      <c r="I13" s="155"/>
      <c r="J13" s="154"/>
      <c r="K13" s="154"/>
      <c r="L13" s="154"/>
      <c r="M13" s="154"/>
    </row>
    <row r="14" spans="2:13">
      <c r="B14" s="151"/>
      <c r="C14" s="174"/>
      <c r="D14" s="174"/>
      <c r="E14" s="152"/>
      <c r="F14" s="153"/>
      <c r="G14" s="154"/>
      <c r="H14" s="155"/>
      <c r="I14" s="155"/>
      <c r="J14" s="154"/>
      <c r="K14" s="154"/>
      <c r="L14" s="154"/>
      <c r="M14" s="154"/>
    </row>
    <row r="15" spans="2:13">
      <c r="B15" s="139" t="s">
        <v>264</v>
      </c>
      <c r="C15" s="156"/>
      <c r="D15" s="156"/>
      <c r="E15" s="157"/>
      <c r="F15" s="158"/>
      <c r="G15" s="159">
        <f>SUM(G9:G14)</f>
        <v>0</v>
      </c>
      <c r="H15" s="160"/>
      <c r="I15" s="160"/>
      <c r="J15" s="159">
        <f>SUM(J9:J14)</f>
        <v>0</v>
      </c>
      <c r="K15" s="159">
        <f>SUM(K9:K14)</f>
        <v>0</v>
      </c>
      <c r="L15" s="159">
        <f>SUM(L9:L14)</f>
        <v>0</v>
      </c>
      <c r="M15" s="159">
        <f>SUM(M9:M14)</f>
        <v>0</v>
      </c>
    </row>
    <row r="16" spans="2:13">
      <c r="B16" s="569" t="s">
        <v>265</v>
      </c>
      <c r="C16" s="161"/>
      <c r="D16" s="161"/>
      <c r="E16" s="162"/>
      <c r="F16" s="127"/>
      <c r="G16" s="127"/>
      <c r="H16" s="163"/>
      <c r="I16" s="163"/>
      <c r="J16" s="127"/>
      <c r="K16" s="127"/>
      <c r="L16" s="127"/>
      <c r="M16" s="127"/>
    </row>
    <row r="17" spans="2:29">
      <c r="B17" s="151"/>
      <c r="C17" s="174"/>
      <c r="D17" s="174"/>
      <c r="E17" s="152"/>
      <c r="F17" s="153"/>
      <c r="G17" s="154"/>
      <c r="H17" s="155"/>
      <c r="I17" s="155"/>
      <c r="J17" s="154"/>
      <c r="K17" s="154"/>
      <c r="L17" s="154"/>
      <c r="M17" s="154"/>
    </row>
    <row r="18" spans="2:29">
      <c r="B18" s="151"/>
      <c r="C18" s="174"/>
      <c r="D18" s="174"/>
      <c r="E18" s="152"/>
      <c r="F18" s="153"/>
      <c r="G18" s="154"/>
      <c r="H18" s="155"/>
      <c r="I18" s="155"/>
      <c r="J18" s="154"/>
      <c r="K18" s="154"/>
      <c r="L18" s="154"/>
      <c r="M18" s="154"/>
    </row>
    <row r="19" spans="2:29">
      <c r="B19" s="151"/>
      <c r="C19" s="174"/>
      <c r="D19" s="174"/>
      <c r="E19" s="152"/>
      <c r="F19" s="153"/>
      <c r="G19" s="154"/>
      <c r="H19" s="155"/>
      <c r="I19" s="155"/>
      <c r="J19" s="154"/>
      <c r="K19" s="154"/>
      <c r="L19" s="154"/>
      <c r="M19" s="154"/>
    </row>
    <row r="20" spans="2:29">
      <c r="B20" s="151"/>
      <c r="C20" s="174"/>
      <c r="D20" s="174"/>
      <c r="E20" s="152"/>
      <c r="F20" s="153"/>
      <c r="G20" s="154"/>
      <c r="H20" s="155"/>
      <c r="I20" s="155"/>
      <c r="J20" s="154"/>
      <c r="K20" s="154"/>
      <c r="L20" s="154"/>
      <c r="M20" s="154"/>
    </row>
    <row r="21" spans="2:29">
      <c r="B21" s="151"/>
      <c r="C21" s="174"/>
      <c r="D21" s="174"/>
      <c r="E21" s="152"/>
      <c r="F21" s="153"/>
      <c r="G21" s="154"/>
      <c r="H21" s="155"/>
      <c r="I21" s="155"/>
      <c r="J21" s="154"/>
      <c r="K21" s="154"/>
      <c r="L21" s="154"/>
      <c r="M21" s="154"/>
    </row>
    <row r="22" spans="2:29">
      <c r="B22" s="139" t="s">
        <v>266</v>
      </c>
      <c r="C22" s="156"/>
      <c r="D22" s="156"/>
      <c r="E22" s="164"/>
      <c r="F22" s="158"/>
      <c r="G22" s="165">
        <f>SUM(G17:G21)</f>
        <v>0</v>
      </c>
      <c r="H22" s="160"/>
      <c r="I22" s="160"/>
      <c r="J22" s="165">
        <f>SUM(J17:J21)</f>
        <v>0</v>
      </c>
      <c r="K22" s="165">
        <f>SUM(K17:K21)</f>
        <v>0</v>
      </c>
      <c r="L22" s="159">
        <f>SUM(L17:L21)</f>
        <v>0</v>
      </c>
      <c r="M22" s="165">
        <f>SUM(M17:M21)</f>
        <v>0</v>
      </c>
    </row>
    <row r="23" spans="2:29">
      <c r="B23" s="569" t="s">
        <v>267</v>
      </c>
      <c r="C23" s="161"/>
      <c r="D23" s="161"/>
      <c r="E23" s="162"/>
      <c r="F23" s="127"/>
      <c r="G23" s="166"/>
      <c r="H23" s="163"/>
      <c r="I23" s="163"/>
      <c r="J23" s="127"/>
      <c r="K23" s="127"/>
      <c r="L23" s="127"/>
      <c r="M23" s="127"/>
    </row>
    <row r="24" spans="2:29">
      <c r="B24" s="151"/>
      <c r="C24" s="174"/>
      <c r="D24" s="174"/>
      <c r="E24" s="152"/>
      <c r="F24" s="153"/>
      <c r="G24" s="154"/>
      <c r="H24" s="155"/>
      <c r="I24" s="155"/>
      <c r="J24" s="154"/>
      <c r="K24" s="154"/>
      <c r="L24" s="154"/>
      <c r="M24" s="154"/>
    </row>
    <row r="25" spans="2:29">
      <c r="B25" s="151"/>
      <c r="C25" s="261"/>
      <c r="D25" s="174"/>
      <c r="E25" s="152"/>
      <c r="F25" s="153"/>
      <c r="G25" s="154"/>
      <c r="H25" s="155"/>
      <c r="I25" s="155"/>
      <c r="J25" s="154"/>
      <c r="K25" s="154"/>
      <c r="L25" s="154"/>
      <c r="M25" s="154"/>
    </row>
    <row r="26" spans="2:29">
      <c r="B26" s="151"/>
      <c r="C26" s="174"/>
      <c r="D26" s="174"/>
      <c r="E26" s="152"/>
      <c r="F26" s="153"/>
      <c r="G26" s="154"/>
      <c r="H26" s="155"/>
      <c r="I26" s="155"/>
      <c r="J26" s="154"/>
      <c r="K26" s="154"/>
      <c r="L26" s="154"/>
      <c r="M26" s="154"/>
    </row>
    <row r="27" spans="2:29">
      <c r="B27" s="151"/>
      <c r="C27" s="174"/>
      <c r="D27" s="174"/>
      <c r="E27" s="152"/>
      <c r="F27" s="153"/>
      <c r="G27" s="154"/>
      <c r="H27" s="155"/>
      <c r="I27" s="155"/>
      <c r="J27" s="154"/>
      <c r="K27" s="154"/>
      <c r="L27" s="154"/>
      <c r="M27" s="154"/>
    </row>
    <row r="28" spans="2:29">
      <c r="B28" s="151"/>
      <c r="C28" s="174"/>
      <c r="D28" s="174"/>
      <c r="E28" s="152"/>
      <c r="F28" s="153"/>
      <c r="G28" s="154"/>
      <c r="H28" s="155"/>
      <c r="I28" s="155"/>
      <c r="J28" s="154"/>
      <c r="K28" s="154"/>
      <c r="L28" s="154"/>
      <c r="M28" s="154"/>
    </row>
    <row r="29" spans="2:29">
      <c r="B29" s="151"/>
      <c r="C29" s="174"/>
      <c r="D29" s="174"/>
      <c r="E29" s="152"/>
      <c r="F29" s="153"/>
      <c r="G29" s="154"/>
      <c r="H29" s="155"/>
      <c r="I29" s="155"/>
      <c r="J29" s="154"/>
      <c r="K29" s="154"/>
      <c r="L29" s="154"/>
      <c r="M29" s="154"/>
      <c r="N29" s="31"/>
      <c r="O29" s="31"/>
      <c r="P29" s="31"/>
      <c r="Q29" s="31"/>
      <c r="R29" s="31"/>
      <c r="S29" s="31"/>
      <c r="T29" s="31"/>
      <c r="U29" s="31"/>
      <c r="V29" s="31"/>
      <c r="W29" s="31"/>
      <c r="X29" s="31"/>
      <c r="Y29" s="31"/>
      <c r="Z29" s="31"/>
      <c r="AA29" s="31"/>
      <c r="AB29" s="31"/>
      <c r="AC29" s="31"/>
    </row>
    <row r="30" spans="2:29">
      <c r="B30" s="139" t="s">
        <v>268</v>
      </c>
      <c r="C30" s="139"/>
      <c r="D30" s="139"/>
      <c r="E30" s="164"/>
      <c r="F30" s="158"/>
      <c r="G30" s="165">
        <f>SUM(G24:G29)</f>
        <v>0</v>
      </c>
      <c r="H30" s="158"/>
      <c r="I30" s="158"/>
      <c r="J30" s="165">
        <f>SUM(J24:J29)</f>
        <v>0</v>
      </c>
      <c r="K30" s="165">
        <f>SUM(K24:K29)</f>
        <v>0</v>
      </c>
      <c r="L30" s="165">
        <f>SUM(L24:L29)</f>
        <v>0</v>
      </c>
      <c r="M30" s="165">
        <f>SUM(M24:M29)</f>
        <v>0</v>
      </c>
    </row>
    <row r="31" spans="2:29">
      <c r="B31" s="139" t="s">
        <v>269</v>
      </c>
      <c r="C31" s="139"/>
      <c r="D31" s="139"/>
      <c r="E31" s="139"/>
      <c r="F31" s="158"/>
      <c r="G31" s="165">
        <f>SUM(G15+G22+G30)</f>
        <v>0</v>
      </c>
      <c r="H31" s="158"/>
      <c r="I31" s="158"/>
      <c r="J31" s="165">
        <f>SUM(J15+J22+J30)</f>
        <v>0</v>
      </c>
      <c r="K31" s="165">
        <f>SUM(K15+K22+K30)</f>
        <v>0</v>
      </c>
      <c r="L31" s="165">
        <f>SUM(L15+L22+L30)</f>
        <v>0</v>
      </c>
      <c r="M31" s="165">
        <f>SUM(M15+M22+M30)</f>
        <v>0</v>
      </c>
    </row>
    <row r="32" spans="2:29">
      <c r="C32" s="31"/>
      <c r="D32" s="31"/>
      <c r="E32" s="31"/>
      <c r="F32" s="31"/>
      <c r="G32" s="31"/>
      <c r="H32" s="31"/>
      <c r="I32" s="31"/>
      <c r="J32" s="31"/>
      <c r="K32" s="31"/>
      <c r="L32" s="31"/>
      <c r="M32" s="31"/>
    </row>
    <row r="33" spans="2:14">
      <c r="F33" s="167"/>
      <c r="G33" s="167"/>
      <c r="J33" s="167"/>
      <c r="K33" s="167"/>
      <c r="L33" s="167"/>
      <c r="M33" s="167"/>
    </row>
    <row r="34" spans="2:14">
      <c r="B34" s="31"/>
      <c r="F34" s="31"/>
      <c r="H34" s="168"/>
      <c r="N34" s="31"/>
    </row>
    <row r="35" spans="2:14">
      <c r="B35" s="31"/>
      <c r="C35" s="31"/>
      <c r="D35" s="31"/>
      <c r="E35" s="31"/>
      <c r="F35" s="31"/>
      <c r="G35" s="31"/>
      <c r="H35" s="31"/>
      <c r="I35" s="31"/>
      <c r="J35" s="31"/>
      <c r="K35" s="31"/>
      <c r="L35" s="31"/>
      <c r="M35" s="31"/>
    </row>
    <row r="36" spans="2:14">
      <c r="C36" s="31"/>
      <c r="D36" s="31"/>
      <c r="E36" s="31"/>
      <c r="F36" s="31"/>
      <c r="G36" s="31"/>
      <c r="H36" s="31"/>
      <c r="I36" s="31"/>
      <c r="J36" s="31"/>
      <c r="K36" s="31"/>
      <c r="L36" s="31"/>
      <c r="M36" s="31"/>
    </row>
  </sheetData>
  <sheetProtection sheet="1" objects="1" scenarios="1"/>
  <mergeCells count="4">
    <mergeCell ref="H6:I6"/>
    <mergeCell ref="L6:M6"/>
    <mergeCell ref="J6:K6"/>
    <mergeCell ref="B3:M3"/>
  </mergeCells>
  <phoneticPr fontId="0" type="noConversion"/>
  <pageMargins left="0.15" right="0.15" top="1" bottom="0.5" header="0.5" footer="0"/>
  <pageSetup scale="83" orientation="landscape" blackAndWhite="1"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B1:K31"/>
  <sheetViews>
    <sheetView zoomScale="75" workbookViewId="0">
      <selection activeCell="B9" sqref="B9"/>
    </sheetView>
  </sheetViews>
  <sheetFormatPr defaultColWidth="8.88671875" defaultRowHeight="15.75"/>
  <cols>
    <col min="1" max="1" width="10.77734375" style="37" customWidth="1"/>
    <col min="2" max="2" width="25.77734375" style="37" customWidth="1"/>
    <col min="3" max="3" width="11.77734375" style="37" customWidth="1"/>
    <col min="4" max="5" width="9.77734375" style="37" customWidth="1"/>
    <col min="6" max="6" width="17.109375" style="37" customWidth="1"/>
    <col min="7" max="9" width="15.77734375" style="37" customWidth="1"/>
    <col min="10" max="11" width="9.77734375" style="37" customWidth="1"/>
    <col min="12" max="16384" width="8.88671875" style="37"/>
  </cols>
  <sheetData>
    <row r="1" spans="2:11">
      <c r="B1" s="75">
        <f>inputPrYr!$D$3</f>
        <v>0</v>
      </c>
      <c r="C1" s="36"/>
      <c r="D1" s="36"/>
      <c r="E1" s="36"/>
      <c r="F1" s="36"/>
      <c r="G1" s="36"/>
      <c r="H1" s="36"/>
      <c r="I1" s="91">
        <f>inputPrYr!$C$6</f>
        <v>2025</v>
      </c>
      <c r="J1" s="31"/>
      <c r="K1" s="169"/>
    </row>
    <row r="2" spans="2:11">
      <c r="B2" s="75"/>
      <c r="C2" s="36"/>
      <c r="D2" s="36"/>
      <c r="E2" s="36"/>
      <c r="F2" s="36"/>
      <c r="G2" s="36"/>
      <c r="H2" s="36"/>
      <c r="I2" s="36"/>
      <c r="J2" s="31"/>
      <c r="K2" s="169"/>
    </row>
    <row r="3" spans="2:11">
      <c r="B3" s="668" t="s">
        <v>270</v>
      </c>
      <c r="C3" s="668"/>
      <c r="D3" s="668"/>
      <c r="E3" s="668"/>
      <c r="F3" s="668"/>
      <c r="G3" s="668"/>
      <c r="H3" s="668"/>
      <c r="I3" s="668"/>
      <c r="J3" s="170"/>
      <c r="K3" s="170"/>
    </row>
    <row r="4" spans="2:11">
      <c r="B4" s="36"/>
      <c r="C4" s="144"/>
      <c r="D4" s="144"/>
      <c r="E4" s="144"/>
      <c r="F4" s="144"/>
      <c r="G4" s="144"/>
      <c r="H4" s="144"/>
      <c r="I4" s="144"/>
      <c r="J4" s="171"/>
      <c r="K4" s="171"/>
    </row>
    <row r="5" spans="2:11">
      <c r="B5" s="117"/>
      <c r="C5" s="117"/>
      <c r="D5" s="117"/>
      <c r="E5" s="117"/>
      <c r="F5" s="125" t="s">
        <v>103</v>
      </c>
      <c r="G5" s="117"/>
      <c r="H5" s="117"/>
      <c r="I5" s="117"/>
      <c r="J5" s="172"/>
    </row>
    <row r="6" spans="2:11">
      <c r="B6" s="108"/>
      <c r="C6" s="147"/>
      <c r="D6" s="147" t="s">
        <v>271</v>
      </c>
      <c r="E6" s="147" t="s">
        <v>249</v>
      </c>
      <c r="F6" s="147" t="s">
        <v>255</v>
      </c>
      <c r="G6" s="147" t="s">
        <v>272</v>
      </c>
      <c r="H6" s="147" t="s">
        <v>273</v>
      </c>
      <c r="I6" s="147" t="s">
        <v>273</v>
      </c>
    </row>
    <row r="7" spans="2:11">
      <c r="B7" s="147" t="s">
        <v>274</v>
      </c>
      <c r="C7" s="147" t="s">
        <v>275</v>
      </c>
      <c r="D7" s="147" t="s">
        <v>276</v>
      </c>
      <c r="E7" s="147" t="s">
        <v>118</v>
      </c>
      <c r="F7" s="147" t="s">
        <v>277</v>
      </c>
      <c r="G7" s="147" t="s">
        <v>278</v>
      </c>
      <c r="H7" s="147" t="s">
        <v>279</v>
      </c>
      <c r="I7" s="147" t="s">
        <v>279</v>
      </c>
    </row>
    <row r="8" spans="2:11">
      <c r="B8" s="149" t="s">
        <v>280</v>
      </c>
      <c r="C8" s="149" t="s">
        <v>248</v>
      </c>
      <c r="D8" s="173" t="s">
        <v>281</v>
      </c>
      <c r="E8" s="149" t="s">
        <v>97</v>
      </c>
      <c r="F8" s="173" t="s">
        <v>282</v>
      </c>
      <c r="G8" s="149">
        <f>inputPrYr!C6-1</f>
        <v>2024</v>
      </c>
      <c r="H8" s="149">
        <f>inputPrYr!C6-1</f>
        <v>2024</v>
      </c>
      <c r="I8" s="134">
        <f>inputPrYr!$C$6</f>
        <v>2025</v>
      </c>
    </row>
    <row r="9" spans="2:11">
      <c r="B9" s="151"/>
      <c r="C9" s="174"/>
      <c r="D9" s="174"/>
      <c r="E9" s="152"/>
      <c r="F9" s="153"/>
      <c r="G9" s="153"/>
      <c r="H9" s="153"/>
      <c r="I9" s="153"/>
    </row>
    <row r="10" spans="2:11">
      <c r="B10" s="151"/>
      <c r="C10" s="174"/>
      <c r="D10" s="174"/>
      <c r="E10" s="152"/>
      <c r="F10" s="153"/>
      <c r="G10" s="153"/>
      <c r="H10" s="153"/>
      <c r="I10" s="153"/>
    </row>
    <row r="11" spans="2:11">
      <c r="B11" s="151"/>
      <c r="C11" s="151"/>
      <c r="D11" s="174"/>
      <c r="E11" s="152"/>
      <c r="F11" s="153"/>
      <c r="G11" s="153"/>
      <c r="H11" s="153"/>
      <c r="I11" s="153"/>
    </row>
    <row r="12" spans="2:11">
      <c r="B12" s="151"/>
      <c r="C12" s="151"/>
      <c r="D12" s="174"/>
      <c r="E12" s="152"/>
      <c r="F12" s="153"/>
      <c r="G12" s="153"/>
      <c r="H12" s="153"/>
      <c r="I12" s="153"/>
    </row>
    <row r="13" spans="2:11">
      <c r="B13" s="151"/>
      <c r="C13" s="151"/>
      <c r="D13" s="174"/>
      <c r="E13" s="152"/>
      <c r="F13" s="153"/>
      <c r="G13" s="153"/>
      <c r="H13" s="153"/>
      <c r="I13" s="153"/>
    </row>
    <row r="14" spans="2:11">
      <c r="B14" s="151"/>
      <c r="C14" s="174"/>
      <c r="D14" s="174"/>
      <c r="E14" s="152"/>
      <c r="F14" s="153"/>
      <c r="G14" s="153"/>
      <c r="H14" s="153"/>
      <c r="I14" s="153"/>
    </row>
    <row r="15" spans="2:11">
      <c r="B15" s="151"/>
      <c r="C15" s="151"/>
      <c r="D15" s="174"/>
      <c r="E15" s="152"/>
      <c r="F15" s="153"/>
      <c r="G15" s="153"/>
      <c r="H15" s="153"/>
      <c r="I15" s="153"/>
    </row>
    <row r="16" spans="2:11">
      <c r="B16" s="151"/>
      <c r="C16" s="151"/>
      <c r="D16" s="174"/>
      <c r="E16" s="152"/>
      <c r="F16" s="153"/>
      <c r="G16" s="153"/>
      <c r="H16" s="153"/>
      <c r="I16" s="153"/>
    </row>
    <row r="17" spans="2:11">
      <c r="B17" s="151"/>
      <c r="C17" s="151"/>
      <c r="D17" s="174"/>
      <c r="E17" s="152"/>
      <c r="F17" s="153"/>
      <c r="G17" s="153"/>
      <c r="H17" s="153"/>
      <c r="I17" s="153"/>
    </row>
    <row r="18" spans="2:11">
      <c r="B18" s="151"/>
      <c r="C18" s="151"/>
      <c r="D18" s="174"/>
      <c r="E18" s="152"/>
      <c r="F18" s="153"/>
      <c r="G18" s="153"/>
      <c r="H18" s="153"/>
      <c r="I18" s="153"/>
    </row>
    <row r="19" spans="2:11">
      <c r="B19" s="151"/>
      <c r="C19" s="151"/>
      <c r="D19" s="174"/>
      <c r="E19" s="152"/>
      <c r="F19" s="153"/>
      <c r="G19" s="153"/>
      <c r="H19" s="153"/>
      <c r="I19" s="153"/>
    </row>
    <row r="20" spans="2:11" ht="16.5" thickBot="1">
      <c r="B20" s="122"/>
      <c r="C20" s="122"/>
      <c r="D20" s="122"/>
      <c r="E20" s="122"/>
      <c r="F20" s="122" t="s">
        <v>220</v>
      </c>
      <c r="G20" s="175">
        <f>SUM(G9:G19)</f>
        <v>0</v>
      </c>
      <c r="H20" s="175">
        <f>SUM(H9:H19)</f>
        <v>0</v>
      </c>
      <c r="I20" s="176">
        <f>SUM(I9:I19)</f>
        <v>0</v>
      </c>
    </row>
    <row r="21" spans="2:11" ht="16.5" thickTop="1">
      <c r="B21" s="36"/>
      <c r="C21" s="36"/>
      <c r="D21" s="36"/>
      <c r="E21" s="36"/>
      <c r="F21" s="36"/>
      <c r="G21" s="36"/>
      <c r="H21" s="36"/>
      <c r="I21" s="36"/>
      <c r="J21" s="167"/>
      <c r="K21" s="167"/>
    </row>
    <row r="22" spans="2:11" ht="18.75">
      <c r="B22" s="669" t="s">
        <v>283</v>
      </c>
      <c r="C22" s="669"/>
      <c r="D22" s="669"/>
      <c r="E22" s="669"/>
      <c r="F22" s="669"/>
      <c r="G22" s="669"/>
      <c r="H22" s="669"/>
      <c r="I22" s="669"/>
      <c r="J22" s="167"/>
      <c r="K22" s="167"/>
    </row>
    <row r="31" spans="2:11">
      <c r="D31" s="168"/>
    </row>
  </sheetData>
  <sheetProtection sheet="1" objects="1" scenarios="1"/>
  <mergeCells count="2">
    <mergeCell ref="B3:I3"/>
    <mergeCell ref="B22:I22"/>
  </mergeCells>
  <phoneticPr fontId="0" type="noConversion"/>
  <pageMargins left="0.47" right="0.4" top="1" bottom="0.5" header="0.5" footer="0.5"/>
  <pageSetup scale="89" orientation="landscape" blackAndWhite="1"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I107"/>
  <sheetViews>
    <sheetView topLeftCell="A6" zoomScaleNormal="100" workbookViewId="0">
      <selection activeCell="B19" sqref="B19"/>
    </sheetView>
  </sheetViews>
  <sheetFormatPr defaultColWidth="8.88671875" defaultRowHeight="15"/>
  <cols>
    <col min="1" max="1" width="2.5546875" style="393" customWidth="1"/>
    <col min="2" max="4" width="8.88671875" style="393"/>
    <col min="5" max="5" width="9.6640625" style="393" customWidth="1"/>
    <col min="6" max="6" width="8.88671875" style="393"/>
    <col min="7" max="7" width="9.6640625" style="393" customWidth="1"/>
    <col min="8" max="16384" width="8.88671875" style="393"/>
  </cols>
  <sheetData>
    <row r="1" spans="2:9" ht="15.75">
      <c r="B1" s="392"/>
      <c r="C1" s="392"/>
      <c r="D1" s="392"/>
      <c r="E1" s="392"/>
      <c r="F1" s="392"/>
      <c r="G1" s="392"/>
      <c r="H1" s="392"/>
      <c r="I1" s="392"/>
    </row>
    <row r="2" spans="2:9" ht="15.75">
      <c r="B2" s="672" t="s">
        <v>284</v>
      </c>
      <c r="C2" s="672"/>
      <c r="D2" s="672"/>
      <c r="E2" s="672"/>
      <c r="F2" s="672"/>
      <c r="G2" s="672"/>
      <c r="H2" s="672"/>
      <c r="I2" s="672"/>
    </row>
    <row r="3" spans="2:9" ht="15.75">
      <c r="B3" s="672" t="s">
        <v>285</v>
      </c>
      <c r="C3" s="672"/>
      <c r="D3" s="672"/>
      <c r="E3" s="672"/>
      <c r="F3" s="672"/>
      <c r="G3" s="672"/>
      <c r="H3" s="672"/>
      <c r="I3" s="672"/>
    </row>
    <row r="4" spans="2:9" ht="15.75">
      <c r="B4" s="394"/>
      <c r="C4" s="394"/>
      <c r="D4" s="394"/>
      <c r="E4" s="394"/>
      <c r="F4" s="394"/>
      <c r="G4" s="394"/>
      <c r="H4" s="394"/>
      <c r="I4" s="394"/>
    </row>
    <row r="5" spans="2:9" ht="15.75">
      <c r="B5" s="673" t="str">
        <f>CONCATENATE("Budgeted Year: ",inputPrYr!C6,"")</f>
        <v>Budgeted Year: 2025</v>
      </c>
      <c r="C5" s="673"/>
      <c r="D5" s="673"/>
      <c r="E5" s="673"/>
      <c r="F5" s="673"/>
      <c r="G5" s="673"/>
      <c r="H5" s="673"/>
      <c r="I5" s="673"/>
    </row>
    <row r="6" spans="2:9" ht="15.75">
      <c r="B6" s="395"/>
      <c r="C6" s="394"/>
      <c r="D6" s="394"/>
      <c r="E6" s="394"/>
      <c r="F6" s="394"/>
      <c r="G6" s="394"/>
      <c r="H6" s="394"/>
      <c r="I6" s="394"/>
    </row>
    <row r="7" spans="2:9" ht="15.75">
      <c r="B7" s="395" t="str">
        <f>CONCATENATE("Library found in: ",inputPrYr!D3,"")</f>
        <v xml:space="preserve">Library found in: </v>
      </c>
      <c r="C7" s="394"/>
      <c r="D7" s="394"/>
      <c r="E7" s="394"/>
      <c r="F7" s="394"/>
      <c r="G7" s="394"/>
      <c r="H7" s="394"/>
      <c r="I7" s="394"/>
    </row>
    <row r="8" spans="2:9" ht="15.75">
      <c r="B8" s="395">
        <f>inputPrYr!D4</f>
        <v>0</v>
      </c>
      <c r="C8" s="394"/>
      <c r="D8" s="394"/>
      <c r="E8" s="394"/>
      <c r="F8" s="394"/>
      <c r="G8" s="394"/>
      <c r="H8" s="394"/>
      <c r="I8" s="394"/>
    </row>
    <row r="9" spans="2:9" ht="15.75">
      <c r="B9" s="394"/>
      <c r="C9" s="394"/>
      <c r="D9" s="394"/>
      <c r="E9" s="394"/>
      <c r="F9" s="394"/>
      <c r="G9" s="394"/>
      <c r="H9" s="394"/>
      <c r="I9" s="394"/>
    </row>
    <row r="10" spans="2:9" ht="39" customHeight="1">
      <c r="B10" s="674" t="s">
        <v>286</v>
      </c>
      <c r="C10" s="674"/>
      <c r="D10" s="674"/>
      <c r="E10" s="674"/>
      <c r="F10" s="674"/>
      <c r="G10" s="674"/>
      <c r="H10" s="674"/>
      <c r="I10" s="674"/>
    </row>
    <row r="11" spans="2:9" ht="15.75">
      <c r="B11" s="394"/>
      <c r="C11" s="394"/>
      <c r="D11" s="394"/>
      <c r="E11" s="394"/>
      <c r="F11" s="394"/>
      <c r="G11" s="394"/>
      <c r="H11" s="394"/>
      <c r="I11" s="394"/>
    </row>
    <row r="12" spans="2:9" ht="15.75">
      <c r="B12" s="396" t="s">
        <v>287</v>
      </c>
      <c r="C12" s="394"/>
      <c r="D12" s="394"/>
      <c r="E12" s="394"/>
      <c r="F12" s="394"/>
      <c r="G12" s="394"/>
      <c r="H12" s="394"/>
      <c r="I12" s="394"/>
    </row>
    <row r="13" spans="2:9" ht="15.75">
      <c r="B13" s="394"/>
      <c r="C13" s="394"/>
      <c r="D13" s="394"/>
      <c r="E13" s="397" t="s">
        <v>288</v>
      </c>
      <c r="F13" s="394"/>
      <c r="G13" s="397" t="s">
        <v>289</v>
      </c>
      <c r="H13" s="394"/>
      <c r="I13" s="394"/>
    </row>
    <row r="14" spans="2:9" ht="15.75">
      <c r="B14" s="394"/>
      <c r="C14" s="394"/>
      <c r="D14" s="394"/>
      <c r="E14" s="398">
        <f>inputPrYr!C6-1</f>
        <v>2024</v>
      </c>
      <c r="F14" s="394"/>
      <c r="G14" s="398">
        <f>inputPrYr!C6</f>
        <v>2025</v>
      </c>
      <c r="H14" s="394"/>
      <c r="I14" s="394"/>
    </row>
    <row r="15" spans="2:9" ht="15.75">
      <c r="B15" s="395" t="str">
        <f>'DebtSvs-Library'!B49</f>
        <v>Ad Valorem Tax</v>
      </c>
      <c r="C15" s="394"/>
      <c r="D15" s="394"/>
      <c r="E15" s="399">
        <f>'DebtSvs-Library'!D49</f>
        <v>0</v>
      </c>
      <c r="F15" s="394"/>
      <c r="G15" s="399">
        <f>'DebtSvs-Library'!E82</f>
        <v>0</v>
      </c>
      <c r="H15" s="394"/>
      <c r="I15" s="394"/>
    </row>
    <row r="16" spans="2:9" ht="15.75">
      <c r="B16" s="395" t="str">
        <f>'DebtSvs-Library'!B50</f>
        <v>Delinquent Tax</v>
      </c>
      <c r="C16" s="394"/>
      <c r="D16" s="394"/>
      <c r="E16" s="399">
        <f>'DebtSvs-Library'!D50</f>
        <v>0</v>
      </c>
      <c r="F16" s="394"/>
      <c r="G16" s="399">
        <f>'DebtSvs-Library'!E50</f>
        <v>0</v>
      </c>
      <c r="H16" s="394"/>
      <c r="I16" s="394"/>
    </row>
    <row r="17" spans="2:9" ht="15.75">
      <c r="B17" s="395" t="str">
        <f>'DebtSvs-Library'!B51</f>
        <v>Motor Vehicle Tax</v>
      </c>
      <c r="C17" s="394"/>
      <c r="D17" s="394"/>
      <c r="E17" s="399">
        <f>'DebtSvs-Library'!D51</f>
        <v>0</v>
      </c>
      <c r="F17" s="394"/>
      <c r="G17" s="399" t="str">
        <f>'DebtSvs-Library'!E51</f>
        <v xml:space="preserve">  </v>
      </c>
      <c r="H17" s="394"/>
      <c r="I17" s="394"/>
    </row>
    <row r="18" spans="2:9" ht="15.75">
      <c r="B18" s="395" t="str">
        <f>'DebtSvs-Library'!B52</f>
        <v>Recreational Vehicle Tax</v>
      </c>
      <c r="C18" s="394"/>
      <c r="D18" s="394"/>
      <c r="E18" s="399">
        <f>'DebtSvs-Library'!D52</f>
        <v>0</v>
      </c>
      <c r="F18" s="394"/>
      <c r="G18" s="399" t="str">
        <f>'DebtSvs-Library'!E52</f>
        <v xml:space="preserve">  </v>
      </c>
      <c r="H18" s="394"/>
      <c r="I18" s="394"/>
    </row>
    <row r="19" spans="2:9" ht="15.75">
      <c r="B19" s="395" t="str">
        <f>'DebtSvs-Library'!B53</f>
        <v>16/20M Vehicle Tax</v>
      </c>
      <c r="C19" s="394"/>
      <c r="D19" s="394"/>
      <c r="E19" s="399">
        <f>'DebtSvs-Library'!D53</f>
        <v>0</v>
      </c>
      <c r="F19" s="394"/>
      <c r="G19" s="399" t="str">
        <f>'DebtSvs-Library'!E53</f>
        <v xml:space="preserve">  </v>
      </c>
      <c r="H19" s="394"/>
      <c r="I19" s="394"/>
    </row>
    <row r="20" spans="2:9" ht="15.75">
      <c r="B20" s="394"/>
      <c r="C20" s="394"/>
      <c r="D20" s="394"/>
      <c r="E20" s="399">
        <v>0</v>
      </c>
      <c r="F20" s="394"/>
      <c r="G20" s="399">
        <v>0</v>
      </c>
      <c r="H20" s="394"/>
      <c r="I20" s="394"/>
    </row>
    <row r="21" spans="2:9" ht="15.75">
      <c r="B21" s="394" t="s">
        <v>290</v>
      </c>
      <c r="C21" s="394"/>
      <c r="D21" s="394"/>
      <c r="E21" s="400">
        <f>SUM(E15:E20)</f>
        <v>0</v>
      </c>
      <c r="F21" s="394"/>
      <c r="G21" s="400">
        <f>SUM(G15:G20)</f>
        <v>0</v>
      </c>
      <c r="H21" s="394"/>
      <c r="I21" s="394"/>
    </row>
    <row r="22" spans="2:9" ht="15.75">
      <c r="B22" s="394" t="s">
        <v>291</v>
      </c>
      <c r="C22" s="394"/>
      <c r="D22" s="394"/>
      <c r="E22" s="401">
        <f>G21-E21</f>
        <v>0</v>
      </c>
      <c r="F22" s="394"/>
      <c r="G22" s="399"/>
      <c r="H22" s="394"/>
      <c r="I22" s="394"/>
    </row>
    <row r="23" spans="2:9" ht="15.75">
      <c r="B23" s="394" t="s">
        <v>292</v>
      </c>
      <c r="C23" s="394"/>
      <c r="D23" s="402" t="str">
        <f>IF((G21-E21)&gt;=0,"Qualify","Not Qualify")</f>
        <v>Qualify</v>
      </c>
      <c r="E23" s="394"/>
      <c r="F23" s="394"/>
      <c r="G23" s="394"/>
      <c r="H23" s="394"/>
      <c r="I23" s="394"/>
    </row>
    <row r="24" spans="2:9" ht="15.75">
      <c r="B24" s="394"/>
      <c r="C24" s="394"/>
      <c r="D24" s="394"/>
      <c r="E24" s="394"/>
      <c r="F24" s="394"/>
      <c r="G24" s="394"/>
      <c r="H24" s="394"/>
      <c r="I24" s="394"/>
    </row>
    <row r="25" spans="2:9" ht="15.75">
      <c r="B25" s="396" t="s">
        <v>293</v>
      </c>
      <c r="C25" s="394"/>
      <c r="D25" s="394"/>
      <c r="E25" s="394"/>
      <c r="F25" s="394"/>
      <c r="G25" s="394"/>
      <c r="H25" s="394"/>
      <c r="I25" s="394"/>
    </row>
    <row r="26" spans="2:9" ht="15.75">
      <c r="B26" s="394" t="s">
        <v>294</v>
      </c>
      <c r="C26" s="394"/>
      <c r="D26" s="394"/>
      <c r="E26" s="399">
        <f>'Budget Hearing Notice'!D36</f>
        <v>0</v>
      </c>
      <c r="F26" s="394"/>
      <c r="G26" s="399">
        <f>'Budget Hearing Notice'!F36</f>
        <v>0</v>
      </c>
      <c r="H26" s="394"/>
      <c r="I26" s="394"/>
    </row>
    <row r="27" spans="2:9" ht="15.75">
      <c r="B27" s="394" t="s">
        <v>295</v>
      </c>
      <c r="C27" s="394"/>
      <c r="D27" s="394"/>
      <c r="E27" s="403" t="str">
        <f>IF(G26-E26&gt;=0,"No","Yes")</f>
        <v>No</v>
      </c>
      <c r="F27" s="394"/>
      <c r="G27" s="394"/>
      <c r="H27" s="394"/>
      <c r="I27" s="394"/>
    </row>
    <row r="28" spans="2:9" ht="15.75">
      <c r="B28" s="394" t="s">
        <v>296</v>
      </c>
      <c r="C28" s="394"/>
      <c r="D28" s="394"/>
      <c r="E28" s="397" t="str">
        <f>'Budget Hearing Notice'!E18</f>
        <v xml:space="preserve">  </v>
      </c>
      <c r="F28" s="394"/>
      <c r="G28" s="411" t="str">
        <f>'Budget Hearing Notice'!H18</f>
        <v/>
      </c>
      <c r="H28" s="394"/>
      <c r="I28" s="394"/>
    </row>
    <row r="29" spans="2:9" ht="15.75">
      <c r="B29" s="394" t="s">
        <v>297</v>
      </c>
      <c r="C29" s="394"/>
      <c r="D29" s="394"/>
      <c r="E29" s="412" t="e">
        <f>G28-E28</f>
        <v>#VALUE!</v>
      </c>
      <c r="F29" s="394"/>
      <c r="G29" s="394"/>
      <c r="H29" s="394"/>
      <c r="I29" s="394"/>
    </row>
    <row r="30" spans="2:9" ht="15.75">
      <c r="B30" s="394" t="s">
        <v>292</v>
      </c>
      <c r="C30" s="394"/>
      <c r="D30" s="404" t="e">
        <f>IF(E29&gt;=0,"Qualify","Not Qualify")</f>
        <v>#VALUE!</v>
      </c>
      <c r="E30" s="394"/>
      <c r="F30" s="394"/>
      <c r="G30" s="394"/>
      <c r="H30" s="394"/>
      <c r="I30" s="394"/>
    </row>
    <row r="31" spans="2:9" ht="15.75">
      <c r="B31" s="394"/>
      <c r="C31" s="394"/>
      <c r="D31" s="394"/>
      <c r="E31" s="394"/>
      <c r="F31" s="394"/>
      <c r="G31" s="394"/>
      <c r="H31" s="394"/>
      <c r="I31" s="394"/>
    </row>
    <row r="32" spans="2:9" ht="15.75">
      <c r="B32" s="394" t="s">
        <v>298</v>
      </c>
      <c r="C32" s="394"/>
      <c r="D32" s="394"/>
      <c r="E32" s="394"/>
      <c r="F32" s="413" t="str">
        <f>IF(D23="Not Qualify",IF(D30="Not Qualify",IF(D30="Not Qualify","Not Qualify","Qualify"),"Qualify"),"Qualify")</f>
        <v>Qualify</v>
      </c>
      <c r="G32" s="394"/>
      <c r="H32" s="394"/>
      <c r="I32" s="394"/>
    </row>
    <row r="33" spans="2:9" ht="15.75">
      <c r="B33" s="394"/>
      <c r="C33" s="394"/>
      <c r="D33" s="394"/>
      <c r="E33" s="394"/>
      <c r="F33" s="394"/>
      <c r="G33" s="394"/>
      <c r="H33" s="394"/>
      <c r="I33" s="394"/>
    </row>
    <row r="34" spans="2:9" ht="15.75">
      <c r="B34" s="394"/>
      <c r="C34" s="394"/>
      <c r="D34" s="394"/>
      <c r="E34" s="394"/>
      <c r="F34" s="394"/>
      <c r="G34" s="394"/>
      <c r="H34" s="394"/>
      <c r="I34" s="394"/>
    </row>
    <row r="35" spans="2:9" ht="15.75">
      <c r="B35" s="674" t="s">
        <v>299</v>
      </c>
      <c r="C35" s="674"/>
      <c r="D35" s="674"/>
      <c r="E35" s="674"/>
      <c r="F35" s="674"/>
      <c r="G35" s="674"/>
      <c r="H35" s="674"/>
      <c r="I35" s="674"/>
    </row>
    <row r="36" spans="2:9" ht="37.5" customHeight="1">
      <c r="B36" s="394"/>
      <c r="C36" s="394"/>
      <c r="D36" s="394"/>
      <c r="E36" s="394"/>
      <c r="F36" s="394"/>
      <c r="G36" s="394"/>
      <c r="H36" s="394"/>
      <c r="I36" s="394"/>
    </row>
    <row r="37" spans="2:9" ht="15.75">
      <c r="B37" s="394"/>
      <c r="C37" s="394"/>
      <c r="D37" s="394"/>
      <c r="E37" s="394"/>
      <c r="F37" s="394"/>
      <c r="G37" s="394"/>
      <c r="H37" s="394"/>
      <c r="I37" s="394"/>
    </row>
    <row r="38" spans="2:9" ht="15.75">
      <c r="B38" s="394"/>
      <c r="C38" s="394"/>
      <c r="D38" s="394"/>
      <c r="E38" s="394"/>
      <c r="F38" s="394"/>
      <c r="G38" s="394"/>
      <c r="H38" s="394"/>
      <c r="I38" s="394"/>
    </row>
    <row r="39" spans="2:9" ht="15.75">
      <c r="B39" s="394"/>
      <c r="C39" s="394"/>
      <c r="D39" s="394"/>
      <c r="E39" s="410" t="s">
        <v>300</v>
      </c>
      <c r="F39" s="409">
        <v>6</v>
      </c>
      <c r="G39" s="394"/>
      <c r="H39" s="394"/>
      <c r="I39" s="394"/>
    </row>
    <row r="40" spans="2:9" ht="15.75">
      <c r="B40" s="394"/>
      <c r="C40" s="394"/>
      <c r="D40" s="394"/>
      <c r="E40" s="394"/>
      <c r="F40" s="394"/>
      <c r="G40" s="394"/>
      <c r="H40" s="394"/>
      <c r="I40" s="394"/>
    </row>
    <row r="41" spans="2:9" ht="15.75">
      <c r="B41" s="394"/>
      <c r="C41" s="394"/>
      <c r="D41" s="394"/>
      <c r="E41" s="394"/>
      <c r="F41" s="394"/>
      <c r="G41" s="394"/>
      <c r="H41" s="394"/>
      <c r="I41" s="394"/>
    </row>
    <row r="42" spans="2:9" ht="15.75">
      <c r="B42" s="670" t="s">
        <v>301</v>
      </c>
      <c r="C42" s="671"/>
      <c r="D42" s="671"/>
      <c r="E42" s="671"/>
      <c r="F42" s="671"/>
      <c r="G42" s="671"/>
      <c r="H42" s="671"/>
      <c r="I42" s="671"/>
    </row>
    <row r="43" spans="2:9" ht="15.75">
      <c r="B43" s="394"/>
      <c r="C43" s="394"/>
      <c r="D43" s="394"/>
      <c r="E43" s="394"/>
      <c r="F43" s="394"/>
      <c r="G43" s="394"/>
      <c r="H43" s="394"/>
      <c r="I43" s="394"/>
    </row>
    <row r="44" spans="2:9" ht="15.75">
      <c r="B44" s="405" t="s">
        <v>302</v>
      </c>
      <c r="C44" s="394"/>
      <c r="D44" s="394"/>
      <c r="E44" s="394"/>
      <c r="F44" s="394"/>
      <c r="G44" s="394"/>
      <c r="H44" s="394"/>
      <c r="I44" s="394"/>
    </row>
    <row r="45" spans="2:9" ht="15.75">
      <c r="B45" s="405" t="str">
        <f>CONCATENATE("sources in your ",G14," library fund is not equal to or greater than the amount from the same")</f>
        <v>sources in your 2025 library fund is not equal to or greater than the amount from the same</v>
      </c>
      <c r="C45" s="394"/>
      <c r="D45" s="394"/>
      <c r="E45" s="394"/>
      <c r="F45" s="394"/>
      <c r="G45" s="394"/>
      <c r="H45" s="394"/>
      <c r="I45" s="394"/>
    </row>
    <row r="46" spans="2:9" ht="15.75">
      <c r="B46" s="405" t="str">
        <f>CONCATENATE("sources in ",E14,".")</f>
        <v>sources in 2024.</v>
      </c>
      <c r="C46" s="392"/>
      <c r="D46" s="392"/>
      <c r="E46" s="392"/>
      <c r="F46" s="392"/>
      <c r="G46" s="392"/>
      <c r="H46" s="392"/>
      <c r="I46" s="392"/>
    </row>
    <row r="47" spans="2:9" ht="15.75">
      <c r="B47" s="392"/>
      <c r="C47" s="392"/>
      <c r="D47" s="392"/>
      <c r="E47" s="392"/>
      <c r="F47" s="392"/>
      <c r="G47" s="392"/>
      <c r="H47" s="392"/>
      <c r="I47" s="392"/>
    </row>
    <row r="48" spans="2:9" ht="15.75">
      <c r="B48" s="405" t="s">
        <v>303</v>
      </c>
      <c r="C48" s="405"/>
      <c r="D48" s="406"/>
      <c r="E48" s="406"/>
      <c r="F48" s="406"/>
      <c r="G48" s="406"/>
      <c r="H48" s="406"/>
      <c r="I48" s="406"/>
    </row>
    <row r="49" spans="2:9" ht="15.75">
      <c r="B49" s="405" t="s">
        <v>304</v>
      </c>
      <c r="C49" s="405"/>
      <c r="D49" s="406"/>
      <c r="E49" s="406"/>
      <c r="F49" s="406"/>
      <c r="G49" s="406"/>
      <c r="H49" s="406"/>
      <c r="I49" s="406"/>
    </row>
    <row r="50" spans="2:9" ht="15.75">
      <c r="B50" s="405" t="s">
        <v>305</v>
      </c>
      <c r="C50" s="405"/>
      <c r="D50" s="406"/>
      <c r="E50" s="406"/>
      <c r="F50" s="406"/>
      <c r="G50" s="406"/>
      <c r="H50" s="406"/>
      <c r="I50" s="406"/>
    </row>
    <row r="51" spans="2:9">
      <c r="B51" s="406"/>
      <c r="C51" s="406"/>
      <c r="D51" s="406"/>
      <c r="E51" s="406"/>
      <c r="F51" s="406"/>
      <c r="G51" s="406"/>
      <c r="H51" s="406"/>
      <c r="I51" s="406"/>
    </row>
    <row r="52" spans="2:9" ht="15.75">
      <c r="B52" s="407" t="s">
        <v>306</v>
      </c>
      <c r="C52" s="406"/>
      <c r="D52" s="406"/>
      <c r="E52" s="406"/>
      <c r="F52" s="406"/>
      <c r="G52" s="406"/>
      <c r="H52" s="406"/>
      <c r="I52" s="406"/>
    </row>
    <row r="53" spans="2:9">
      <c r="B53" s="406"/>
      <c r="C53" s="406"/>
      <c r="D53" s="406"/>
      <c r="E53" s="406"/>
      <c r="F53" s="406"/>
      <c r="G53" s="406"/>
      <c r="H53" s="406"/>
      <c r="I53" s="406"/>
    </row>
    <row r="54" spans="2:9" ht="15.75">
      <c r="B54" s="405" t="s">
        <v>307</v>
      </c>
      <c r="C54" s="406"/>
      <c r="D54" s="406"/>
      <c r="E54" s="406"/>
      <c r="F54" s="406"/>
      <c r="G54" s="406"/>
      <c r="H54" s="406"/>
      <c r="I54" s="406"/>
    </row>
    <row r="55" spans="2:9" ht="15.75">
      <c r="B55" s="405" t="s">
        <v>308</v>
      </c>
      <c r="C55" s="406"/>
      <c r="D55" s="406"/>
      <c r="E55" s="406"/>
      <c r="F55" s="406"/>
      <c r="G55" s="406"/>
      <c r="H55" s="406"/>
      <c r="I55" s="406"/>
    </row>
    <row r="56" spans="2:9">
      <c r="B56" s="406"/>
      <c r="C56" s="406"/>
      <c r="D56" s="406"/>
      <c r="E56" s="406"/>
      <c r="F56" s="406"/>
      <c r="G56" s="406"/>
      <c r="H56" s="406"/>
      <c r="I56" s="406"/>
    </row>
    <row r="57" spans="2:9" ht="15.75">
      <c r="B57" s="407" t="s">
        <v>309</v>
      </c>
      <c r="C57" s="405"/>
      <c r="D57" s="405"/>
      <c r="E57" s="405"/>
      <c r="F57" s="405"/>
      <c r="G57" s="406"/>
      <c r="H57" s="406"/>
      <c r="I57" s="406"/>
    </row>
    <row r="58" spans="2:9" ht="15.75">
      <c r="B58" s="405"/>
      <c r="C58" s="405"/>
      <c r="D58" s="405"/>
      <c r="E58" s="405"/>
      <c r="F58" s="405"/>
      <c r="G58" s="406"/>
      <c r="H58" s="406"/>
      <c r="I58" s="406"/>
    </row>
    <row r="59" spans="2:9" ht="15.75">
      <c r="B59" s="405" t="s">
        <v>310</v>
      </c>
      <c r="C59" s="405"/>
      <c r="D59" s="405"/>
      <c r="E59" s="405"/>
      <c r="F59" s="405"/>
      <c r="G59" s="406"/>
      <c r="H59" s="406"/>
      <c r="I59" s="406"/>
    </row>
    <row r="60" spans="2:9" ht="15.75">
      <c r="B60" s="405" t="s">
        <v>311</v>
      </c>
      <c r="C60" s="405"/>
      <c r="D60" s="405"/>
      <c r="E60" s="405"/>
      <c r="F60" s="405"/>
      <c r="G60" s="406"/>
      <c r="H60" s="406"/>
      <c r="I60" s="406"/>
    </row>
    <row r="61" spans="2:9" ht="15.75">
      <c r="B61" s="405" t="s">
        <v>312</v>
      </c>
      <c r="C61" s="405"/>
      <c r="D61" s="405"/>
      <c r="E61" s="405"/>
      <c r="F61" s="405"/>
      <c r="G61" s="406"/>
      <c r="H61" s="406"/>
      <c r="I61" s="406"/>
    </row>
    <row r="62" spans="2:9" ht="15.75">
      <c r="B62" s="405" t="s">
        <v>313</v>
      </c>
      <c r="C62" s="405"/>
      <c r="D62" s="405"/>
      <c r="E62" s="405"/>
      <c r="F62" s="405"/>
      <c r="G62" s="406"/>
      <c r="H62" s="406"/>
      <c r="I62" s="406"/>
    </row>
    <row r="63" spans="2:9">
      <c r="B63" s="408"/>
      <c r="C63" s="408"/>
      <c r="D63" s="408"/>
      <c r="E63" s="408"/>
      <c r="F63" s="408"/>
      <c r="G63" s="406"/>
      <c r="H63" s="406"/>
      <c r="I63" s="406"/>
    </row>
    <row r="64" spans="2:9" ht="15.75">
      <c r="B64" s="405" t="s">
        <v>314</v>
      </c>
      <c r="C64" s="408"/>
      <c r="D64" s="408"/>
      <c r="E64" s="408"/>
      <c r="F64" s="408"/>
      <c r="G64" s="406"/>
      <c r="H64" s="406"/>
      <c r="I64" s="406"/>
    </row>
    <row r="65" spans="2:9" ht="15.75">
      <c r="B65" s="405" t="s">
        <v>315</v>
      </c>
      <c r="C65" s="408"/>
      <c r="D65" s="408"/>
      <c r="E65" s="408"/>
      <c r="F65" s="408"/>
      <c r="G65" s="406"/>
      <c r="H65" s="406"/>
      <c r="I65" s="406"/>
    </row>
    <row r="66" spans="2:9">
      <c r="B66" s="408"/>
      <c r="C66" s="408"/>
      <c r="D66" s="408"/>
      <c r="E66" s="408"/>
      <c r="F66" s="408"/>
      <c r="G66" s="406"/>
      <c r="H66" s="406"/>
      <c r="I66" s="406"/>
    </row>
    <row r="67" spans="2:9" ht="15.75">
      <c r="B67" s="405" t="s">
        <v>316</v>
      </c>
      <c r="C67" s="408"/>
      <c r="D67" s="408"/>
      <c r="E67" s="408"/>
      <c r="F67" s="408"/>
      <c r="G67" s="406"/>
      <c r="H67" s="406"/>
      <c r="I67" s="406"/>
    </row>
    <row r="68" spans="2:9" ht="15.75">
      <c r="B68" s="405" t="s">
        <v>317</v>
      </c>
      <c r="C68" s="408"/>
      <c r="D68" s="408"/>
      <c r="E68" s="408"/>
      <c r="F68" s="408"/>
      <c r="G68" s="406"/>
      <c r="H68" s="406"/>
      <c r="I68" s="406"/>
    </row>
    <row r="69" spans="2:9">
      <c r="B69" s="408"/>
      <c r="C69" s="408"/>
      <c r="D69" s="408"/>
      <c r="E69" s="408"/>
      <c r="F69" s="408"/>
      <c r="G69" s="406"/>
      <c r="H69" s="406"/>
      <c r="I69" s="406"/>
    </row>
    <row r="70" spans="2:9" ht="15.75">
      <c r="B70" s="407" t="s">
        <v>318</v>
      </c>
      <c r="C70" s="408"/>
      <c r="D70" s="408"/>
      <c r="E70" s="408"/>
      <c r="F70" s="408"/>
      <c r="G70" s="406"/>
      <c r="H70" s="406"/>
      <c r="I70" s="406"/>
    </row>
    <row r="71" spans="2:9">
      <c r="B71" s="408"/>
      <c r="C71" s="408"/>
      <c r="D71" s="408"/>
      <c r="E71" s="408"/>
      <c r="F71" s="408"/>
      <c r="G71" s="406"/>
      <c r="H71" s="406"/>
      <c r="I71" s="406"/>
    </row>
    <row r="72" spans="2:9" ht="15.75">
      <c r="B72" s="405" t="s">
        <v>319</v>
      </c>
      <c r="C72" s="408"/>
      <c r="D72" s="408"/>
      <c r="E72" s="408"/>
      <c r="F72" s="408"/>
      <c r="G72" s="406"/>
      <c r="H72" s="406"/>
      <c r="I72" s="406"/>
    </row>
    <row r="73" spans="2:9" ht="15.75">
      <c r="B73" s="405" t="s">
        <v>320</v>
      </c>
      <c r="C73" s="408"/>
      <c r="D73" s="408"/>
      <c r="E73" s="408"/>
      <c r="F73" s="408"/>
      <c r="G73" s="406"/>
      <c r="H73" s="406"/>
      <c r="I73" s="406"/>
    </row>
    <row r="74" spans="2:9">
      <c r="B74" s="408"/>
      <c r="C74" s="408"/>
      <c r="D74" s="408"/>
      <c r="E74" s="408"/>
      <c r="F74" s="408"/>
      <c r="G74" s="406"/>
      <c r="H74" s="406"/>
      <c r="I74" s="406"/>
    </row>
    <row r="75" spans="2:9" ht="15.75">
      <c r="B75" s="407" t="s">
        <v>321</v>
      </c>
      <c r="C75" s="408"/>
      <c r="D75" s="408"/>
      <c r="E75" s="408"/>
      <c r="F75" s="408"/>
      <c r="G75" s="406"/>
      <c r="H75" s="406"/>
      <c r="I75" s="406"/>
    </row>
    <row r="76" spans="2:9">
      <c r="B76" s="408"/>
      <c r="C76" s="408"/>
      <c r="D76" s="408"/>
      <c r="E76" s="408"/>
      <c r="F76" s="408"/>
      <c r="G76" s="406"/>
      <c r="H76" s="406"/>
      <c r="I76" s="406"/>
    </row>
    <row r="77" spans="2:9" ht="15.75">
      <c r="B77" s="405" t="str">
        <f>CONCATENATE("If the ",G14," municipal budget has not been published and has not been submitted to the County")</f>
        <v>If the 2025 municipal budget has not been published and has not been submitted to the County</v>
      </c>
      <c r="C77" s="408"/>
      <c r="D77" s="408"/>
      <c r="E77" s="408"/>
      <c r="F77" s="408"/>
      <c r="G77" s="406"/>
      <c r="H77" s="406"/>
      <c r="I77" s="406"/>
    </row>
    <row r="78" spans="2:9" ht="15.75">
      <c r="B78" s="405" t="s">
        <v>322</v>
      </c>
      <c r="C78" s="408"/>
      <c r="D78" s="408"/>
      <c r="E78" s="408"/>
      <c r="F78" s="408"/>
      <c r="G78" s="406"/>
      <c r="H78" s="406"/>
      <c r="I78" s="406"/>
    </row>
    <row r="79" spans="2:9">
      <c r="B79" s="408"/>
      <c r="C79" s="408"/>
      <c r="D79" s="408"/>
      <c r="E79" s="408"/>
      <c r="F79" s="408"/>
      <c r="G79" s="406"/>
      <c r="H79" s="406"/>
      <c r="I79" s="406"/>
    </row>
    <row r="80" spans="2:9" ht="15.75">
      <c r="B80" s="407" t="s">
        <v>323</v>
      </c>
      <c r="C80" s="408"/>
      <c r="D80" s="408"/>
      <c r="E80" s="408"/>
      <c r="F80" s="408"/>
      <c r="G80" s="406"/>
      <c r="H80" s="406"/>
      <c r="I80" s="406"/>
    </row>
    <row r="81" spans="2:9">
      <c r="B81" s="408"/>
      <c r="C81" s="408"/>
      <c r="D81" s="408"/>
      <c r="E81" s="408"/>
      <c r="F81" s="408"/>
      <c r="G81" s="406"/>
      <c r="H81" s="406"/>
      <c r="I81" s="406"/>
    </row>
    <row r="82" spans="2:9" ht="15.75">
      <c r="B82" s="405" t="s">
        <v>324</v>
      </c>
      <c r="C82" s="408"/>
      <c r="D82" s="408"/>
      <c r="E82" s="408"/>
      <c r="F82" s="408"/>
      <c r="G82" s="406"/>
      <c r="H82" s="406"/>
      <c r="I82" s="406"/>
    </row>
    <row r="83" spans="2:9" ht="15.75">
      <c r="B83" s="405" t="str">
        <f>CONCATENATE("Budget Year ",G14," is equal to or greater than that for Current Year Estimate ",E14,".")</f>
        <v>Budget Year 2025 is equal to or greater than that for Current Year Estimate 2024.</v>
      </c>
      <c r="C83" s="408"/>
      <c r="D83" s="408"/>
      <c r="E83" s="408"/>
      <c r="F83" s="408"/>
      <c r="G83" s="406"/>
      <c r="H83" s="406"/>
      <c r="I83" s="406"/>
    </row>
    <row r="84" spans="2:9">
      <c r="B84" s="408"/>
      <c r="C84" s="408"/>
      <c r="D84" s="408"/>
      <c r="E84" s="408"/>
      <c r="F84" s="408"/>
      <c r="G84" s="406"/>
      <c r="H84" s="406"/>
      <c r="I84" s="406"/>
    </row>
    <row r="85" spans="2:9" ht="15.75">
      <c r="B85" s="405" t="s">
        <v>325</v>
      </c>
      <c r="C85" s="408"/>
      <c r="D85" s="408"/>
      <c r="E85" s="408"/>
      <c r="F85" s="408"/>
      <c r="G85" s="406"/>
      <c r="H85" s="406"/>
      <c r="I85" s="406"/>
    </row>
    <row r="86" spans="2:9" ht="15.75">
      <c r="B86" s="405" t="s">
        <v>326</v>
      </c>
      <c r="C86" s="408"/>
      <c r="D86" s="408"/>
      <c r="E86" s="408"/>
      <c r="F86" s="408"/>
      <c r="G86" s="406"/>
      <c r="H86" s="406"/>
      <c r="I86" s="406"/>
    </row>
    <row r="87" spans="2:9" ht="15.75">
      <c r="B87" s="405" t="s">
        <v>327</v>
      </c>
      <c r="C87" s="408"/>
      <c r="D87" s="408"/>
      <c r="E87" s="408"/>
      <c r="F87" s="408"/>
      <c r="G87" s="406"/>
      <c r="H87" s="406"/>
      <c r="I87" s="406"/>
    </row>
    <row r="88" spans="2:9" ht="15.75">
      <c r="B88" s="405" t="str">
        <f>CONCATENATE("purpose for the previous (",E14,") year.")</f>
        <v>purpose for the previous (2024) year.</v>
      </c>
      <c r="C88" s="408"/>
      <c r="D88" s="408"/>
      <c r="E88" s="408"/>
      <c r="F88" s="408"/>
      <c r="G88" s="406"/>
      <c r="H88" s="406"/>
      <c r="I88" s="406"/>
    </row>
    <row r="89" spans="2:9">
      <c r="B89" s="408"/>
      <c r="C89" s="408"/>
      <c r="D89" s="408"/>
      <c r="E89" s="408"/>
      <c r="F89" s="408"/>
      <c r="G89" s="406"/>
      <c r="H89" s="406"/>
      <c r="I89" s="406"/>
    </row>
    <row r="90" spans="2:9" ht="15.75">
      <c r="B90" s="405" t="str">
        <f>CONCATENATE("Next, look to see if delinquent tax for ",G14," is budgeted. Often this line is budgeted at $0 or left")</f>
        <v>Next, look to see if delinquent tax for 2025 is budgeted. Often this line is budgeted at $0 or left</v>
      </c>
      <c r="C90" s="408"/>
      <c r="D90" s="408"/>
      <c r="E90" s="408"/>
      <c r="F90" s="408"/>
      <c r="G90" s="406"/>
      <c r="H90" s="406"/>
      <c r="I90" s="406"/>
    </row>
    <row r="91" spans="2:9" ht="15.75">
      <c r="B91" s="405" t="s">
        <v>328</v>
      </c>
      <c r="C91" s="408"/>
      <c r="D91" s="408"/>
      <c r="E91" s="408"/>
      <c r="F91" s="408"/>
      <c r="G91" s="406"/>
      <c r="H91" s="406"/>
      <c r="I91" s="406"/>
    </row>
    <row r="92" spans="2:9" ht="15.75">
      <c r="B92" s="405" t="s">
        <v>329</v>
      </c>
      <c r="C92" s="408"/>
      <c r="D92" s="408"/>
      <c r="E92" s="408"/>
      <c r="F92" s="408"/>
      <c r="G92" s="406"/>
      <c r="H92" s="406"/>
      <c r="I92" s="406"/>
    </row>
    <row r="93" spans="2:9" ht="15.75">
      <c r="B93" s="405" t="s">
        <v>330</v>
      </c>
      <c r="C93" s="408"/>
      <c r="D93" s="408"/>
      <c r="E93" s="408"/>
      <c r="F93" s="408"/>
      <c r="G93" s="406"/>
      <c r="H93" s="406"/>
      <c r="I93" s="406"/>
    </row>
    <row r="94" spans="2:9">
      <c r="B94" s="408"/>
      <c r="C94" s="408"/>
      <c r="D94" s="408"/>
      <c r="E94" s="408"/>
      <c r="F94" s="408"/>
      <c r="G94" s="406"/>
      <c r="H94" s="406"/>
      <c r="I94" s="406"/>
    </row>
    <row r="95" spans="2:9" ht="15.75">
      <c r="B95" s="407" t="s">
        <v>331</v>
      </c>
      <c r="C95" s="408"/>
      <c r="D95" s="408"/>
      <c r="E95" s="408"/>
      <c r="F95" s="408"/>
      <c r="G95" s="406"/>
      <c r="H95" s="406"/>
      <c r="I95" s="406"/>
    </row>
    <row r="96" spans="2:9">
      <c r="B96" s="408"/>
      <c r="C96" s="408"/>
      <c r="D96" s="408"/>
      <c r="E96" s="408"/>
      <c r="F96" s="408"/>
      <c r="G96" s="406"/>
      <c r="H96" s="406"/>
      <c r="I96" s="406"/>
    </row>
    <row r="97" spans="2:9" ht="15.75">
      <c r="B97" s="405" t="s">
        <v>332</v>
      </c>
      <c r="C97" s="408"/>
      <c r="D97" s="408"/>
      <c r="E97" s="408"/>
      <c r="F97" s="408"/>
      <c r="G97" s="406"/>
      <c r="H97" s="406"/>
      <c r="I97" s="406"/>
    </row>
    <row r="98" spans="2:9" ht="15.75">
      <c r="B98" s="405" t="s">
        <v>333</v>
      </c>
      <c r="C98" s="408"/>
      <c r="D98" s="408"/>
      <c r="E98" s="408"/>
      <c r="F98" s="408"/>
      <c r="G98" s="406"/>
      <c r="H98" s="406"/>
      <c r="I98" s="406"/>
    </row>
    <row r="99" spans="2:9">
      <c r="B99" s="408"/>
      <c r="C99" s="408"/>
      <c r="D99" s="408"/>
      <c r="E99" s="408"/>
      <c r="F99" s="408"/>
      <c r="G99" s="406"/>
      <c r="H99" s="406"/>
      <c r="I99" s="406"/>
    </row>
    <row r="100" spans="2:9" ht="15.75">
      <c r="B100" s="405" t="s">
        <v>334</v>
      </c>
      <c r="C100" s="408"/>
      <c r="D100" s="408"/>
      <c r="E100" s="408"/>
      <c r="F100" s="408"/>
      <c r="G100" s="406"/>
      <c r="H100" s="406"/>
      <c r="I100" s="406"/>
    </row>
    <row r="101" spans="2:9" ht="15.75">
      <c r="B101" s="405" t="s">
        <v>335</v>
      </c>
      <c r="C101" s="408"/>
      <c r="D101" s="408"/>
      <c r="E101" s="408"/>
      <c r="F101" s="408"/>
      <c r="G101" s="406"/>
      <c r="H101" s="406"/>
      <c r="I101" s="406"/>
    </row>
    <row r="102" spans="2:9" ht="15.75">
      <c r="B102" s="405" t="s">
        <v>336</v>
      </c>
      <c r="C102" s="408"/>
      <c r="D102" s="408"/>
      <c r="E102" s="408"/>
      <c r="F102" s="408"/>
      <c r="G102" s="406"/>
      <c r="H102" s="406"/>
      <c r="I102" s="406"/>
    </row>
    <row r="103" spans="2:9" ht="15.75">
      <c r="B103" s="405" t="s">
        <v>337</v>
      </c>
      <c r="C103" s="408"/>
      <c r="D103" s="408"/>
      <c r="E103" s="408"/>
      <c r="F103" s="408"/>
      <c r="G103" s="406"/>
      <c r="H103" s="406"/>
      <c r="I103" s="406"/>
    </row>
    <row r="104" spans="2:9" ht="15.75">
      <c r="B104" s="482" t="s">
        <v>338</v>
      </c>
      <c r="C104" s="483"/>
      <c r="D104" s="483"/>
      <c r="E104" s="456"/>
      <c r="F104" s="456"/>
      <c r="G104" s="406"/>
      <c r="H104" s="406"/>
      <c r="I104" s="406"/>
    </row>
    <row r="107" spans="2:9">
      <c r="G107" s="425"/>
    </row>
  </sheetData>
  <sheetProtection sheet="1" objects="1" scenarios="1"/>
  <mergeCells count="6">
    <mergeCell ref="B42:I42"/>
    <mergeCell ref="B2:I2"/>
    <mergeCell ref="B3:I3"/>
    <mergeCell ref="B5:I5"/>
    <mergeCell ref="B10:I10"/>
    <mergeCell ref="B35:I35"/>
  </mergeCells>
  <hyperlinks>
    <hyperlink ref="B104"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pageSetUpPr fitToPage="1"/>
  </sheetPr>
  <dimension ref="B1:P82"/>
  <sheetViews>
    <sheetView zoomScaleNormal="100" workbookViewId="0">
      <selection activeCell="E47" sqref="E47"/>
    </sheetView>
  </sheetViews>
  <sheetFormatPr defaultColWidth="8.88671875" defaultRowHeight="15.75"/>
  <cols>
    <col min="1" max="1" width="2.44140625" style="37" customWidth="1"/>
    <col min="2" max="2" width="31.109375" style="37" customWidth="1"/>
    <col min="3" max="4" width="15.77734375" style="37" customWidth="1"/>
    <col min="5" max="5" width="16.21875" style="37" customWidth="1"/>
    <col min="6" max="6" width="7.21875" style="37" customWidth="1"/>
    <col min="7" max="7" width="10.21875" style="37" customWidth="1"/>
    <col min="8" max="8" width="8.88671875" style="37"/>
    <col min="9" max="9" width="5.6640625" style="37" customWidth="1"/>
    <col min="10" max="10" width="10" style="37" customWidth="1"/>
    <col min="11" max="16384" width="8.88671875" style="37"/>
  </cols>
  <sheetData>
    <row r="1" spans="2:5">
      <c r="B1" s="75">
        <f>(inputPrYr!D3)</f>
        <v>0</v>
      </c>
      <c r="C1" s="36"/>
      <c r="D1" s="36"/>
      <c r="E1" s="91">
        <f>inputPrYr!$C$6</f>
        <v>2025</v>
      </c>
    </row>
    <row r="2" spans="2:5">
      <c r="B2" s="36"/>
      <c r="C2" s="36"/>
      <c r="D2" s="36"/>
      <c r="E2" s="555"/>
    </row>
    <row r="3" spans="2:5">
      <c r="B3" s="45"/>
      <c r="C3" s="129"/>
      <c r="D3" s="129"/>
      <c r="E3" s="93"/>
    </row>
    <row r="4" spans="2:5">
      <c r="B4" s="45" t="s">
        <v>339</v>
      </c>
      <c r="C4" s="177"/>
      <c r="D4" s="177"/>
      <c r="E4" s="177"/>
    </row>
    <row r="5" spans="2:5">
      <c r="B5" s="39" t="s">
        <v>161</v>
      </c>
      <c r="C5" s="433" t="s">
        <v>340</v>
      </c>
      <c r="D5" s="434" t="s">
        <v>341</v>
      </c>
      <c r="E5" s="103" t="s">
        <v>342</v>
      </c>
    </row>
    <row r="6" spans="2:5">
      <c r="B6" s="298" t="str">
        <f>+(inputPrYr!B18)</f>
        <v>General</v>
      </c>
      <c r="C6" s="149" t="str">
        <f>CONCATENATE("Actual for ",$E$1-2,"")</f>
        <v>Actual for 2023</v>
      </c>
      <c r="D6" s="560" t="str">
        <f>CONCATENATE("Estimate for ",$E$1-1,"")</f>
        <v>Estimate for 2024</v>
      </c>
      <c r="E6" s="134" t="str">
        <f>CONCATENATE("Year for ",$E$1,"")</f>
        <v>Year for 2025</v>
      </c>
    </row>
    <row r="7" spans="2:5">
      <c r="B7" s="558" t="s">
        <v>343</v>
      </c>
      <c r="C7" s="275"/>
      <c r="D7" s="286">
        <f>C60</f>
        <v>0</v>
      </c>
      <c r="E7" s="178">
        <f>D60</f>
        <v>0</v>
      </c>
    </row>
    <row r="8" spans="2:5">
      <c r="B8" s="179" t="s">
        <v>344</v>
      </c>
      <c r="C8" s="276"/>
      <c r="D8" s="286"/>
      <c r="E8" s="180"/>
    </row>
    <row r="9" spans="2:5">
      <c r="B9" s="558" t="s">
        <v>345</v>
      </c>
      <c r="C9" s="275"/>
      <c r="D9" s="286">
        <f>IF(inputPrYr!H21&gt;0,inputPrYr!G22,inputPrYr!E18)</f>
        <v>0</v>
      </c>
      <c r="E9" s="181" t="s">
        <v>173</v>
      </c>
    </row>
    <row r="10" spans="2:5">
      <c r="B10" s="558" t="s">
        <v>346</v>
      </c>
      <c r="C10" s="275"/>
      <c r="D10" s="277"/>
      <c r="E10" s="182"/>
    </row>
    <row r="11" spans="2:5">
      <c r="B11" s="558" t="s">
        <v>347</v>
      </c>
      <c r="C11" s="275"/>
      <c r="D11" s="277"/>
      <c r="E11" s="183">
        <f>Mvalloc!D9</f>
        <v>0</v>
      </c>
    </row>
    <row r="12" spans="2:5">
      <c r="B12" s="558" t="s">
        <v>348</v>
      </c>
      <c r="C12" s="275"/>
      <c r="D12" s="277"/>
      <c r="E12" s="183">
        <f>Mvalloc!E9</f>
        <v>0</v>
      </c>
    </row>
    <row r="13" spans="2:5">
      <c r="B13" s="184" t="s">
        <v>349</v>
      </c>
      <c r="C13" s="275"/>
      <c r="D13" s="277"/>
      <c r="E13" s="183">
        <f>Mvalloc!F9</f>
        <v>0</v>
      </c>
    </row>
    <row r="14" spans="2:5">
      <c r="B14" s="184" t="s">
        <v>350</v>
      </c>
      <c r="C14" s="275"/>
      <c r="D14" s="277"/>
      <c r="E14" s="183">
        <f>Mvalloc!G9</f>
        <v>0</v>
      </c>
    </row>
    <row r="15" spans="2:5">
      <c r="B15" s="184" t="s">
        <v>351</v>
      </c>
      <c r="C15" s="275"/>
      <c r="D15" s="277"/>
      <c r="E15" s="183">
        <f>Mvalloc!H9</f>
        <v>0</v>
      </c>
    </row>
    <row r="16" spans="2:5">
      <c r="B16" s="184" t="s">
        <v>352</v>
      </c>
      <c r="C16" s="275"/>
      <c r="D16" s="277"/>
      <c r="E16" s="183">
        <f>inputOth!E17</f>
        <v>0</v>
      </c>
    </row>
    <row r="17" spans="2:5">
      <c r="B17" s="277"/>
      <c r="C17" s="275"/>
      <c r="D17" s="277"/>
      <c r="E17" s="182"/>
    </row>
    <row r="18" spans="2:5">
      <c r="B18" s="185" t="s">
        <v>353</v>
      </c>
      <c r="C18" s="275"/>
      <c r="D18" s="277"/>
      <c r="E18" s="182"/>
    </row>
    <row r="19" spans="2:5">
      <c r="B19" s="287" t="s">
        <v>354</v>
      </c>
      <c r="C19" s="275"/>
      <c r="D19" s="277"/>
      <c r="E19" s="182"/>
    </row>
    <row r="20" spans="2:5">
      <c r="B20" s="185" t="s">
        <v>355</v>
      </c>
      <c r="C20" s="275"/>
      <c r="D20" s="277"/>
      <c r="E20" s="186"/>
    </row>
    <row r="21" spans="2:5">
      <c r="B21" s="185" t="s">
        <v>356</v>
      </c>
      <c r="C21" s="275"/>
      <c r="D21" s="277"/>
      <c r="E21" s="182"/>
    </row>
    <row r="22" spans="2:5">
      <c r="B22" s="185" t="s">
        <v>357</v>
      </c>
      <c r="C22" s="275"/>
      <c r="D22" s="277"/>
      <c r="E22" s="182"/>
    </row>
    <row r="23" spans="2:5">
      <c r="B23" s="185" t="s">
        <v>358</v>
      </c>
      <c r="C23" s="275"/>
      <c r="D23" s="277"/>
      <c r="E23" s="182"/>
    </row>
    <row r="24" spans="2:5">
      <c r="B24" s="23" t="s">
        <v>359</v>
      </c>
      <c r="C24" s="275"/>
      <c r="D24" s="277"/>
      <c r="E24" s="182"/>
    </row>
    <row r="25" spans="2:5">
      <c r="B25" s="185"/>
      <c r="C25" s="273"/>
      <c r="D25" s="277"/>
      <c r="E25" s="182"/>
    </row>
    <row r="26" spans="2:5">
      <c r="B26" s="185"/>
      <c r="C26" s="273"/>
      <c r="D26" s="277"/>
      <c r="E26" s="182"/>
    </row>
    <row r="27" spans="2:5">
      <c r="B27" s="185"/>
      <c r="C27" s="275"/>
      <c r="D27" s="277"/>
      <c r="E27" s="182"/>
    </row>
    <row r="28" spans="2:5">
      <c r="B28" s="185" t="s">
        <v>360</v>
      </c>
      <c r="C28" s="275"/>
      <c r="D28" s="277"/>
      <c r="E28" s="182"/>
    </row>
    <row r="29" spans="2:5">
      <c r="B29" s="187" t="s">
        <v>361</v>
      </c>
      <c r="C29" s="275"/>
      <c r="D29" s="277"/>
      <c r="E29" s="182"/>
    </row>
    <row r="30" spans="2:5">
      <c r="B30" s="115" t="s">
        <v>362</v>
      </c>
      <c r="C30" s="275"/>
      <c r="D30" s="277"/>
      <c r="E30" s="183">
        <f>'NR Rebate'!E7*-1</f>
        <v>0</v>
      </c>
    </row>
    <row r="31" spans="2:5">
      <c r="B31" s="115" t="s">
        <v>363</v>
      </c>
      <c r="C31" s="273"/>
      <c r="D31" s="277"/>
      <c r="E31" s="188"/>
    </row>
    <row r="32" spans="2:5">
      <c r="B32" s="115" t="s">
        <v>364</v>
      </c>
      <c r="C32" s="269" t="str">
        <f>IF(C33*0.1&lt;C31,"Exceed 10% Rule","")</f>
        <v/>
      </c>
      <c r="D32" s="278" t="str">
        <f>IF(D33*0.1&lt;D31,"Exceed 10% Rule","")</f>
        <v/>
      </c>
      <c r="E32" s="189" t="str">
        <f>IF(E33*0.1+E66&lt;E31,"Exceed 10% Rule","")</f>
        <v/>
      </c>
    </row>
    <row r="33" spans="2:10">
      <c r="B33" s="190" t="s">
        <v>365</v>
      </c>
      <c r="C33" s="272">
        <f>SUM(C9:C31)</f>
        <v>0</v>
      </c>
      <c r="D33" s="279">
        <f>SUM(D9:D31)</f>
        <v>0</v>
      </c>
      <c r="E33" s="191">
        <f>SUM(E9:E31)</f>
        <v>0</v>
      </c>
    </row>
    <row r="34" spans="2:10">
      <c r="B34" s="190" t="s">
        <v>366</v>
      </c>
      <c r="C34" s="272">
        <f>C7+C33</f>
        <v>0</v>
      </c>
      <c r="D34" s="279">
        <f>D7+D33</f>
        <v>0</v>
      </c>
      <c r="E34" s="192">
        <f>E7+E33</f>
        <v>0</v>
      </c>
    </row>
    <row r="35" spans="2:10">
      <c r="B35" s="179" t="s">
        <v>367</v>
      </c>
      <c r="C35" s="274"/>
      <c r="D35" s="280"/>
      <c r="E35" s="183"/>
    </row>
    <row r="36" spans="2:10">
      <c r="B36" s="193"/>
      <c r="C36" s="273"/>
      <c r="D36" s="277"/>
      <c r="E36" s="284"/>
    </row>
    <row r="37" spans="2:10">
      <c r="B37" s="193" t="s">
        <v>368</v>
      </c>
      <c r="C37" s="273"/>
      <c r="D37" s="369"/>
      <c r="E37" s="373"/>
    </row>
    <row r="38" spans="2:10">
      <c r="B38" s="193" t="s">
        <v>369</v>
      </c>
      <c r="C38" s="273"/>
      <c r="D38" s="369"/>
      <c r="E38" s="373"/>
    </row>
    <row r="39" spans="2:10">
      <c r="B39" s="370"/>
      <c r="C39" s="273"/>
      <c r="D39" s="369"/>
      <c r="E39" s="373"/>
      <c r="G39" s="677" t="str">
        <f>CONCATENATE("Desired Carryover Into ",E1+1,"")</f>
        <v>Desired Carryover Into 2026</v>
      </c>
      <c r="H39" s="678"/>
      <c r="I39" s="678"/>
      <c r="J39" s="679"/>
    </row>
    <row r="40" spans="2:10">
      <c r="B40" s="370"/>
      <c r="C40" s="273"/>
      <c r="D40" s="369"/>
      <c r="E40" s="373"/>
      <c r="G40" s="352"/>
      <c r="H40" s="304"/>
      <c r="I40" s="318"/>
      <c r="J40" s="353"/>
    </row>
    <row r="41" spans="2:10">
      <c r="B41" s="370"/>
      <c r="C41" s="273"/>
      <c r="D41" s="369"/>
      <c r="E41" s="373"/>
      <c r="G41" s="324" t="s">
        <v>370</v>
      </c>
      <c r="H41" s="318"/>
      <c r="I41" s="318"/>
      <c r="J41" s="312">
        <v>0</v>
      </c>
    </row>
    <row r="42" spans="2:10">
      <c r="B42" s="370"/>
      <c r="C42" s="273"/>
      <c r="D42" s="369"/>
      <c r="E42" s="373"/>
      <c r="G42" s="352" t="s">
        <v>371</v>
      </c>
      <c r="H42" s="304"/>
      <c r="I42" s="304"/>
      <c r="J42" s="386" t="str">
        <f>IF(J41=0,"",ROUND((J41+E66-G54)/inputOth!E7*1000,3)-G59)</f>
        <v/>
      </c>
    </row>
    <row r="43" spans="2:10">
      <c r="B43" s="370"/>
      <c r="C43" s="273"/>
      <c r="D43" s="369"/>
      <c r="E43" s="373"/>
      <c r="G43" s="387" t="str">
        <f>CONCATENATE("",E1," Tot Exp/Non-Appr Must Be:")</f>
        <v>2025 Tot Exp/Non-Appr Must Be:</v>
      </c>
      <c r="H43" s="384"/>
      <c r="I43" s="385"/>
      <c r="J43" s="381">
        <f>IF(J41&gt;0,IF(E63&lt;E34,IF(J41=G54,E63,((J41-G54)*(1-D65))+E34),E63+(J41-G54)),0)</f>
        <v>0</v>
      </c>
    </row>
    <row r="44" spans="2:10">
      <c r="B44" s="370"/>
      <c r="C44" s="273"/>
      <c r="D44" s="369"/>
      <c r="E44" s="373"/>
      <c r="G44" s="416" t="s">
        <v>372</v>
      </c>
      <c r="H44" s="421"/>
      <c r="I44" s="421"/>
      <c r="J44" s="388">
        <f>IF(J41&gt;0,J43-E63,0)</f>
        <v>0</v>
      </c>
    </row>
    <row r="45" spans="2:10">
      <c r="B45" s="370"/>
      <c r="C45" s="273"/>
      <c r="D45" s="369"/>
      <c r="E45" s="373"/>
    </row>
    <row r="46" spans="2:10">
      <c r="B46" s="370"/>
      <c r="C46" s="273"/>
      <c r="D46" s="369"/>
      <c r="E46" s="373"/>
      <c r="G46" s="677" t="str">
        <f>CONCATENATE("Projected Carryover Into ",E1+1,"")</f>
        <v>Projected Carryover Into 2026</v>
      </c>
      <c r="H46" s="678"/>
      <c r="I46" s="678"/>
      <c r="J46" s="679"/>
    </row>
    <row r="47" spans="2:10">
      <c r="B47" s="370"/>
      <c r="C47" s="273"/>
      <c r="D47" s="369"/>
      <c r="E47" s="373"/>
      <c r="G47" s="313"/>
      <c r="H47" s="304"/>
      <c r="I47" s="304"/>
      <c r="J47" s="314"/>
    </row>
    <row r="48" spans="2:10">
      <c r="B48" s="372"/>
      <c r="C48" s="273"/>
      <c r="D48" s="277"/>
      <c r="E48" s="182"/>
      <c r="G48" s="315">
        <f>D60</f>
        <v>0</v>
      </c>
      <c r="H48" s="316" t="str">
        <f>CONCATENATE("",E1-1," Ending Cash Balance (est.)")</f>
        <v>2024 Ending Cash Balance (est.)</v>
      </c>
      <c r="I48" s="317"/>
      <c r="J48" s="314"/>
    </row>
    <row r="49" spans="2:11">
      <c r="B49" s="372"/>
      <c r="C49" s="273"/>
      <c r="D49" s="277"/>
      <c r="E49" s="182"/>
      <c r="G49" s="315">
        <f>E33</f>
        <v>0</v>
      </c>
      <c r="H49" s="318" t="str">
        <f>CONCATENATE("",E1," Non-AV Receipts (est.)")</f>
        <v>2025 Non-AV Receipts (est.)</v>
      </c>
      <c r="I49" s="317"/>
      <c r="J49" s="314"/>
    </row>
    <row r="50" spans="2:11">
      <c r="B50" s="372"/>
      <c r="C50" s="273"/>
      <c r="D50" s="277"/>
      <c r="E50" s="182"/>
      <c r="G50" s="319">
        <f>IF(E65&gt;0,E64,E66)</f>
        <v>0</v>
      </c>
      <c r="H50" s="318" t="str">
        <f>CONCATENATE("",E1," Ad Valorem Tax (est.)")</f>
        <v>2025 Ad Valorem Tax (est.)</v>
      </c>
      <c r="I50" s="317"/>
      <c r="J50" s="314"/>
      <c r="K50" s="423" t="str">
        <f>IF(G50=E66,"","Note: Does not include Delinquent Taxes")</f>
        <v/>
      </c>
    </row>
    <row r="51" spans="2:11">
      <c r="B51" s="372"/>
      <c r="C51" s="273"/>
      <c r="D51" s="277"/>
      <c r="E51" s="182"/>
      <c r="G51" s="315">
        <f>SUM(G48:G50)</f>
        <v>0</v>
      </c>
      <c r="H51" s="318" t="str">
        <f>CONCATENATE("Total ",E1," Resources Available")</f>
        <v>Total 2025 Resources Available</v>
      </c>
      <c r="I51" s="317"/>
      <c r="J51" s="314"/>
    </row>
    <row r="52" spans="2:11">
      <c r="B52" s="193"/>
      <c r="C52" s="273"/>
      <c r="D52" s="277"/>
      <c r="E52" s="182"/>
      <c r="G52" s="320"/>
      <c r="H52" s="318"/>
      <c r="I52" s="318"/>
      <c r="J52" s="314"/>
    </row>
    <row r="53" spans="2:11">
      <c r="B53" s="193"/>
      <c r="C53" s="273"/>
      <c r="D53" s="277"/>
      <c r="E53" s="182"/>
      <c r="G53" s="319">
        <f>ROUND(C59*0.05+C59,0)</f>
        <v>0</v>
      </c>
      <c r="H53" s="318" t="str">
        <f>CONCATENATE("Less ",E1-2," Expenditures + 5%")</f>
        <v>Less 2023 Expenditures + 5%</v>
      </c>
      <c r="I53" s="317"/>
      <c r="J53" s="314"/>
    </row>
    <row r="54" spans="2:11">
      <c r="B54" s="193"/>
      <c r="C54" s="273"/>
      <c r="D54" s="277"/>
      <c r="E54" s="182"/>
      <c r="G54" s="325">
        <f>G51-G53</f>
        <v>0</v>
      </c>
      <c r="H54" s="321" t="str">
        <f>CONCATENATE("Projected ",E1+1," Carryover (est.)")</f>
        <v>Projected 2026 Carryover (est.)</v>
      </c>
      <c r="I54" s="322"/>
      <c r="J54" s="323"/>
    </row>
    <row r="55" spans="2:11">
      <c r="B55" s="193"/>
      <c r="C55" s="273"/>
      <c r="D55" s="277"/>
      <c r="E55" s="182"/>
    </row>
    <row r="56" spans="2:11">
      <c r="B56" s="477" t="str">
        <f>CONCATENATE("Cash Reserve (",E1," column)")</f>
        <v>Cash Reserve (2025 column)</v>
      </c>
      <c r="C56" s="273"/>
      <c r="D56" s="277"/>
      <c r="E56" s="182"/>
      <c r="G56" s="697" t="s">
        <v>373</v>
      </c>
      <c r="H56" s="698"/>
      <c r="I56" s="698"/>
      <c r="J56" s="699"/>
    </row>
    <row r="57" spans="2:11">
      <c r="B57" s="115" t="s">
        <v>363</v>
      </c>
      <c r="C57" s="273"/>
      <c r="D57" s="277"/>
      <c r="E57" s="182"/>
      <c r="G57" s="700"/>
      <c r="H57" s="701"/>
      <c r="I57" s="701"/>
      <c r="J57" s="702"/>
    </row>
    <row r="58" spans="2:11">
      <c r="B58" s="115" t="s">
        <v>374</v>
      </c>
      <c r="C58" s="269" t="str">
        <f>IF(C59*0.1&lt;C57,"Exceed 10% Rule","")</f>
        <v/>
      </c>
      <c r="D58" s="278" t="str">
        <f>IF(D59*0.1&lt;D57,"Exceed 10% Rule","")</f>
        <v/>
      </c>
      <c r="E58" s="189" t="str">
        <f>IF(E59*0.1&lt;E57,"Exceed 10% Rule","")</f>
        <v/>
      </c>
      <c r="G58" s="429" t="str">
        <f>'Budget Hearing Notice'!H16</f>
        <v xml:space="preserve">  </v>
      </c>
      <c r="H58" s="316" t="str">
        <f>CONCATENATE("",E1," Estimated Fund Mill Rate")</f>
        <v>2025 Estimated Fund Mill Rate</v>
      </c>
      <c r="I58" s="382"/>
      <c r="J58" s="383"/>
    </row>
    <row r="59" spans="2:11">
      <c r="B59" s="190" t="s">
        <v>375</v>
      </c>
      <c r="C59" s="272">
        <f>SUM(C36:C57)</f>
        <v>0</v>
      </c>
      <c r="D59" s="279">
        <f>SUM(D36:D57)</f>
        <v>0</v>
      </c>
      <c r="E59" s="191">
        <f>SUM(E36:E57)</f>
        <v>0</v>
      </c>
      <c r="G59" s="485" t="str">
        <f>'Budget Hearing Notice'!E16</f>
        <v xml:space="preserve">  </v>
      </c>
      <c r="H59" s="316" t="str">
        <f>CONCATENATE("",E1-1," Fund Mill Rate")</f>
        <v>2024 Fund Mill Rate</v>
      </c>
      <c r="I59" s="382"/>
      <c r="J59" s="383"/>
    </row>
    <row r="60" spans="2:11">
      <c r="B60" s="558" t="s">
        <v>376</v>
      </c>
      <c r="C60" s="268">
        <f>C34-C59</f>
        <v>0</v>
      </c>
      <c r="D60" s="140">
        <f>D34-D59</f>
        <v>0</v>
      </c>
      <c r="E60" s="181" t="s">
        <v>173</v>
      </c>
      <c r="G60" s="486">
        <f>inputOth!C20</f>
        <v>0</v>
      </c>
      <c r="H60" s="484" t="s">
        <v>377</v>
      </c>
      <c r="I60" s="382"/>
      <c r="J60" s="383"/>
    </row>
    <row r="61" spans="2:11">
      <c r="B61" s="120" t="str">
        <f>CONCATENATE("",E1-2,"/",E1-1,"/",E1," Budget Authority Amount:")</f>
        <v>2023/2024/2025 Budget Authority Amount:</v>
      </c>
      <c r="C61" s="280">
        <f>inputOth!B59</f>
        <v>0</v>
      </c>
      <c r="D61" s="280">
        <f>inputPrYr!D18</f>
        <v>0</v>
      </c>
      <c r="E61" s="83">
        <f>E59</f>
        <v>0</v>
      </c>
      <c r="G61" s="429">
        <f>'Budget Hearing Notice'!H31</f>
        <v>0</v>
      </c>
      <c r="H61" s="316" t="str">
        <f>CONCATENATE(E1," Estimated Total Mill Rate")</f>
        <v>2025 Estimated Total Mill Rate</v>
      </c>
      <c r="I61" s="382"/>
      <c r="J61" s="383"/>
    </row>
    <row r="62" spans="2:11">
      <c r="B62" s="564"/>
      <c r="C62" s="684" t="s">
        <v>378</v>
      </c>
      <c r="D62" s="685"/>
      <c r="E62" s="47"/>
      <c r="G62" s="428">
        <f>'Budget Hearing Notice'!E31</f>
        <v>0</v>
      </c>
      <c r="H62" s="316" t="str">
        <f>CONCATENATE(E1-1," Total Mill Rate")</f>
        <v>2024 Total Mill Rate</v>
      </c>
      <c r="I62" s="382"/>
      <c r="J62" s="383"/>
    </row>
    <row r="63" spans="2:11">
      <c r="B63" s="281" t="str">
        <f>CONCATENATE(C78,"     ",D78)</f>
        <v xml:space="preserve">     </v>
      </c>
      <c r="C63" s="686" t="s">
        <v>379</v>
      </c>
      <c r="D63" s="687"/>
      <c r="E63" s="113">
        <f>E59+E62</f>
        <v>0</v>
      </c>
      <c r="G63" s="313"/>
      <c r="H63" s="304"/>
      <c r="I63" s="304"/>
      <c r="J63" s="314"/>
    </row>
    <row r="64" spans="2:11">
      <c r="B64" s="281" t="str">
        <f>CONCATENATE(C79,"     ",D79)</f>
        <v xml:space="preserve">     </v>
      </c>
      <c r="C64" s="195"/>
      <c r="D64" s="555" t="s">
        <v>380</v>
      </c>
      <c r="E64" s="377">
        <f>IF(E63-E34&gt;0,E63-E34,0)</f>
        <v>0</v>
      </c>
      <c r="F64" s="194"/>
      <c r="G64" s="705" t="s">
        <v>381</v>
      </c>
      <c r="H64" s="706"/>
      <c r="I64" s="706"/>
      <c r="J64" s="703" t="str">
        <f>IF(G61&gt;G60, "Yes", "No")</f>
        <v>No</v>
      </c>
    </row>
    <row r="65" spans="2:16">
      <c r="B65" s="196"/>
      <c r="C65" s="563" t="s">
        <v>382</v>
      </c>
      <c r="D65" s="426">
        <f>inputOth!E45</f>
        <v>0</v>
      </c>
      <c r="E65" s="113">
        <f>ROUND(IF(inputOth!E45&gt;0,(E64*inputOth!E45),0),0)</f>
        <v>0</v>
      </c>
      <c r="F65" s="309" t="str">
        <f>IF(E59/0.95-E59&lt;E62,"Exceeds 5%","")</f>
        <v/>
      </c>
      <c r="G65" s="707"/>
      <c r="H65" s="708"/>
      <c r="I65" s="708"/>
      <c r="J65" s="704"/>
    </row>
    <row r="66" spans="2:16" ht="16.5" thickBot="1">
      <c r="B66" s="36"/>
      <c r="C66" s="680" t="str">
        <f>CONCATENATE("Amount of  ",E1-1," Ad Valorem Tax")</f>
        <v>Amount of  2024 Ad Valorem Tax</v>
      </c>
      <c r="D66" s="681"/>
      <c r="E66" s="427">
        <f>E64+E65</f>
        <v>0</v>
      </c>
      <c r="G66" s="675" t="str">
        <f>IF(J64="Yes", "Follow procedure prescribed by KSA 79-2988 to exceed the Revenue Neutral Rate.", " ")</f>
        <v xml:space="preserve"> </v>
      </c>
      <c r="H66" s="675"/>
      <c r="I66" s="675"/>
      <c r="J66" s="675"/>
    </row>
    <row r="67" spans="2:16" ht="15.75" customHeight="1" thickTop="1">
      <c r="B67" s="555"/>
      <c r="C67" s="680"/>
      <c r="D67" s="681"/>
      <c r="E67" s="36"/>
      <c r="G67" s="676"/>
      <c r="H67" s="676"/>
      <c r="I67" s="676"/>
      <c r="J67" s="676"/>
    </row>
    <row r="68" spans="2:16">
      <c r="B68" s="688" t="s">
        <v>383</v>
      </c>
      <c r="C68" s="689"/>
      <c r="D68" s="689"/>
      <c r="E68" s="690"/>
      <c r="G68" s="676"/>
      <c r="H68" s="676"/>
      <c r="I68" s="676"/>
      <c r="J68" s="676"/>
    </row>
    <row r="69" spans="2:16" ht="16.5" customHeight="1">
      <c r="B69" s="691"/>
      <c r="C69" s="692"/>
      <c r="D69" s="692"/>
      <c r="E69" s="693"/>
    </row>
    <row r="70" spans="2:16" ht="15.75" customHeight="1">
      <c r="B70" s="694"/>
      <c r="C70" s="695"/>
      <c r="D70" s="695"/>
      <c r="E70" s="696"/>
    </row>
    <row r="71" spans="2:16">
      <c r="B71" s="564"/>
      <c r="C71" s="555"/>
      <c r="D71" s="304"/>
      <c r="E71" s="36"/>
    </row>
    <row r="72" spans="2:16">
      <c r="B72" s="564" t="s">
        <v>384</v>
      </c>
      <c r="C72" s="39">
        <f>IF(inputPrYr!D20&gt;0,7,6)</f>
        <v>6</v>
      </c>
      <c r="D72" s="555"/>
      <c r="E72" s="555"/>
      <c r="G72" s="488"/>
      <c r="H72" s="488"/>
      <c r="I72" s="488"/>
      <c r="J72" s="488"/>
    </row>
    <row r="73" spans="2:16">
      <c r="C73" s="130"/>
      <c r="D73" s="130"/>
      <c r="E73" s="310"/>
      <c r="G73" s="488"/>
      <c r="H73" s="488"/>
      <c r="I73" s="488"/>
      <c r="J73" s="488"/>
    </row>
    <row r="74" spans="2:16">
      <c r="C74" s="92"/>
      <c r="D74" s="391"/>
      <c r="E74" s="553"/>
      <c r="G74" s="488"/>
      <c r="H74" s="488"/>
      <c r="I74" s="488"/>
      <c r="J74" s="488"/>
      <c r="M74" s="682"/>
      <c r="N74" s="682"/>
      <c r="O74" s="682"/>
      <c r="P74" s="683"/>
    </row>
    <row r="75" spans="2:16">
      <c r="C75" s="311"/>
      <c r="M75" s="31"/>
      <c r="N75" s="31"/>
      <c r="O75" s="31"/>
      <c r="P75" s="31"/>
    </row>
    <row r="76" spans="2:16">
      <c r="C76" s="271"/>
      <c r="D76" s="390"/>
      <c r="E76" s="334"/>
      <c r="F76" s="562"/>
      <c r="L76" s="310"/>
      <c r="M76" s="332"/>
      <c r="N76" s="333"/>
      <c r="O76" s="333"/>
      <c r="P76" s="334"/>
    </row>
    <row r="77" spans="2:16">
      <c r="C77" s="271"/>
      <c r="M77" s="92"/>
      <c r="O77" s="92"/>
      <c r="P77" s="334"/>
    </row>
    <row r="78" spans="2:16">
      <c r="C78" s="302" t="str">
        <f>IF(C59&gt;C61,"See Tab A","")</f>
        <v/>
      </c>
      <c r="D78" s="301" t="str">
        <f>IF(D59&gt;D61,"See Tab C","")</f>
        <v/>
      </c>
      <c r="M78" s="92"/>
      <c r="O78" s="92"/>
      <c r="P78" s="335"/>
    </row>
    <row r="79" spans="2:16" ht="14.25" customHeight="1">
      <c r="C79" s="301" t="str">
        <f>IF(C60&lt;0,"See Tab B","")</f>
        <v/>
      </c>
      <c r="D79" s="301" t="str">
        <f>IF(D60&lt;0,"See Tab D","")</f>
        <v/>
      </c>
    </row>
    <row r="81" ht="15.75" hidden="1" customHeight="1"/>
    <row r="82" ht="15.75" hidden="1" customHeight="1"/>
  </sheetData>
  <sheetProtection sheet="1" objects="1" scenarios="1"/>
  <mergeCells count="12">
    <mergeCell ref="G66:J68"/>
    <mergeCell ref="G46:J46"/>
    <mergeCell ref="G39:J39"/>
    <mergeCell ref="C67:D67"/>
    <mergeCell ref="M74:P74"/>
    <mergeCell ref="C66:D66"/>
    <mergeCell ref="C62:D62"/>
    <mergeCell ref="C63:D63"/>
    <mergeCell ref="B68:E70"/>
    <mergeCell ref="G56:J57"/>
    <mergeCell ref="J64:J65"/>
    <mergeCell ref="G64:I65"/>
  </mergeCells>
  <phoneticPr fontId="0" type="noConversion"/>
  <conditionalFormatting sqref="C31">
    <cfRule type="cellIs" dxfId="142" priority="13" stopIfTrue="1" operator="greaterThan">
      <formula>$C$33*0.1</formula>
    </cfRule>
  </conditionalFormatting>
  <conditionalFormatting sqref="C57">
    <cfRule type="cellIs" dxfId="141" priority="11" stopIfTrue="1" operator="greaterThan">
      <formula>$C$59*0.1</formula>
    </cfRule>
  </conditionalFormatting>
  <conditionalFormatting sqref="C59">
    <cfRule type="cellIs" dxfId="140" priority="4" stopIfTrue="1" operator="greaterThan">
      <formula>$C$61</formula>
    </cfRule>
  </conditionalFormatting>
  <conditionalFormatting sqref="C60">
    <cfRule type="cellIs" dxfId="139" priority="8" stopIfTrue="1" operator="lessThan">
      <formula>0</formula>
    </cfRule>
  </conditionalFormatting>
  <conditionalFormatting sqref="D31">
    <cfRule type="cellIs" dxfId="138" priority="14" stopIfTrue="1" operator="greaterThan">
      <formula>$D$33*0.1</formula>
    </cfRule>
  </conditionalFormatting>
  <conditionalFormatting sqref="D57">
    <cfRule type="cellIs" dxfId="137" priority="12" stopIfTrue="1" operator="greaterThan">
      <formula>$D$59*0.1</formula>
    </cfRule>
  </conditionalFormatting>
  <conditionalFormatting sqref="D59">
    <cfRule type="cellIs" dxfId="136" priority="9" stopIfTrue="1" operator="greaterThan">
      <formula>$D$61</formula>
    </cfRule>
  </conditionalFormatting>
  <conditionalFormatting sqref="D60">
    <cfRule type="cellIs" dxfId="135" priority="5" stopIfTrue="1" operator="lessThan">
      <formula>0</formula>
    </cfRule>
  </conditionalFormatting>
  <conditionalFormatting sqref="E31">
    <cfRule type="cellIs" dxfId="134" priority="15" stopIfTrue="1" operator="greaterThan">
      <formula>$E$33*0.1+E66</formula>
    </cfRule>
  </conditionalFormatting>
  <conditionalFormatting sqref="E57">
    <cfRule type="cellIs" dxfId="133" priority="6" stopIfTrue="1" operator="greaterThan">
      <formula>$E$59*0.1</formula>
    </cfRule>
  </conditionalFormatting>
  <conditionalFormatting sqref="E62">
    <cfRule type="cellIs" dxfId="132" priority="7" stopIfTrue="1" operator="greaterThan">
      <formula>$E$59/0.95-$E$59</formula>
    </cfRule>
  </conditionalFormatting>
  <conditionalFormatting sqref="J64">
    <cfRule type="containsText" dxfId="131" priority="1" operator="containsText" text="Yes">
      <formula>NOT(ISERROR(SEARCH("Yes",J64)))</formula>
    </cfRule>
  </conditionalFormatting>
  <pageMargins left="0.5" right="0.5" top="1" bottom="0.5" header="0.5" footer="0.5"/>
  <pageSetup scale="59" orientation="portrait" blackAndWhite="1" r:id="rId1"/>
  <headerFooter alignWithMargins="0">
    <oddHeader xml:space="preserve">&amp;RState of Kansas
City
</oddHeader>
  </headerFooter>
  <rowBreaks count="1" manualBreakCount="1">
    <brk id="7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pageSetUpPr fitToPage="1"/>
  </sheetPr>
  <dimension ref="A1:D67"/>
  <sheetViews>
    <sheetView workbookViewId="0">
      <selection sqref="A1:D68"/>
    </sheetView>
  </sheetViews>
  <sheetFormatPr defaultColWidth="8.88671875" defaultRowHeight="15.75"/>
  <cols>
    <col min="1" max="1" width="28.33203125" style="31" customWidth="1"/>
    <col min="2" max="3" width="15.77734375" style="31" customWidth="1"/>
    <col min="4" max="4" width="16.44140625" style="31" customWidth="1"/>
    <col min="5" max="16384" width="8.88671875" style="31"/>
  </cols>
  <sheetData>
    <row r="1" spans="1:4">
      <c r="A1" s="75">
        <f>inputPrYr!D3</f>
        <v>0</v>
      </c>
      <c r="B1" s="36"/>
      <c r="C1" s="120"/>
      <c r="D1" s="36">
        <f>inputPrYr!C6</f>
        <v>2025</v>
      </c>
    </row>
    <row r="2" spans="1:4">
      <c r="A2" s="36"/>
      <c r="B2" s="36"/>
      <c r="C2" s="36"/>
      <c r="D2" s="120"/>
    </row>
    <row r="3" spans="1:4">
      <c r="A3" s="45" t="s">
        <v>385</v>
      </c>
      <c r="B3" s="239"/>
      <c r="C3" s="239"/>
      <c r="D3" s="239"/>
    </row>
    <row r="4" spans="1:4">
      <c r="A4" s="120" t="s">
        <v>161</v>
      </c>
      <c r="B4" s="433" t="s">
        <v>340</v>
      </c>
      <c r="C4" s="434" t="s">
        <v>341</v>
      </c>
      <c r="D4" s="103" t="s">
        <v>342</v>
      </c>
    </row>
    <row r="5" spans="1:4">
      <c r="A5" s="52" t="s">
        <v>386</v>
      </c>
      <c r="B5" s="149" t="str">
        <f>CONCATENATE("Actual for ",$D$1-2,"")</f>
        <v>Actual for 2023</v>
      </c>
      <c r="C5" s="560" t="str">
        <f>CONCATENATE("Estimate for ",$D$1-1,"")</f>
        <v>Estimate for 2024</v>
      </c>
      <c r="D5" s="134" t="str">
        <f>CONCATENATE("Year for ",$D$1,"")</f>
        <v>Year for 2025</v>
      </c>
    </row>
    <row r="6" spans="1:4">
      <c r="A6" s="148" t="s">
        <v>367</v>
      </c>
      <c r="B6" s="62"/>
      <c r="C6" s="62"/>
      <c r="D6" s="62"/>
    </row>
    <row r="7" spans="1:4">
      <c r="A7" s="240" t="s">
        <v>387</v>
      </c>
      <c r="B7" s="62"/>
      <c r="C7" s="62"/>
      <c r="D7" s="62"/>
    </row>
    <row r="8" spans="1:4">
      <c r="A8" s="241" t="s">
        <v>388</v>
      </c>
      <c r="B8" s="227"/>
      <c r="C8" s="227"/>
      <c r="D8" s="227"/>
    </row>
    <row r="9" spans="1:4">
      <c r="A9" s="241" t="s">
        <v>389</v>
      </c>
      <c r="B9" s="227"/>
      <c r="C9" s="227"/>
      <c r="D9" s="227"/>
    </row>
    <row r="10" spans="1:4">
      <c r="A10" s="241" t="s">
        <v>390</v>
      </c>
      <c r="B10" s="227"/>
      <c r="C10" s="227"/>
      <c r="D10" s="227"/>
    </row>
    <row r="11" spans="1:4">
      <c r="A11" s="241" t="s">
        <v>391</v>
      </c>
      <c r="B11" s="227"/>
      <c r="C11" s="227"/>
      <c r="D11" s="227"/>
    </row>
    <row r="12" spans="1:4">
      <c r="A12" s="241"/>
      <c r="B12" s="227"/>
      <c r="C12" s="227"/>
      <c r="D12" s="227"/>
    </row>
    <row r="13" spans="1:4">
      <c r="A13" s="50"/>
      <c r="B13" s="227"/>
      <c r="C13" s="227"/>
      <c r="D13" s="227"/>
    </row>
    <row r="14" spans="1:4">
      <c r="A14" s="50"/>
      <c r="B14" s="227"/>
      <c r="C14" s="227"/>
      <c r="D14" s="227"/>
    </row>
    <row r="15" spans="1:4">
      <c r="A15" s="148" t="s">
        <v>103</v>
      </c>
      <c r="B15" s="231">
        <f>SUM(B8:B14)</f>
        <v>0</v>
      </c>
      <c r="C15" s="231">
        <f>SUM(C8:C14)</f>
        <v>0</v>
      </c>
      <c r="D15" s="231">
        <f>SUM(D8:D14)</f>
        <v>0</v>
      </c>
    </row>
    <row r="16" spans="1:4">
      <c r="A16" s="197"/>
      <c r="B16" s="75"/>
      <c r="C16" s="75"/>
      <c r="D16" s="75"/>
    </row>
    <row r="17" spans="1:4">
      <c r="A17" s="241" t="s">
        <v>388</v>
      </c>
      <c r="B17" s="227"/>
      <c r="C17" s="227"/>
      <c r="D17" s="227"/>
    </row>
    <row r="18" spans="1:4">
      <c r="A18" s="241" t="s">
        <v>389</v>
      </c>
      <c r="B18" s="227"/>
      <c r="C18" s="227"/>
      <c r="D18" s="227"/>
    </row>
    <row r="19" spans="1:4">
      <c r="A19" s="241" t="s">
        <v>390</v>
      </c>
      <c r="B19" s="227"/>
      <c r="C19" s="227"/>
      <c r="D19" s="227"/>
    </row>
    <row r="20" spans="1:4">
      <c r="A20" s="241" t="s">
        <v>391</v>
      </c>
      <c r="B20" s="227"/>
      <c r="C20" s="227"/>
      <c r="D20" s="227"/>
    </row>
    <row r="21" spans="1:4">
      <c r="A21" s="241"/>
      <c r="B21" s="227"/>
      <c r="C21" s="227"/>
      <c r="D21" s="227"/>
    </row>
    <row r="22" spans="1:4">
      <c r="A22" s="148" t="s">
        <v>103</v>
      </c>
      <c r="B22" s="231">
        <f>SUM(B17:B21)</f>
        <v>0</v>
      </c>
      <c r="C22" s="231">
        <f>SUM(C17:C21)</f>
        <v>0</v>
      </c>
      <c r="D22" s="231">
        <f>SUM(D17:D21)</f>
        <v>0</v>
      </c>
    </row>
    <row r="23" spans="1:4">
      <c r="A23" s="197"/>
      <c r="B23" s="75"/>
      <c r="C23" s="75"/>
      <c r="D23" s="75"/>
    </row>
    <row r="24" spans="1:4">
      <c r="A24" s="241" t="s">
        <v>388</v>
      </c>
      <c r="B24" s="227"/>
      <c r="C24" s="227"/>
      <c r="D24" s="227"/>
    </row>
    <row r="25" spans="1:4">
      <c r="A25" s="241" t="s">
        <v>389</v>
      </c>
      <c r="B25" s="227"/>
      <c r="C25" s="227"/>
      <c r="D25" s="227"/>
    </row>
    <row r="26" spans="1:4">
      <c r="A26" s="241" t="s">
        <v>390</v>
      </c>
      <c r="B26" s="227"/>
      <c r="C26" s="227"/>
      <c r="D26" s="227"/>
    </row>
    <row r="27" spans="1:4">
      <c r="A27" s="241" t="s">
        <v>391</v>
      </c>
      <c r="B27" s="227"/>
      <c r="C27" s="227"/>
      <c r="D27" s="227"/>
    </row>
    <row r="28" spans="1:4">
      <c r="A28" s="241"/>
      <c r="B28" s="227"/>
      <c r="C28" s="227"/>
      <c r="D28" s="227"/>
    </row>
    <row r="29" spans="1:4">
      <c r="A29" s="148" t="s">
        <v>103</v>
      </c>
      <c r="B29" s="231">
        <f>SUM(B24:B28)</f>
        <v>0</v>
      </c>
      <c r="C29" s="231">
        <f>SUM(C24:C28)</f>
        <v>0</v>
      </c>
      <c r="D29" s="231">
        <f>SUM(D24:D28)</f>
        <v>0</v>
      </c>
    </row>
    <row r="30" spans="1:4">
      <c r="A30" s="197"/>
      <c r="B30" s="75"/>
      <c r="C30" s="75"/>
      <c r="D30" s="75"/>
    </row>
    <row r="31" spans="1:4">
      <c r="A31" s="241" t="s">
        <v>388</v>
      </c>
      <c r="B31" s="227"/>
      <c r="C31" s="227"/>
      <c r="D31" s="227"/>
    </row>
    <row r="32" spans="1:4">
      <c r="A32" s="241" t="s">
        <v>389</v>
      </c>
      <c r="B32" s="227"/>
      <c r="C32" s="227"/>
      <c r="D32" s="227"/>
    </row>
    <row r="33" spans="1:4">
      <c r="A33" s="241" t="s">
        <v>390</v>
      </c>
      <c r="B33" s="227"/>
      <c r="C33" s="227"/>
      <c r="D33" s="227"/>
    </row>
    <row r="34" spans="1:4">
      <c r="A34" s="241" t="s">
        <v>391</v>
      </c>
      <c r="B34" s="227"/>
      <c r="C34" s="227"/>
      <c r="D34" s="227"/>
    </row>
    <row r="35" spans="1:4">
      <c r="A35" s="148" t="s">
        <v>103</v>
      </c>
      <c r="B35" s="231">
        <f>SUM(B31:B34)</f>
        <v>0</v>
      </c>
      <c r="C35" s="231">
        <f>SUM(C31:C34)</f>
        <v>0</v>
      </c>
      <c r="D35" s="231">
        <f>SUM(D31:D34)</f>
        <v>0</v>
      </c>
    </row>
    <row r="36" spans="1:4">
      <c r="A36" s="197"/>
      <c r="B36" s="75"/>
      <c r="C36" s="75"/>
      <c r="D36" s="75"/>
    </row>
    <row r="37" spans="1:4">
      <c r="A37" s="241" t="s">
        <v>388</v>
      </c>
      <c r="B37" s="227"/>
      <c r="C37" s="227"/>
      <c r="D37" s="227"/>
    </row>
    <row r="38" spans="1:4">
      <c r="A38" s="241" t="s">
        <v>389</v>
      </c>
      <c r="B38" s="227"/>
      <c r="C38" s="227"/>
      <c r="D38" s="227"/>
    </row>
    <row r="39" spans="1:4">
      <c r="A39" s="241" t="s">
        <v>390</v>
      </c>
      <c r="B39" s="227"/>
      <c r="C39" s="227"/>
      <c r="D39" s="227"/>
    </row>
    <row r="40" spans="1:4">
      <c r="A40" s="241" t="s">
        <v>391</v>
      </c>
      <c r="B40" s="227"/>
      <c r="C40" s="227"/>
      <c r="D40" s="227"/>
    </row>
    <row r="41" spans="1:4">
      <c r="A41" s="241"/>
      <c r="B41" s="227"/>
      <c r="C41" s="227"/>
      <c r="D41" s="227"/>
    </row>
    <row r="42" spans="1:4">
      <c r="A42" s="148" t="s">
        <v>103</v>
      </c>
      <c r="B42" s="231">
        <f>SUM(B37:B41)</f>
        <v>0</v>
      </c>
      <c r="C42" s="231">
        <f>SUM(C37:C41)</f>
        <v>0</v>
      </c>
      <c r="D42" s="231">
        <f>SUM(D37:D41)</f>
        <v>0</v>
      </c>
    </row>
    <row r="43" spans="1:4">
      <c r="A43" s="197"/>
      <c r="B43" s="75"/>
      <c r="C43" s="75"/>
      <c r="D43" s="75"/>
    </row>
    <row r="44" spans="1:4">
      <c r="A44" s="241" t="s">
        <v>388</v>
      </c>
      <c r="B44" s="227"/>
      <c r="C44" s="227"/>
      <c r="D44" s="227"/>
    </row>
    <row r="45" spans="1:4">
      <c r="A45" s="241" t="s">
        <v>389</v>
      </c>
      <c r="B45" s="227"/>
      <c r="C45" s="227"/>
      <c r="D45" s="227"/>
    </row>
    <row r="46" spans="1:4">
      <c r="A46" s="241" t="s">
        <v>390</v>
      </c>
      <c r="B46" s="227"/>
      <c r="C46" s="227"/>
      <c r="D46" s="227"/>
    </row>
    <row r="47" spans="1:4">
      <c r="A47" s="241" t="s">
        <v>391</v>
      </c>
      <c r="B47" s="227"/>
      <c r="C47" s="227"/>
      <c r="D47" s="227"/>
    </row>
    <row r="48" spans="1:4">
      <c r="A48" s="241"/>
      <c r="B48" s="227"/>
      <c r="C48" s="227"/>
      <c r="D48" s="227"/>
    </row>
    <row r="49" spans="1:4">
      <c r="A49" s="148" t="s">
        <v>103</v>
      </c>
      <c r="B49" s="231">
        <f>SUM(B44:B48)</f>
        <v>0</v>
      </c>
      <c r="C49" s="231">
        <f>SUM(C44:C48)</f>
        <v>0</v>
      </c>
      <c r="D49" s="231">
        <f>SUM(D44:D48)</f>
        <v>0</v>
      </c>
    </row>
    <row r="50" spans="1:4">
      <c r="A50" s="197"/>
      <c r="B50" s="75"/>
      <c r="C50" s="75"/>
      <c r="D50" s="75"/>
    </row>
    <row r="51" spans="1:4">
      <c r="A51" s="241" t="s">
        <v>388</v>
      </c>
      <c r="B51" s="227"/>
      <c r="C51" s="227"/>
      <c r="D51" s="227"/>
    </row>
    <row r="52" spans="1:4">
      <c r="A52" s="241" t="s">
        <v>389</v>
      </c>
      <c r="B52" s="227"/>
      <c r="C52" s="227"/>
      <c r="D52" s="227"/>
    </row>
    <row r="53" spans="1:4">
      <c r="A53" s="241" t="s">
        <v>390</v>
      </c>
      <c r="B53" s="227"/>
      <c r="C53" s="227"/>
      <c r="D53" s="227"/>
    </row>
    <row r="54" spans="1:4">
      <c r="A54" s="241" t="s">
        <v>391</v>
      </c>
      <c r="B54" s="227"/>
      <c r="C54" s="227"/>
      <c r="D54" s="227"/>
    </row>
    <row r="55" spans="1:4">
      <c r="A55" s="241"/>
      <c r="B55" s="227"/>
      <c r="C55" s="227"/>
      <c r="D55" s="227"/>
    </row>
    <row r="56" spans="1:4">
      <c r="A56" s="148" t="s">
        <v>103</v>
      </c>
      <c r="B56" s="231">
        <f>SUM(B51:B55)</f>
        <v>0</v>
      </c>
      <c r="C56" s="231">
        <f>SUM(C51:C55)</f>
        <v>0</v>
      </c>
      <c r="D56" s="231">
        <f>SUM(D51:D55)</f>
        <v>0</v>
      </c>
    </row>
    <row r="57" spans="1:4">
      <c r="A57" s="197"/>
      <c r="B57" s="75"/>
      <c r="C57" s="75"/>
      <c r="D57" s="75"/>
    </row>
    <row r="58" spans="1:4">
      <c r="A58" s="241" t="s">
        <v>388</v>
      </c>
      <c r="B58" s="227"/>
      <c r="C58" s="227"/>
      <c r="D58" s="227"/>
    </row>
    <row r="59" spans="1:4">
      <c r="A59" s="241" t="s">
        <v>389</v>
      </c>
      <c r="B59" s="227"/>
      <c r="C59" s="227"/>
      <c r="D59" s="227"/>
    </row>
    <row r="60" spans="1:4">
      <c r="A60" s="241" t="s">
        <v>390</v>
      </c>
      <c r="B60" s="227"/>
      <c r="C60" s="227"/>
      <c r="D60" s="227"/>
    </row>
    <row r="61" spans="1:4">
      <c r="A61" s="241" t="s">
        <v>391</v>
      </c>
      <c r="B61" s="227"/>
      <c r="C61" s="227"/>
      <c r="D61" s="227"/>
    </row>
    <row r="62" spans="1:4">
      <c r="A62" s="241"/>
      <c r="B62" s="227"/>
      <c r="C62" s="227"/>
      <c r="D62" s="227"/>
    </row>
    <row r="63" spans="1:4">
      <c r="A63" s="148" t="s">
        <v>103</v>
      </c>
      <c r="B63" s="231">
        <f>SUM(B58:B62)</f>
        <v>0</v>
      </c>
      <c r="C63" s="231">
        <f>SUM(C58:C62)</f>
        <v>0</v>
      </c>
      <c r="D63" s="231">
        <f>SUM(D58:D62)</f>
        <v>0</v>
      </c>
    </row>
    <row r="64" spans="1:4">
      <c r="A64" s="36"/>
      <c r="B64" s="75"/>
      <c r="C64" s="75"/>
      <c r="D64" s="75"/>
    </row>
    <row r="65" spans="1:4" ht="16.5" thickBot="1">
      <c r="A65" s="148" t="s">
        <v>392</v>
      </c>
      <c r="B65" s="242">
        <f>B15+B22+B29+B35+B42+B49+B56+B63</f>
        <v>0</v>
      </c>
      <c r="C65" s="242">
        <f>C15+C22+C29+C35+C42+C49+C56+C63</f>
        <v>0</v>
      </c>
      <c r="D65" s="242">
        <f>D15+D22+D29+D35+D42+D49+D56+D63</f>
        <v>0</v>
      </c>
    </row>
    <row r="66" spans="1:4" ht="16.5" thickTop="1">
      <c r="A66" s="36"/>
      <c r="B66" s="75"/>
      <c r="C66" s="75"/>
      <c r="D66" s="75"/>
    </row>
    <row r="67" spans="1:4">
      <c r="A67" s="564" t="s">
        <v>384</v>
      </c>
      <c r="B67" s="305" t="str">
        <f>CONCATENATE("",General!C72,"b")</f>
        <v>6b</v>
      </c>
      <c r="C67" s="75"/>
      <c r="D67" s="75"/>
    </row>
  </sheetData>
  <sheetProtection sheet="1"/>
  <phoneticPr fontId="9"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B1:K101"/>
  <sheetViews>
    <sheetView topLeftCell="B1" zoomScaleNormal="100" workbookViewId="0">
      <selection activeCell="B32" sqref="B32"/>
    </sheetView>
  </sheetViews>
  <sheetFormatPr defaultColWidth="8.88671875"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88671875" style="2" customWidth="1"/>
    <col min="10" max="10" width="10" style="2" customWidth="1"/>
    <col min="11" max="16384" width="8.88671875" style="2"/>
  </cols>
  <sheetData>
    <row r="1" spans="2:10">
      <c r="B1" s="75">
        <f>inputPrYr!D3</f>
        <v>0</v>
      </c>
      <c r="C1" s="75"/>
      <c r="D1" s="36"/>
      <c r="E1" s="91">
        <f>inputPrYr!C6</f>
        <v>2025</v>
      </c>
    </row>
    <row r="2" spans="2:10">
      <c r="B2" s="36"/>
      <c r="C2" s="36"/>
      <c r="D2" s="36"/>
      <c r="E2" s="555"/>
    </row>
    <row r="3" spans="2:10">
      <c r="B3" s="45" t="s">
        <v>339</v>
      </c>
      <c r="C3" s="45"/>
      <c r="D3" s="177"/>
      <c r="E3" s="93"/>
    </row>
    <row r="4" spans="2:10">
      <c r="B4" s="39" t="s">
        <v>161</v>
      </c>
      <c r="C4" s="433" t="s">
        <v>340</v>
      </c>
      <c r="D4" s="434" t="s">
        <v>341</v>
      </c>
      <c r="E4" s="103" t="s">
        <v>342</v>
      </c>
    </row>
    <row r="5" spans="2:10">
      <c r="B5" s="297" t="str">
        <f>inputPrYr!B19</f>
        <v>Debt Service</v>
      </c>
      <c r="C5" s="149" t="str">
        <f>CONCATENATE("Actual for ",$E$1-2,"")</f>
        <v>Actual for 2023</v>
      </c>
      <c r="D5" s="560" t="str">
        <f>CONCATENATE("Estimate for ",$E$1-1,"")</f>
        <v>Estimate for 2024</v>
      </c>
      <c r="E5" s="134" t="str">
        <f>CONCATENATE("Year for ",$E$1,"")</f>
        <v>Year for 2025</v>
      </c>
    </row>
    <row r="6" spans="2:10">
      <c r="B6" s="558" t="s">
        <v>343</v>
      </c>
      <c r="C6" s="292"/>
      <c r="D6" s="291">
        <f>C35</f>
        <v>0</v>
      </c>
      <c r="E6" s="113">
        <f>D35</f>
        <v>0</v>
      </c>
    </row>
    <row r="7" spans="2:10">
      <c r="B7" s="558" t="s">
        <v>344</v>
      </c>
      <c r="C7" s="114"/>
      <c r="D7" s="291"/>
      <c r="E7" s="113"/>
    </row>
    <row r="8" spans="2:10">
      <c r="B8" s="558" t="s">
        <v>345</v>
      </c>
      <c r="C8" s="288"/>
      <c r="D8" s="291">
        <f>IF(inputPrYr!H21&gt;0,inputPrYr!G23,inputPrYr!E19)</f>
        <v>0</v>
      </c>
      <c r="E8" s="237" t="s">
        <v>173</v>
      </c>
    </row>
    <row r="9" spans="2:10">
      <c r="B9" s="558" t="s">
        <v>346</v>
      </c>
      <c r="C9" s="288"/>
      <c r="D9" s="293"/>
      <c r="E9" s="47"/>
    </row>
    <row r="10" spans="2:10">
      <c r="B10" s="558" t="s">
        <v>347</v>
      </c>
      <c r="C10" s="288"/>
      <c r="D10" s="293"/>
      <c r="E10" s="113" t="str">
        <f>Mvalloc!D10</f>
        <v xml:space="preserve">  </v>
      </c>
    </row>
    <row r="11" spans="2:10">
      <c r="B11" s="558" t="s">
        <v>348</v>
      </c>
      <c r="C11" s="288"/>
      <c r="D11" s="293"/>
      <c r="E11" s="113" t="str">
        <f>Mvalloc!E10</f>
        <v xml:space="preserve">  </v>
      </c>
    </row>
    <row r="12" spans="2:10">
      <c r="B12" s="115" t="s">
        <v>349</v>
      </c>
      <c r="C12" s="288"/>
      <c r="D12" s="293"/>
      <c r="E12" s="113" t="str">
        <f>Mvalloc!F10</f>
        <v xml:space="preserve">  </v>
      </c>
    </row>
    <row r="13" spans="2:10">
      <c r="B13" s="114" t="s">
        <v>350</v>
      </c>
      <c r="C13" s="288"/>
      <c r="D13" s="293"/>
      <c r="E13" s="113" t="str">
        <f>Mvalloc!G10</f>
        <v xml:space="preserve">  </v>
      </c>
      <c r="G13" s="677" t="str">
        <f>CONCATENATE("Desired Carryover Into ",E1+1,"")</f>
        <v>Desired Carryover Into 2026</v>
      </c>
      <c r="H13" s="678"/>
      <c r="I13" s="678"/>
      <c r="J13" s="679"/>
    </row>
    <row r="14" spans="2:10">
      <c r="B14" s="114" t="s">
        <v>351</v>
      </c>
      <c r="C14" s="288"/>
      <c r="D14" s="293"/>
      <c r="E14" s="113" t="str">
        <f>Mvalloc!H10</f>
        <v xml:space="preserve">  </v>
      </c>
      <c r="G14" s="352"/>
      <c r="H14" s="304"/>
      <c r="I14" s="318"/>
      <c r="J14" s="353"/>
    </row>
    <row r="15" spans="2:10">
      <c r="B15" s="185"/>
      <c r="C15" s="288"/>
      <c r="D15" s="293"/>
      <c r="E15" s="241"/>
      <c r="G15" s="324" t="s">
        <v>370</v>
      </c>
      <c r="H15" s="318"/>
      <c r="I15" s="318"/>
      <c r="J15" s="312">
        <v>0</v>
      </c>
    </row>
    <row r="16" spans="2:10">
      <c r="B16" s="185"/>
      <c r="C16" s="288"/>
      <c r="D16" s="293"/>
      <c r="E16" s="47"/>
      <c r="G16" s="352" t="s">
        <v>371</v>
      </c>
      <c r="H16" s="304"/>
      <c r="I16" s="304"/>
      <c r="J16" s="418" t="str">
        <f>IF(J15=0,"",ROUND((J15+E41-G28)/inputOth!E7*1000,3)-G33)</f>
        <v/>
      </c>
    </row>
    <row r="17" spans="2:11">
      <c r="B17" s="185"/>
      <c r="C17" s="288"/>
      <c r="D17" s="293"/>
      <c r="E17" s="47"/>
      <c r="G17" s="387" t="str">
        <f>CONCATENATE("",E1," Tot Exp/Non-Appr Must Be:")</f>
        <v>2025 Tot Exp/Non-Appr Must Be:</v>
      </c>
      <c r="H17" s="384"/>
      <c r="I17" s="385"/>
      <c r="J17" s="381">
        <f>IF(J15&gt;0,IF(E38&lt;E23,IF(J15=G28,E39,((J15-G28)*(1-D40))+E23),E39+(J15-G28)),0)</f>
        <v>0</v>
      </c>
    </row>
    <row r="18" spans="2:11">
      <c r="B18" s="229" t="s">
        <v>361</v>
      </c>
      <c r="C18" s="288"/>
      <c r="D18" s="293"/>
      <c r="E18" s="47"/>
      <c r="G18" s="416" t="s">
        <v>372</v>
      </c>
      <c r="H18" s="421"/>
      <c r="I18" s="421"/>
      <c r="J18" s="388">
        <f>IF(J15&gt;0,J17-E39,0)</f>
        <v>0</v>
      </c>
    </row>
    <row r="19" spans="2:11">
      <c r="B19" s="235" t="s">
        <v>362</v>
      </c>
      <c r="C19" s="288"/>
      <c r="D19" s="293"/>
      <c r="E19" s="113">
        <f>'NR Rebate'!E8*-1</f>
        <v>0</v>
      </c>
    </row>
    <row r="20" spans="2:11">
      <c r="B20" s="558" t="s">
        <v>363</v>
      </c>
      <c r="C20" s="331"/>
      <c r="D20" s="293"/>
      <c r="E20" s="47"/>
      <c r="G20" s="677" t="str">
        <f>CONCATENATE("Projected Carryover Into ",E1+1,"")</f>
        <v>Projected Carryover Into 2026</v>
      </c>
      <c r="H20" s="721"/>
      <c r="I20" s="721"/>
      <c r="J20" s="798"/>
    </row>
    <row r="21" spans="2:11">
      <c r="B21" s="558" t="s">
        <v>364</v>
      </c>
      <c r="C21" s="269" t="str">
        <f>IF(C22*0.1&lt;C20,"Exceed 10% Rule","")</f>
        <v/>
      </c>
      <c r="D21" s="269" t="str">
        <f>IF(D22*0.1&lt;D20,"Exceeds 10% Rule","")</f>
        <v/>
      </c>
      <c r="E21" s="278" t="str">
        <f>IF(E22*0.1&lt;E20,"Exceed 10% Rule","")</f>
        <v/>
      </c>
      <c r="G21" s="352"/>
      <c r="H21" s="318"/>
      <c r="I21" s="318"/>
      <c r="J21" s="417"/>
    </row>
    <row r="22" spans="2:11">
      <c r="B22" s="190" t="s">
        <v>365</v>
      </c>
      <c r="C22" s="294">
        <f>SUM(C8:C20)</f>
        <v>0</v>
      </c>
      <c r="D22" s="294">
        <f>SUM(D8:D20)</f>
        <v>0</v>
      </c>
      <c r="E22" s="238">
        <f>SUM(E9:E20)</f>
        <v>0</v>
      </c>
      <c r="G22" s="315">
        <f>D35</f>
        <v>0</v>
      </c>
      <c r="H22" s="316" t="str">
        <f>CONCATENATE("",E1-1," Ending Cash Balance (est.)")</f>
        <v>2024 Ending Cash Balance (est.)</v>
      </c>
      <c r="I22" s="317"/>
      <c r="J22" s="417"/>
    </row>
    <row r="23" spans="2:11">
      <c r="B23" s="190" t="s">
        <v>366</v>
      </c>
      <c r="C23" s="294">
        <f>C6+C22</f>
        <v>0</v>
      </c>
      <c r="D23" s="294">
        <f>D6+D22</f>
        <v>0</v>
      </c>
      <c r="E23" s="238">
        <f>E6+E22</f>
        <v>0</v>
      </c>
      <c r="G23" s="315">
        <f>E22</f>
        <v>0</v>
      </c>
      <c r="H23" s="318" t="str">
        <f>CONCATENATE("",E1," Non-AV Receipts (est.)")</f>
        <v>2025 Non-AV Receipts (est.)</v>
      </c>
      <c r="I23" s="317"/>
      <c r="J23" s="417"/>
    </row>
    <row r="24" spans="2:11">
      <c r="B24" s="558" t="s">
        <v>367</v>
      </c>
      <c r="C24" s="558"/>
      <c r="D24" s="291"/>
      <c r="E24" s="113"/>
      <c r="G24" s="319">
        <f>IF(E40&gt;0,E39,E41)</f>
        <v>0</v>
      </c>
      <c r="H24" s="318" t="str">
        <f>CONCATENATE("",E1," Ad Valorem Tax (est.)")</f>
        <v>2025 Ad Valorem Tax (est.)</v>
      </c>
      <c r="I24" s="317"/>
      <c r="J24" s="417"/>
      <c r="K24" s="423" t="str">
        <f>IF(G24=E41,"","Note: Does not include Delinquent Taxes")</f>
        <v/>
      </c>
    </row>
    <row r="25" spans="2:11">
      <c r="B25" s="185"/>
      <c r="C25" s="288"/>
      <c r="D25" s="293"/>
      <c r="E25" s="47"/>
      <c r="G25" s="315">
        <f>SUM(G22:G24)</f>
        <v>0</v>
      </c>
      <c r="H25" s="318" t="str">
        <f>CONCATENATE("Total ",E1," Resources Available")</f>
        <v>Total 2025 Resources Available</v>
      </c>
      <c r="I25" s="317"/>
      <c r="J25" s="417"/>
    </row>
    <row r="26" spans="2:11">
      <c r="B26" s="185"/>
      <c r="C26" s="288"/>
      <c r="D26" s="293"/>
      <c r="E26" s="47"/>
      <c r="G26" s="320"/>
      <c r="H26" s="318"/>
      <c r="I26" s="318"/>
      <c r="J26" s="417"/>
    </row>
    <row r="27" spans="2:11">
      <c r="B27" s="185"/>
      <c r="C27" s="293"/>
      <c r="D27" s="293"/>
      <c r="E27" s="47"/>
      <c r="G27" s="319">
        <f>C34</f>
        <v>0</v>
      </c>
      <c r="H27" s="318" t="str">
        <f>CONCATENATE("Less ",E1-2," Expenditures")</f>
        <v>Less 2023 Expenditures</v>
      </c>
      <c r="I27" s="318"/>
      <c r="J27" s="417"/>
    </row>
    <row r="28" spans="2:11">
      <c r="B28" s="185"/>
      <c r="C28" s="288"/>
      <c r="D28" s="293"/>
      <c r="E28" s="47"/>
      <c r="G28" s="419">
        <f>G25-G27</f>
        <v>0</v>
      </c>
      <c r="H28" s="420" t="str">
        <f>CONCATENATE("Projected ",E1+1," carryover (est.)")</f>
        <v>Projected 2026 carryover (est.)</v>
      </c>
      <c r="I28" s="322"/>
      <c r="J28" s="451"/>
    </row>
    <row r="29" spans="2:11">
      <c r="B29" s="185"/>
      <c r="C29" s="288"/>
      <c r="D29" s="293"/>
      <c r="E29" s="47"/>
    </row>
    <row r="30" spans="2:11">
      <c r="B30" s="185"/>
      <c r="C30" s="288"/>
      <c r="D30" s="293"/>
      <c r="E30" s="47"/>
      <c r="G30" s="709" t="s">
        <v>393</v>
      </c>
      <c r="H30" s="710"/>
      <c r="I30" s="710"/>
      <c r="J30" s="711"/>
    </row>
    <row r="31" spans="2:11">
      <c r="B31" s="477" t="str">
        <f>CONCATENATE("Cash Reserve (",E1," column)")</f>
        <v>Cash Reserve (2025 column)</v>
      </c>
      <c r="C31" s="288"/>
      <c r="D31" s="293"/>
      <c r="E31" s="47"/>
      <c r="G31" s="712"/>
      <c r="H31" s="713"/>
      <c r="I31" s="713"/>
      <c r="J31" s="714"/>
    </row>
    <row r="32" spans="2:11">
      <c r="B32" s="235" t="s">
        <v>363</v>
      </c>
      <c r="C32" s="331"/>
      <c r="D32" s="293"/>
      <c r="E32" s="47"/>
      <c r="G32" s="429" t="str">
        <f>'Budget Hearing Notice'!H17</f>
        <v xml:space="preserve">  </v>
      </c>
      <c r="H32" s="316" t="str">
        <f>CONCATENATE("",E1," Estimated Fund Mill Rate")</f>
        <v>2025 Estimated Fund Mill Rate</v>
      </c>
      <c r="I32" s="382"/>
      <c r="J32" s="383"/>
    </row>
    <row r="33" spans="2:10">
      <c r="B33" s="235" t="s">
        <v>394</v>
      </c>
      <c r="C33" s="269" t="str">
        <f>IF(C34*0.1&lt;C32,"Exceed 10% Rule","")</f>
        <v/>
      </c>
      <c r="D33" s="269" t="str">
        <f>IF(D34*0.1&lt;D32,"Exceed 10% Rule","")</f>
        <v/>
      </c>
      <c r="E33" s="278" t="str">
        <f>IF(E34*0.1&lt;E32,"Exceed 10% Rule","")</f>
        <v/>
      </c>
      <c r="G33" s="485" t="str">
        <f>'Budget Hearing Notice'!E17</f>
        <v xml:space="preserve">  </v>
      </c>
      <c r="H33" s="316" t="str">
        <f>CONCATENATE("",E1-1," Fund Mill Rate")</f>
        <v>2024 Fund Mill Rate</v>
      </c>
      <c r="I33" s="382"/>
      <c r="J33" s="383"/>
    </row>
    <row r="34" spans="2:10">
      <c r="B34" s="190" t="s">
        <v>375</v>
      </c>
      <c r="C34" s="290">
        <f>SUM(C25:C32)</f>
        <v>0</v>
      </c>
      <c r="D34" s="290">
        <f>SUM(D25:D32)</f>
        <v>0</v>
      </c>
      <c r="E34" s="232">
        <f>SUM(E25:E32)</f>
        <v>0</v>
      </c>
      <c r="G34" s="486">
        <f>inputOth!C20</f>
        <v>0</v>
      </c>
      <c r="H34" s="484" t="s">
        <v>377</v>
      </c>
      <c r="I34" s="382"/>
      <c r="J34" s="383"/>
    </row>
    <row r="35" spans="2:10">
      <c r="B35" s="558" t="s">
        <v>376</v>
      </c>
      <c r="C35" s="295">
        <f>C23-C34</f>
        <v>0</v>
      </c>
      <c r="D35" s="295">
        <f>D23-D34</f>
        <v>0</v>
      </c>
      <c r="E35" s="237" t="s">
        <v>173</v>
      </c>
      <c r="G35" s="429">
        <f>'Budget Hearing Notice'!H31</f>
        <v>0</v>
      </c>
      <c r="H35" s="316" t="str">
        <f>CONCATENATE(E1," Estimated Total Mill Rate")</f>
        <v>2025 Estimated Total Mill Rate</v>
      </c>
      <c r="I35" s="382"/>
      <c r="J35" s="383"/>
    </row>
    <row r="36" spans="2:10" ht="15.75" customHeight="1">
      <c r="B36" s="120" t="str">
        <f>CONCATENATE("",E1-2,"/",E1-1,"/",E1," Budget Authority Amount:")</f>
        <v>2023/2024/2025 Budget Authority Amount:</v>
      </c>
      <c r="C36" s="280">
        <f>inputOth!B60</f>
        <v>0</v>
      </c>
      <c r="D36" s="457">
        <f>inputPrYr!D19</f>
        <v>0</v>
      </c>
      <c r="E36" s="113">
        <f>E34</f>
        <v>0</v>
      </c>
      <c r="F36" s="571"/>
      <c r="G36" s="485">
        <f>'Budget Hearing Notice'!E31</f>
        <v>0</v>
      </c>
      <c r="H36" s="316" t="str">
        <f>CONCATENATE(E1-1," Total Mill Rate")</f>
        <v>2024 Total Mill Rate</v>
      </c>
      <c r="I36" s="382"/>
      <c r="J36" s="383"/>
    </row>
    <row r="37" spans="2:10" ht="15.75" customHeight="1">
      <c r="B37" s="564"/>
      <c r="C37" s="684" t="s">
        <v>378</v>
      </c>
      <c r="D37" s="685"/>
      <c r="E37" s="47"/>
      <c r="F37" s="194"/>
      <c r="G37" s="732" t="s">
        <v>381</v>
      </c>
      <c r="H37" s="733"/>
      <c r="I37" s="733"/>
      <c r="J37" s="719" t="str">
        <f>IF(G35&gt;G34, "Yes", "No")</f>
        <v>No</v>
      </c>
    </row>
    <row r="38" spans="2:10">
      <c r="B38" s="281" t="str">
        <f>CONCATENATE(C98,"     ",D98)</f>
        <v xml:space="preserve">     </v>
      </c>
      <c r="C38" s="686" t="s">
        <v>379</v>
      </c>
      <c r="D38" s="687"/>
      <c r="E38" s="113">
        <f>E34+E37</f>
        <v>0</v>
      </c>
      <c r="F38" s="330" t="str">
        <f>IF(E34/0.95-E34&lt;E37,"Exceeds 5%","")</f>
        <v/>
      </c>
      <c r="G38" s="734"/>
      <c r="H38" s="735"/>
      <c r="I38" s="735"/>
      <c r="J38" s="720"/>
    </row>
    <row r="39" spans="2:10">
      <c r="B39" s="281" t="str">
        <f>CONCATENATE(C99,"     ",D99)</f>
        <v xml:space="preserve">     </v>
      </c>
      <c r="C39" s="195"/>
      <c r="D39" s="555" t="s">
        <v>380</v>
      </c>
      <c r="E39" s="54">
        <f>IF(E38-E23&gt;0,E38-E23,0)</f>
        <v>0</v>
      </c>
      <c r="F39" s="571"/>
      <c r="G39" s="675" t="str">
        <f>IF(J37="Yes", "Follow procedure prescried by KSA 79-2988 to exceed the Revenue Neutral Rate.", " ")</f>
        <v xml:space="preserve"> </v>
      </c>
      <c r="H39" s="675"/>
      <c r="I39" s="675"/>
      <c r="J39" s="675"/>
    </row>
    <row r="40" spans="2:10">
      <c r="B40" s="555"/>
      <c r="C40" s="563" t="s">
        <v>382</v>
      </c>
      <c r="D40" s="426">
        <f>inputOth!E45</f>
        <v>0</v>
      </c>
      <c r="E40" s="113">
        <f>ROUND(IF(D40&gt;0,(E39*D40),0),0)</f>
        <v>0</v>
      </c>
      <c r="F40" s="571"/>
      <c r="G40" s="676"/>
      <c r="H40" s="676"/>
      <c r="I40" s="676"/>
      <c r="J40" s="676"/>
    </row>
    <row r="41" spans="2:10" ht="16.5" thickBot="1">
      <c r="B41" s="36"/>
      <c r="C41" s="680" t="str">
        <f>CONCATENATE("Amount of  ",E1-1," Ad Valorem Tax")</f>
        <v>Amount of  2024 Ad Valorem Tax</v>
      </c>
      <c r="D41" s="681"/>
      <c r="E41" s="431">
        <f>SUM(E39:E40)</f>
        <v>0</v>
      </c>
      <c r="F41" s="571"/>
      <c r="G41" s="676"/>
      <c r="H41" s="676"/>
      <c r="I41" s="676"/>
      <c r="J41" s="676"/>
    </row>
    <row r="42" spans="2:10" ht="16.5" thickTop="1">
      <c r="B42" s="36"/>
      <c r="C42" s="680"/>
      <c r="D42" s="681"/>
      <c r="E42" s="432"/>
      <c r="F42" s="571"/>
    </row>
    <row r="43" spans="2:10">
      <c r="B43" s="36"/>
      <c r="C43" s="561"/>
      <c r="D43" s="36"/>
      <c r="E43" s="36"/>
      <c r="F43" s="571"/>
    </row>
    <row r="44" spans="2:10">
      <c r="B44" s="39"/>
      <c r="C44" s="39"/>
      <c r="D44" s="177"/>
      <c r="E44" s="177"/>
      <c r="F44" s="571"/>
    </row>
    <row r="45" spans="2:10">
      <c r="B45" s="39" t="s">
        <v>161</v>
      </c>
      <c r="C45" s="433" t="s">
        <v>340</v>
      </c>
      <c r="D45" s="434" t="s">
        <v>341</v>
      </c>
      <c r="E45" s="103" t="s">
        <v>342</v>
      </c>
      <c r="F45" s="571"/>
    </row>
    <row r="46" spans="2:10">
      <c r="B46" s="298" t="str">
        <f>inputPrYr!B20</f>
        <v>Library</v>
      </c>
      <c r="C46" s="149" t="str">
        <f>CONCATENATE("Actual for ",$E$1-2,"")</f>
        <v>Actual for 2023</v>
      </c>
      <c r="D46" s="560" t="str">
        <f>CONCATENATE("Estimate for ",$E$1-1,"")</f>
        <v>Estimate for 2024</v>
      </c>
      <c r="E46" s="134" t="str">
        <f>CONCATENATE("Year for ",$E$1,"")</f>
        <v>Year for 2025</v>
      </c>
      <c r="F46" s="571"/>
    </row>
    <row r="47" spans="2:10">
      <c r="B47" s="558" t="s">
        <v>343</v>
      </c>
      <c r="C47" s="288">
        <v>0</v>
      </c>
      <c r="D47" s="291">
        <f>C76</f>
        <v>0</v>
      </c>
      <c r="E47" s="113">
        <f>D76</f>
        <v>0</v>
      </c>
      <c r="F47" s="571"/>
    </row>
    <row r="48" spans="2:10">
      <c r="B48" s="179" t="s">
        <v>344</v>
      </c>
      <c r="C48" s="558"/>
      <c r="D48" s="291"/>
      <c r="E48" s="113"/>
      <c r="F48" s="571"/>
    </row>
    <row r="49" spans="2:10">
      <c r="B49" s="558" t="s">
        <v>345</v>
      </c>
      <c r="C49" s="331"/>
      <c r="D49" s="291">
        <f>IF(inputPrYr!H21&gt;0,inputPrYr!G24,inputPrYr!E20)</f>
        <v>0</v>
      </c>
      <c r="E49" s="237" t="s">
        <v>173</v>
      </c>
      <c r="F49" s="571"/>
    </row>
    <row r="50" spans="2:10">
      <c r="B50" s="558" t="s">
        <v>346</v>
      </c>
      <c r="C50" s="331"/>
      <c r="D50" s="293"/>
      <c r="E50" s="47"/>
      <c r="F50" s="571"/>
    </row>
    <row r="51" spans="2:10">
      <c r="B51" s="558" t="s">
        <v>347</v>
      </c>
      <c r="C51" s="331"/>
      <c r="D51" s="293"/>
      <c r="E51" s="113" t="str">
        <f>Mvalloc!D11</f>
        <v xml:space="preserve">  </v>
      </c>
      <c r="F51" s="571"/>
    </row>
    <row r="52" spans="2:10">
      <c r="B52" s="558" t="s">
        <v>348</v>
      </c>
      <c r="C52" s="331"/>
      <c r="D52" s="293"/>
      <c r="E52" s="113" t="str">
        <f>Mvalloc!E11</f>
        <v xml:space="preserve">  </v>
      </c>
      <c r="F52" s="571"/>
    </row>
    <row r="53" spans="2:10">
      <c r="B53" s="115" t="s">
        <v>349</v>
      </c>
      <c r="C53" s="331"/>
      <c r="D53" s="293"/>
      <c r="E53" s="113" t="str">
        <f>Mvalloc!F11</f>
        <v xml:space="preserve">  </v>
      </c>
      <c r="F53" s="571"/>
    </row>
    <row r="54" spans="2:10">
      <c r="B54" s="114" t="s">
        <v>350</v>
      </c>
      <c r="C54" s="331"/>
      <c r="D54" s="293"/>
      <c r="E54" s="113" t="str">
        <f>Mvalloc!G11</f>
        <v xml:space="preserve">  </v>
      </c>
      <c r="G54" s="677" t="str">
        <f>CONCATENATE("Desired Carryover Into ",E1+1,"")</f>
        <v>Desired Carryover Into 2026</v>
      </c>
      <c r="H54" s="678"/>
      <c r="I54" s="678"/>
      <c r="J54" s="679"/>
    </row>
    <row r="55" spans="2:10">
      <c r="B55" s="114" t="s">
        <v>351</v>
      </c>
      <c r="C55" s="331"/>
      <c r="D55" s="293"/>
      <c r="E55" s="113" t="str">
        <f>Mvalloc!H11</f>
        <v xml:space="preserve">  </v>
      </c>
      <c r="G55" s="352"/>
      <c r="H55" s="304"/>
      <c r="I55" s="318"/>
      <c r="J55" s="353"/>
    </row>
    <row r="56" spans="2:10">
      <c r="B56" s="185"/>
      <c r="C56" s="331"/>
      <c r="D56" s="293"/>
      <c r="E56" s="241"/>
      <c r="G56" s="324" t="s">
        <v>370</v>
      </c>
      <c r="H56" s="318"/>
      <c r="I56" s="318"/>
      <c r="J56" s="312">
        <v>0</v>
      </c>
    </row>
    <row r="57" spans="2:10">
      <c r="B57" s="185"/>
      <c r="C57" s="331"/>
      <c r="D57" s="293"/>
      <c r="E57" s="241"/>
      <c r="G57" s="352" t="s">
        <v>371</v>
      </c>
      <c r="H57" s="304"/>
      <c r="I57" s="304"/>
      <c r="J57" s="418" t="str">
        <f>IF(J56=0,"",ROUND((J56+E82-G69)/inputOth!E7*1000,3)-G74)</f>
        <v/>
      </c>
    </row>
    <row r="58" spans="2:10">
      <c r="B58" s="185"/>
      <c r="C58" s="331"/>
      <c r="D58" s="293"/>
      <c r="E58" s="47"/>
      <c r="G58" s="387" t="str">
        <f>CONCATENATE("",E1," Tot Exp/Non-Appr Must Be:")</f>
        <v>2025 Tot Exp/Non-Appr Must Be:</v>
      </c>
      <c r="H58" s="384"/>
      <c r="I58" s="385"/>
      <c r="J58" s="381">
        <f>IF(J56&gt;0,IF(E79&lt;E64,IF(J56=G69,E79,((J56-G69)*(1-D81))+E64),E79+(J56-G69)),0)</f>
        <v>0</v>
      </c>
    </row>
    <row r="59" spans="2:10">
      <c r="B59" s="229" t="s">
        <v>361</v>
      </c>
      <c r="C59" s="331"/>
      <c r="D59" s="293"/>
      <c r="E59" s="47"/>
      <c r="G59" s="416" t="s">
        <v>372</v>
      </c>
      <c r="H59" s="421"/>
      <c r="I59" s="421"/>
      <c r="J59" s="388">
        <f>IF(J56&gt;0,J58-E79,0)</f>
        <v>0</v>
      </c>
    </row>
    <row r="60" spans="2:10">
      <c r="B60" s="115" t="s">
        <v>362</v>
      </c>
      <c r="C60" s="331"/>
      <c r="D60" s="293"/>
      <c r="E60" s="280">
        <f>'NR Rebate'!E9*-1</f>
        <v>0</v>
      </c>
    </row>
    <row r="61" spans="2:10">
      <c r="B61" s="558" t="s">
        <v>363</v>
      </c>
      <c r="C61" s="331"/>
      <c r="D61" s="331"/>
      <c r="E61" s="365"/>
      <c r="G61" s="677" t="str">
        <f>CONCATENATE("Projected Carryover Into ",E1+1,"")</f>
        <v>Projected Carryover Into 2026</v>
      </c>
      <c r="H61" s="722"/>
      <c r="I61" s="722"/>
      <c r="J61" s="798"/>
    </row>
    <row r="62" spans="2:10">
      <c r="B62" s="558" t="s">
        <v>364</v>
      </c>
      <c r="C62" s="269" t="str">
        <f>IF(C63*0.1&lt;C61,"Exceed 10% Rule","")</f>
        <v/>
      </c>
      <c r="D62" s="269" t="str">
        <f>IF(D63*0.1&lt;D61,"Exceeds 10% Rule","")</f>
        <v/>
      </c>
      <c r="E62" s="278" t="str">
        <f>IF(E63*0.1&lt;E61,"Exceed 10% Rule","")</f>
        <v/>
      </c>
      <c r="G62" s="313"/>
      <c r="H62" s="304"/>
      <c r="I62" s="304"/>
      <c r="J62" s="430"/>
    </row>
    <row r="63" spans="2:10">
      <c r="B63" s="190" t="s">
        <v>365</v>
      </c>
      <c r="C63" s="290">
        <f>SUM(C49:C61)</f>
        <v>0</v>
      </c>
      <c r="D63" s="290">
        <f>SUM(D49:D61)</f>
        <v>0</v>
      </c>
      <c r="E63" s="232">
        <f>SUM(E50:E61)</f>
        <v>0</v>
      </c>
      <c r="G63" s="315">
        <f>D76</f>
        <v>0</v>
      </c>
      <c r="H63" s="316" t="str">
        <f>CONCATENATE("",E1-1," Ending Cash Balance (est.)")</f>
        <v>2024 Ending Cash Balance (est.)</v>
      </c>
      <c r="I63" s="317"/>
      <c r="J63" s="430"/>
    </row>
    <row r="64" spans="2:10">
      <c r="B64" s="190" t="s">
        <v>366</v>
      </c>
      <c r="C64" s="290">
        <f>C47+C63</f>
        <v>0</v>
      </c>
      <c r="D64" s="290">
        <f>D47+D63</f>
        <v>0</v>
      </c>
      <c r="E64" s="232">
        <f>E47+E63</f>
        <v>0</v>
      </c>
      <c r="G64" s="315">
        <f>E63</f>
        <v>0</v>
      </c>
      <c r="H64" s="318" t="str">
        <f>CONCATENATE("",E1," Non-AV Receipts (est.)")</f>
        <v>2025 Non-AV Receipts (est.)</v>
      </c>
      <c r="I64" s="317"/>
      <c r="J64" s="430"/>
    </row>
    <row r="65" spans="2:11">
      <c r="B65" s="558" t="s">
        <v>367</v>
      </c>
      <c r="C65" s="558"/>
      <c r="D65" s="291"/>
      <c r="E65" s="113"/>
      <c r="G65" s="319">
        <f>IF(E81&gt;0,E80,E82)</f>
        <v>0</v>
      </c>
      <c r="H65" s="318" t="str">
        <f>CONCATENATE("",E1," Ad Valorem Tax (est.)")</f>
        <v>2025 Ad Valorem Tax (est.)</v>
      </c>
      <c r="I65" s="317"/>
      <c r="J65" s="430"/>
    </row>
    <row r="66" spans="2:11">
      <c r="B66" s="185"/>
      <c r="C66" s="288"/>
      <c r="D66" s="293"/>
      <c r="E66" s="47"/>
      <c r="G66" s="354">
        <f>SUM(G63:G65)</f>
        <v>0</v>
      </c>
      <c r="H66" s="318" t="str">
        <f>CONCATENATE("Total ",E1," Resources Available")</f>
        <v>Total 2025 Resources Available</v>
      </c>
      <c r="I66" s="314"/>
      <c r="J66" s="430"/>
      <c r="K66" s="423" t="str">
        <f>IF(G65=E82,"","Note: Does not include Delinquent Taxes")</f>
        <v/>
      </c>
    </row>
    <row r="67" spans="2:11">
      <c r="B67" s="185"/>
      <c r="C67" s="288"/>
      <c r="D67" s="293"/>
      <c r="E67" s="47"/>
      <c r="G67" s="357"/>
      <c r="H67" s="355"/>
      <c r="I67" s="304"/>
      <c r="J67" s="430"/>
    </row>
    <row r="68" spans="2:11">
      <c r="B68" s="185"/>
      <c r="C68" s="288"/>
      <c r="D68" s="293"/>
      <c r="E68" s="47"/>
      <c r="G68" s="356">
        <f>ROUND(C75*0.05+C75,0)</f>
        <v>0</v>
      </c>
      <c r="H68" s="355" t="str">
        <f>CONCATENATE("Less ",E1-2," Expenditures + 5%")</f>
        <v>Less 2023 Expenditures + 5%</v>
      </c>
      <c r="I68" s="314"/>
      <c r="J68" s="430"/>
    </row>
    <row r="69" spans="2:11">
      <c r="B69" s="185"/>
      <c r="C69" s="288"/>
      <c r="D69" s="293"/>
      <c r="E69" s="47"/>
      <c r="G69" s="360">
        <f>G66-G68</f>
        <v>0</v>
      </c>
      <c r="H69" s="361" t="str">
        <f>CONCATENATE("Projected ",E1+1," carryover (est.)")</f>
        <v>Projected 2026 carryover (est.)</v>
      </c>
      <c r="I69" s="323"/>
      <c r="J69" s="452"/>
    </row>
    <row r="70" spans="2:11">
      <c r="B70" s="185"/>
      <c r="C70" s="288"/>
      <c r="D70" s="293"/>
      <c r="E70" s="47"/>
    </row>
    <row r="71" spans="2:11" ht="16.5" customHeight="1">
      <c r="B71" s="185"/>
      <c r="C71" s="288"/>
      <c r="D71" s="293"/>
      <c r="E71" s="47"/>
      <c r="G71" s="709" t="s">
        <v>395</v>
      </c>
      <c r="H71" s="710"/>
      <c r="I71" s="710"/>
      <c r="J71" s="711"/>
    </row>
    <row r="72" spans="2:11">
      <c r="B72" s="185"/>
      <c r="C72" s="288"/>
      <c r="D72" s="293"/>
      <c r="E72" s="47"/>
      <c r="G72" s="712"/>
      <c r="H72" s="713"/>
      <c r="I72" s="713"/>
      <c r="J72" s="714"/>
    </row>
    <row r="73" spans="2:11">
      <c r="B73" s="115" t="s">
        <v>363</v>
      </c>
      <c r="C73" s="331"/>
      <c r="D73" s="293"/>
      <c r="E73" s="47"/>
      <c r="F73" s="571"/>
      <c r="G73" s="429" t="str">
        <f>'Budget Hearing Notice'!H18</f>
        <v/>
      </c>
      <c r="H73" s="316" t="str">
        <f>CONCATENATE("",E1," Estimated Fund Mill Rate")</f>
        <v>2025 Estimated Fund Mill Rate</v>
      </c>
      <c r="I73" s="382"/>
      <c r="J73" s="383"/>
    </row>
    <row r="74" spans="2:11">
      <c r="B74" s="115" t="s">
        <v>374</v>
      </c>
      <c r="C74" s="269" t="str">
        <f>IF(C75*0.1&lt;C73,"Exceed 10% Rule","")</f>
        <v/>
      </c>
      <c r="D74" s="269" t="str">
        <f>IF(D75*0.1&lt;D73,"Exceed 10% Rule","")</f>
        <v/>
      </c>
      <c r="E74" s="278" t="str">
        <f>IF(E75*0.1&lt;E73,"Exceed 10% Rule","")</f>
        <v/>
      </c>
      <c r="F74" s="571"/>
      <c r="G74" s="485" t="str">
        <f>'Budget Hearing Notice'!E18</f>
        <v xml:space="preserve">  </v>
      </c>
      <c r="H74" s="316" t="str">
        <f>CONCATENATE("",E1-1," Fund Mill Rate")</f>
        <v>2024 Fund Mill Rate</v>
      </c>
      <c r="I74" s="382"/>
      <c r="J74" s="383"/>
    </row>
    <row r="75" spans="2:11">
      <c r="B75" s="190" t="s">
        <v>375</v>
      </c>
      <c r="C75" s="290">
        <f>SUM(C66:C73)</f>
        <v>0</v>
      </c>
      <c r="D75" s="290">
        <f>SUM(D66:D73)</f>
        <v>0</v>
      </c>
      <c r="E75" s="232">
        <f>SUM(E66:E73)</f>
        <v>0</v>
      </c>
      <c r="F75" s="571"/>
      <c r="G75" s="486">
        <f>inputOth!C20</f>
        <v>0</v>
      </c>
      <c r="H75" s="484" t="s">
        <v>377</v>
      </c>
      <c r="I75" s="382"/>
      <c r="J75" s="383"/>
    </row>
    <row r="76" spans="2:11">
      <c r="B76" s="558" t="s">
        <v>376</v>
      </c>
      <c r="C76" s="295">
        <f>C64-C75</f>
        <v>0</v>
      </c>
      <c r="D76" s="295">
        <f>D64-D75</f>
        <v>0</v>
      </c>
      <c r="E76" s="237" t="s">
        <v>173</v>
      </c>
      <c r="F76" s="571"/>
      <c r="G76" s="429">
        <f>'Budget Hearing Notice'!H31</f>
        <v>0</v>
      </c>
      <c r="H76" s="316" t="str">
        <f>CONCATENATE(E1," Estimated Total Mill Rate")</f>
        <v>2025 Estimated Total Mill Rate</v>
      </c>
      <c r="I76" s="382"/>
      <c r="J76" s="383"/>
    </row>
    <row r="77" spans="2:11">
      <c r="B77" s="120" t="str">
        <f>CONCATENATE("",E1-2,"/",E1-1,"/",E1," Budget Authority Amount:")</f>
        <v>2023/2024/2025 Budget Authority Amount:</v>
      </c>
      <c r="C77" s="280">
        <f>inputOth!B61</f>
        <v>0</v>
      </c>
      <c r="D77" s="280">
        <f>inputPrYr!D20</f>
        <v>0</v>
      </c>
      <c r="E77" s="113">
        <f>E75</f>
        <v>0</v>
      </c>
      <c r="F77" s="571"/>
      <c r="G77" s="485">
        <f>'Budget Hearing Notice'!E31</f>
        <v>0</v>
      </c>
      <c r="H77" s="316" t="str">
        <f>CONCATENATE(E1-1," Total Mill Rate")</f>
        <v>2024 Total Mill Rate</v>
      </c>
      <c r="I77" s="382"/>
      <c r="J77" s="383"/>
    </row>
    <row r="78" spans="2:11" ht="15.75" customHeight="1">
      <c r="B78" s="564"/>
      <c r="C78" s="684" t="s">
        <v>378</v>
      </c>
      <c r="D78" s="685"/>
      <c r="E78" s="47"/>
      <c r="F78" s="194"/>
      <c r="G78" s="715" t="s">
        <v>381</v>
      </c>
      <c r="H78" s="716"/>
      <c r="I78" s="716"/>
      <c r="J78" s="719" t="str">
        <f>IF(G76&gt;G75, "Yes", "No")</f>
        <v>No</v>
      </c>
    </row>
    <row r="79" spans="2:11" ht="15.75" customHeight="1">
      <c r="B79" s="281" t="str">
        <f>CONCATENATE(C100,"     ",D100)</f>
        <v xml:space="preserve">     </v>
      </c>
      <c r="C79" s="686" t="s">
        <v>379</v>
      </c>
      <c r="D79" s="687"/>
      <c r="E79" s="113">
        <f>E75+E78</f>
        <v>0</v>
      </c>
      <c r="F79" s="414" t="str">
        <f>IF(E75/0.95-E75&lt;E78,"Exceeds 5%","")</f>
        <v/>
      </c>
      <c r="G79" s="717"/>
      <c r="H79" s="718"/>
      <c r="I79" s="718"/>
      <c r="J79" s="720"/>
    </row>
    <row r="80" spans="2:11">
      <c r="B80" s="281" t="str">
        <f>CONCATENATE(C101,"     ",D101)</f>
        <v xml:space="preserve">     </v>
      </c>
      <c r="C80" s="195"/>
      <c r="D80" s="555" t="s">
        <v>380</v>
      </c>
      <c r="E80" s="54">
        <f>IF(E79-E64&gt;0,E79-E64,0)</f>
        <v>0</v>
      </c>
      <c r="F80" s="571"/>
      <c r="G80" s="676" t="str">
        <f>IF(J78="Yes", "Follow procedure prescribed by KSA 79-2988 to exceed the Revenue Neutral Rate", " ")</f>
        <v xml:space="preserve"> </v>
      </c>
      <c r="H80" s="676"/>
      <c r="I80" s="676"/>
      <c r="J80" s="676"/>
    </row>
    <row r="81" spans="2:10">
      <c r="B81" s="555"/>
      <c r="C81" s="563" t="s">
        <v>382</v>
      </c>
      <c r="D81" s="426">
        <f>inputOth!E45</f>
        <v>0</v>
      </c>
      <c r="E81" s="113">
        <f>ROUND(IF(E80&gt;0,(E80*D81),0),0)</f>
        <v>0</v>
      </c>
      <c r="F81" s="571"/>
      <c r="G81" s="676"/>
      <c r="H81" s="676"/>
      <c r="I81" s="676"/>
      <c r="J81" s="676"/>
    </row>
    <row r="82" spans="2:10" ht="16.5" thickBot="1">
      <c r="B82" s="36"/>
      <c r="C82" s="680" t="str">
        <f>CONCATENATE("Amount of  ",E1-1," Ad Valorem Tax")</f>
        <v>Amount of  2024 Ad Valorem Tax</v>
      </c>
      <c r="D82" s="681"/>
      <c r="E82" s="431">
        <f>E80+E81</f>
        <v>0</v>
      </c>
      <c r="F82" s="571"/>
      <c r="G82" s="676"/>
      <c r="H82" s="676"/>
      <c r="I82" s="676"/>
      <c r="J82" s="676"/>
    </row>
    <row r="83" spans="2:10" ht="16.5" thickTop="1">
      <c r="B83" s="36"/>
      <c r="C83" s="561"/>
      <c r="D83" s="680"/>
      <c r="E83" s="681"/>
      <c r="F83" s="415" t="str">
        <f>IF('Library Grant'!F32="","",IF('Library Grant'!F32="Qualify","Qualifies for State Library Grant","See 'Library Grant' tab"))</f>
        <v>Qualifies for State Library Grant</v>
      </c>
    </row>
    <row r="84" spans="2:10">
      <c r="B84" s="723" t="s">
        <v>383</v>
      </c>
      <c r="C84" s="724"/>
      <c r="D84" s="724"/>
      <c r="E84" s="725"/>
      <c r="F84" s="571"/>
    </row>
    <row r="85" spans="2:10">
      <c r="B85" s="726"/>
      <c r="C85" s="727"/>
      <c r="D85" s="727"/>
      <c r="E85" s="728"/>
    </row>
    <row r="86" spans="2:10">
      <c r="B86" s="729"/>
      <c r="C86" s="730"/>
      <c r="D86" s="730"/>
      <c r="E86" s="731"/>
    </row>
    <row r="87" spans="2:10">
      <c r="B87" s="555"/>
      <c r="C87" s="680"/>
      <c r="D87" s="681"/>
      <c r="E87" s="432"/>
    </row>
    <row r="88" spans="2:10">
      <c r="B88" s="555"/>
      <c r="C88" s="555"/>
      <c r="D88" s="555"/>
      <c r="E88" s="555"/>
    </row>
    <row r="89" spans="2:10">
      <c r="B89" s="555" t="s">
        <v>384</v>
      </c>
      <c r="C89" s="471"/>
      <c r="D89" s="555"/>
      <c r="E89" s="555"/>
    </row>
    <row r="93" spans="2:10">
      <c r="C93" s="37" t="s">
        <v>396</v>
      </c>
      <c r="D93" s="37" t="s">
        <v>396</v>
      </c>
    </row>
    <row r="94" spans="2:10">
      <c r="C94" s="37" t="s">
        <v>396</v>
      </c>
      <c r="D94" s="37" t="s">
        <v>396</v>
      </c>
    </row>
    <row r="95" spans="2:10" hidden="1"/>
    <row r="96" spans="2:10" hidden="1">
      <c r="C96" s="37" t="s">
        <v>396</v>
      </c>
      <c r="D96" s="37" t="s">
        <v>396</v>
      </c>
    </row>
    <row r="97" spans="3:4" hidden="1">
      <c r="C97" s="37" t="s">
        <v>396</v>
      </c>
      <c r="D97" s="37" t="s">
        <v>396</v>
      </c>
    </row>
    <row r="98" spans="3:4" hidden="1">
      <c r="C98" s="303" t="str">
        <f>IF(C34&gt;C36,"See Tab A","")</f>
        <v/>
      </c>
      <c r="D98" s="303" t="str">
        <f>IF(D34&gt;D36,"See Tab C","")</f>
        <v/>
      </c>
    </row>
    <row r="99" spans="3:4">
      <c r="C99" s="303" t="str">
        <f>IF(C35&lt;0,"See Tab B","")</f>
        <v/>
      </c>
      <c r="D99" s="303" t="str">
        <f>IF(D35&lt;0,"See Tab D","")</f>
        <v/>
      </c>
    </row>
    <row r="100" spans="3:4">
      <c r="C100" s="300" t="str">
        <f>IF(C75&gt;C77,"See Tab A","")</f>
        <v/>
      </c>
      <c r="D100" s="300" t="str">
        <f>IF(D75&gt;D77,"See Tab C","")</f>
        <v/>
      </c>
    </row>
    <row r="101" spans="3:4">
      <c r="C101" s="300" t="str">
        <f>IF(C76&lt;0,"See Tab B","")</f>
        <v/>
      </c>
      <c r="D101" s="300" t="str">
        <f>IF(D76&lt;0,"See Tab D","")</f>
        <v/>
      </c>
    </row>
  </sheetData>
  <sheetProtection sheet="1" objects="1" scenarios="1"/>
  <mergeCells count="22">
    <mergeCell ref="G13:J13"/>
    <mergeCell ref="G20:J20"/>
    <mergeCell ref="C87:D87"/>
    <mergeCell ref="C82:D82"/>
    <mergeCell ref="C78:D78"/>
    <mergeCell ref="C79:D79"/>
    <mergeCell ref="G54:J54"/>
    <mergeCell ref="G61:J61"/>
    <mergeCell ref="D83:E83"/>
    <mergeCell ref="B84:E86"/>
    <mergeCell ref="C42:D42"/>
    <mergeCell ref="C37:D37"/>
    <mergeCell ref="C38:D38"/>
    <mergeCell ref="C41:D41"/>
    <mergeCell ref="G37:I38"/>
    <mergeCell ref="J37:J38"/>
    <mergeCell ref="G39:J41"/>
    <mergeCell ref="G80:J82"/>
    <mergeCell ref="G30:J31"/>
    <mergeCell ref="G71:J72"/>
    <mergeCell ref="G78:I79"/>
    <mergeCell ref="J78:J79"/>
  </mergeCells>
  <phoneticPr fontId="9" type="noConversion"/>
  <conditionalFormatting sqref="C20 C61:E61">
    <cfRule type="cellIs" dxfId="130" priority="9" stopIfTrue="1" operator="greaterThan">
      <formula>$C$22*0.1</formula>
    </cfRule>
  </conditionalFormatting>
  <conditionalFormatting sqref="C32">
    <cfRule type="cellIs" dxfId="129" priority="12" stopIfTrue="1" operator="greaterThan">
      <formula>$C$34*0.1</formula>
    </cfRule>
  </conditionalFormatting>
  <conditionalFormatting sqref="C34">
    <cfRule type="cellIs" dxfId="128" priority="14" stopIfTrue="1" operator="greaterThan">
      <formula>$C$36</formula>
    </cfRule>
  </conditionalFormatting>
  <conditionalFormatting sqref="C73">
    <cfRule type="cellIs" dxfId="127" priority="5" stopIfTrue="1" operator="greaterThan">
      <formula>$C$75*0.1</formula>
    </cfRule>
  </conditionalFormatting>
  <conditionalFormatting sqref="C75">
    <cfRule type="cellIs" dxfId="126" priority="20" stopIfTrue="1" operator="greaterThan">
      <formula>$C$77</formula>
    </cfRule>
  </conditionalFormatting>
  <conditionalFormatting sqref="C35:D35 C76:D76">
    <cfRule type="cellIs" dxfId="125" priority="19" stopIfTrue="1" operator="lessThan">
      <formula>0</formula>
    </cfRule>
  </conditionalFormatting>
  <conditionalFormatting sqref="D20">
    <cfRule type="cellIs" dxfId="124" priority="8" stopIfTrue="1" operator="greaterThan">
      <formula>$D$22*0.1</formula>
    </cfRule>
  </conditionalFormatting>
  <conditionalFormatting sqref="D32">
    <cfRule type="cellIs" dxfId="123" priority="11" stopIfTrue="1" operator="greaterThan">
      <formula>$D$34*0.1</formula>
    </cfRule>
  </conditionalFormatting>
  <conditionalFormatting sqref="D34">
    <cfRule type="cellIs" dxfId="122" priority="13" stopIfTrue="1" operator="greaterThan">
      <formula>$D$36</formula>
    </cfRule>
  </conditionalFormatting>
  <conditionalFormatting sqref="D73">
    <cfRule type="cellIs" dxfId="121" priority="4" stopIfTrue="1" operator="greaterThan">
      <formula>$D$75*0.1</formula>
    </cfRule>
  </conditionalFormatting>
  <conditionalFormatting sqref="D75">
    <cfRule type="cellIs" dxfId="120" priority="18" stopIfTrue="1" operator="greaterThan">
      <formula>$D$77</formula>
    </cfRule>
  </conditionalFormatting>
  <conditionalFormatting sqref="E20">
    <cfRule type="cellIs" dxfId="119" priority="26" stopIfTrue="1" operator="greaterThan">
      <formula>$E$22*0.1+$E$41</formula>
    </cfRule>
  </conditionalFormatting>
  <conditionalFormatting sqref="E32">
    <cfRule type="cellIs" dxfId="118" priority="10" stopIfTrue="1" operator="greaterThan">
      <formula>$E$34*0.1</formula>
    </cfRule>
  </conditionalFormatting>
  <conditionalFormatting sqref="E73">
    <cfRule type="cellIs" dxfId="117" priority="3" stopIfTrue="1" operator="greaterThan">
      <formula>$E$75*0.1</formula>
    </cfRule>
  </conditionalFormatting>
  <conditionalFormatting sqref="J37:J38">
    <cfRule type="containsText" dxfId="116" priority="2" operator="containsText" text="Yes">
      <formula>NOT(ISERROR(SEARCH("Yes",J37)))</formula>
    </cfRule>
  </conditionalFormatting>
  <conditionalFormatting sqref="J78:J79">
    <cfRule type="containsText" dxfId="115" priority="1" operator="containsText" text="Yes">
      <formula>NOT(ISERROR(SEARCH("Yes",J78)))</formula>
    </cfRule>
  </conditionalFormatting>
  <pageMargins left="0.75" right="0.75" top="1" bottom="1" header="0.5" footer="0.5"/>
  <pageSetup scale="49" orientation="portrait" blackAndWhite="1" r:id="rId1"/>
  <headerFooter alignWithMargins="0">
    <oddHeader>&amp;RState of Kansas
City</oddHeader>
  </headerFooter>
  <ignoredErrors>
    <ignoredError sqref="D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B1:K102"/>
  <sheetViews>
    <sheetView zoomScaleNormal="100" workbookViewId="0">
      <selection activeCell="B10" sqref="B10"/>
    </sheetView>
  </sheetViews>
  <sheetFormatPr defaultColWidth="8.88671875" defaultRowHeight="15.75"/>
  <cols>
    <col min="1" max="1" width="2.44140625" style="37" customWidth="1"/>
    <col min="2" max="2" width="31.109375" style="37" customWidth="1"/>
    <col min="3" max="4" width="15.77734375" style="37" customWidth="1"/>
    <col min="5" max="5" width="16.21875" style="37" customWidth="1"/>
    <col min="6" max="6" width="8.88671875" style="37"/>
    <col min="7" max="7" width="10.21875" style="37" customWidth="1"/>
    <col min="8" max="8" width="8.88671875" style="37"/>
    <col min="9" max="9" width="5.5546875" style="37" customWidth="1"/>
    <col min="10" max="10" width="10" style="37" customWidth="1"/>
    <col min="11" max="16384" width="8.88671875" style="37"/>
  </cols>
  <sheetData>
    <row r="1" spans="2:10">
      <c r="B1" s="75">
        <f>(inputPrYr!D3)</f>
        <v>0</v>
      </c>
      <c r="C1" s="75"/>
      <c r="D1" s="36"/>
      <c r="E1" s="91">
        <f>inputPrYr!$C$6</f>
        <v>2025</v>
      </c>
    </row>
    <row r="2" spans="2:10">
      <c r="B2" s="36"/>
      <c r="C2" s="36"/>
      <c r="D2" s="36"/>
      <c r="E2" s="555"/>
    </row>
    <row r="3" spans="2:10">
      <c r="B3" s="45" t="s">
        <v>339</v>
      </c>
      <c r="C3" s="45"/>
      <c r="D3" s="177"/>
      <c r="E3" s="93"/>
    </row>
    <row r="4" spans="2:10">
      <c r="B4" s="39" t="s">
        <v>161</v>
      </c>
      <c r="C4" s="433" t="s">
        <v>340</v>
      </c>
      <c r="D4" s="434" t="s">
        <v>341</v>
      </c>
      <c r="E4" s="103" t="s">
        <v>342</v>
      </c>
    </row>
    <row r="5" spans="2:10">
      <c r="B5" s="297">
        <f>(inputPrYr!B22)</f>
        <v>0</v>
      </c>
      <c r="C5" s="149" t="str">
        <f>CONCATENATE("Actual for ",$E$1-2,"")</f>
        <v>Actual for 2023</v>
      </c>
      <c r="D5" s="560" t="str">
        <f>CONCATENATE("Estimate for ",$E$1-1,"")</f>
        <v>Estimate for 2024</v>
      </c>
      <c r="E5" s="134" t="str">
        <f>CONCATENATE("Year for ",$E$1,"")</f>
        <v>Year for 2025</v>
      </c>
    </row>
    <row r="6" spans="2:10">
      <c r="B6" s="558" t="s">
        <v>343</v>
      </c>
      <c r="C6" s="292"/>
      <c r="D6" s="291">
        <f>C35</f>
        <v>0</v>
      </c>
      <c r="E6" s="113">
        <f>D35</f>
        <v>0</v>
      </c>
    </row>
    <row r="7" spans="2:10">
      <c r="B7" s="558" t="s">
        <v>344</v>
      </c>
      <c r="C7" s="114"/>
      <c r="D7" s="291"/>
      <c r="E7" s="113"/>
    </row>
    <row r="8" spans="2:10">
      <c r="B8" s="558" t="s">
        <v>345</v>
      </c>
      <c r="C8" s="288"/>
      <c r="D8" s="291">
        <f>IF(inputPrYr!H21&gt;0,inputPrYr!G26,inputPrYr!E22)</f>
        <v>0</v>
      </c>
      <c r="E8" s="237" t="s">
        <v>173</v>
      </c>
    </row>
    <row r="9" spans="2:10">
      <c r="B9" s="558" t="s">
        <v>346</v>
      </c>
      <c r="C9" s="288"/>
      <c r="D9" s="293"/>
      <c r="E9" s="47"/>
    </row>
    <row r="10" spans="2:10">
      <c r="B10" s="558" t="s">
        <v>347</v>
      </c>
      <c r="C10" s="288"/>
      <c r="D10" s="293"/>
      <c r="E10" s="113" t="str">
        <f>Mvalloc!D12</f>
        <v xml:space="preserve">  </v>
      </c>
    </row>
    <row r="11" spans="2:10">
      <c r="B11" s="558" t="s">
        <v>348</v>
      </c>
      <c r="C11" s="288"/>
      <c r="D11" s="293"/>
      <c r="E11" s="113" t="str">
        <f>Mvalloc!E12</f>
        <v xml:space="preserve">  </v>
      </c>
    </row>
    <row r="12" spans="2:10">
      <c r="B12" s="115" t="s">
        <v>349</v>
      </c>
      <c r="C12" s="288"/>
      <c r="D12" s="293"/>
      <c r="E12" s="113" t="str">
        <f>Mvalloc!F12</f>
        <v xml:space="preserve">  </v>
      </c>
    </row>
    <row r="13" spans="2:10">
      <c r="B13" s="114" t="s">
        <v>350</v>
      </c>
      <c r="C13" s="288"/>
      <c r="D13" s="293"/>
      <c r="E13" s="113" t="str">
        <f>Mvalloc!G12</f>
        <v xml:space="preserve">  </v>
      </c>
      <c r="G13" s="677" t="str">
        <f>CONCATENATE("Desired Carryover Into ",E1+1,"")</f>
        <v>Desired Carryover Into 2026</v>
      </c>
      <c r="H13" s="678"/>
      <c r="I13" s="678"/>
      <c r="J13" s="679"/>
    </row>
    <row r="14" spans="2:10">
      <c r="B14" s="114" t="s">
        <v>351</v>
      </c>
      <c r="C14" s="288"/>
      <c r="D14" s="293"/>
      <c r="E14" s="113" t="str">
        <f>Mvalloc!H12</f>
        <v xml:space="preserve">  </v>
      </c>
      <c r="G14" s="352"/>
      <c r="H14" s="304"/>
      <c r="I14" s="318"/>
      <c r="J14" s="353"/>
    </row>
    <row r="15" spans="2:10">
      <c r="B15" s="185"/>
      <c r="C15" s="288"/>
      <c r="D15" s="293"/>
      <c r="E15" s="241"/>
      <c r="G15" s="324" t="s">
        <v>370</v>
      </c>
      <c r="H15" s="318"/>
      <c r="I15" s="318"/>
      <c r="J15" s="312">
        <v>0</v>
      </c>
    </row>
    <row r="16" spans="2:10">
      <c r="B16" s="185"/>
      <c r="C16" s="288"/>
      <c r="D16" s="293"/>
      <c r="E16" s="47"/>
      <c r="G16" s="352" t="s">
        <v>371</v>
      </c>
      <c r="H16" s="304"/>
      <c r="I16" s="304"/>
      <c r="J16" s="418" t="str">
        <f>IF(J15=0,"",ROUND((J15+E41-G28)/inputOth!E7*1000,3)-G33)</f>
        <v/>
      </c>
    </row>
    <row r="17" spans="2:11">
      <c r="B17" s="185"/>
      <c r="C17" s="288"/>
      <c r="D17" s="293"/>
      <c r="E17" s="47"/>
      <c r="G17" s="387" t="str">
        <f>CONCATENATE("",E1," Tot Exp/Non-Appr Must Be:")</f>
        <v>2025 Tot Exp/Non-Appr Must Be:</v>
      </c>
      <c r="H17" s="384"/>
      <c r="I17" s="385"/>
      <c r="J17" s="381">
        <f>IF(J15&gt;0,IF(E38&lt;E23,IF(J15=G28,E39,((J15-G28)*(1-D40))+E23),E39+(J15-G28)),0)</f>
        <v>0</v>
      </c>
    </row>
    <row r="18" spans="2:11">
      <c r="B18" s="229" t="s">
        <v>361</v>
      </c>
      <c r="C18" s="288"/>
      <c r="D18" s="293"/>
      <c r="E18" s="47"/>
      <c r="G18" s="416" t="s">
        <v>372</v>
      </c>
      <c r="H18" s="421"/>
      <c r="I18" s="421"/>
      <c r="J18" s="388">
        <f>IF(J15&gt;0,J17-E39,0)</f>
        <v>0</v>
      </c>
    </row>
    <row r="19" spans="2:11">
      <c r="B19" s="235" t="s">
        <v>362</v>
      </c>
      <c r="C19" s="288"/>
      <c r="D19" s="293"/>
      <c r="E19" s="280">
        <f>'NR Rebate'!E10*-1</f>
        <v>0</v>
      </c>
      <c r="J19" s="2"/>
    </row>
    <row r="20" spans="2:11">
      <c r="B20" s="558" t="s">
        <v>363</v>
      </c>
      <c r="C20" s="288"/>
      <c r="D20" s="293"/>
      <c r="E20" s="47"/>
      <c r="G20" s="677" t="str">
        <f>CONCATENATE("Projected Carryover Into ",E1+1,"")</f>
        <v>Projected Carryover Into 2026</v>
      </c>
      <c r="H20" s="721"/>
      <c r="I20" s="721"/>
      <c r="J20" s="798"/>
    </row>
    <row r="21" spans="2:11">
      <c r="B21" s="558" t="s">
        <v>364</v>
      </c>
      <c r="C21" s="289" t="str">
        <f>IF(C22*0.1&lt;C20,"Exceed 10% Rule","")</f>
        <v/>
      </c>
      <c r="D21" s="299" t="str">
        <f>IF(D22*0.1&lt;D20,"Exceed 10% Rule","")</f>
        <v/>
      </c>
      <c r="E21" s="230" t="str">
        <f>IF(E22*0.1+E41&lt;E20,"Exceed 10% Rule","")</f>
        <v/>
      </c>
      <c r="G21" s="352"/>
      <c r="H21" s="318"/>
      <c r="I21" s="318"/>
      <c r="J21" s="430"/>
    </row>
    <row r="22" spans="2:11">
      <c r="B22" s="190" t="s">
        <v>365</v>
      </c>
      <c r="C22" s="294">
        <f>SUM(C8:C20)</f>
        <v>0</v>
      </c>
      <c r="D22" s="294">
        <f>SUM(D8:D20)</f>
        <v>0</v>
      </c>
      <c r="E22" s="238">
        <f>SUM(E8:E20)</f>
        <v>0</v>
      </c>
      <c r="G22" s="315">
        <f>D35</f>
        <v>0</v>
      </c>
      <c r="H22" s="316" t="str">
        <f>CONCATENATE("",E1-1," Ending Cash Balance (est.)")</f>
        <v>2024 Ending Cash Balance (est.)</v>
      </c>
      <c r="I22" s="317"/>
      <c r="J22" s="430"/>
    </row>
    <row r="23" spans="2:11">
      <c r="B23" s="190" t="s">
        <v>366</v>
      </c>
      <c r="C23" s="294">
        <f>C6+C22</f>
        <v>0</v>
      </c>
      <c r="D23" s="294">
        <f>D6+D22</f>
        <v>0</v>
      </c>
      <c r="E23" s="238">
        <f>E6+E22</f>
        <v>0</v>
      </c>
      <c r="G23" s="315">
        <f>E22</f>
        <v>0</v>
      </c>
      <c r="H23" s="318" t="str">
        <f>CONCATENATE("",E1," Non-AV Receipts (est.)")</f>
        <v>2025 Non-AV Receipts (est.)</v>
      </c>
      <c r="I23" s="317"/>
      <c r="J23" s="430"/>
    </row>
    <row r="24" spans="2:11">
      <c r="B24" s="558" t="s">
        <v>367</v>
      </c>
      <c r="C24" s="558"/>
      <c r="D24" s="291"/>
      <c r="E24" s="113"/>
      <c r="G24" s="319">
        <f>IF(E40&gt;0,E39,E41)</f>
        <v>0</v>
      </c>
      <c r="H24" s="318" t="str">
        <f>CONCATENATE("",E1," Ad Valorem Tax (est.)")</f>
        <v>2025 Ad Valorem Tax (est.)</v>
      </c>
      <c r="I24" s="317"/>
      <c r="J24" s="453"/>
      <c r="K24" s="423" t="str">
        <f>IF(G24=E41,"","Note: Does not include Delinquent Taxes")</f>
        <v/>
      </c>
    </row>
    <row r="25" spans="2:11">
      <c r="B25" s="185"/>
      <c r="C25" s="288"/>
      <c r="D25" s="293"/>
      <c r="E25" s="47"/>
      <c r="G25" s="315">
        <f>SUM(G22:G24)</f>
        <v>0</v>
      </c>
      <c r="H25" s="318" t="str">
        <f>CONCATENATE("Total ",E1," Resources Available")</f>
        <v>Total 2025 Resources Available</v>
      </c>
      <c r="I25" s="317"/>
      <c r="J25" s="430"/>
    </row>
    <row r="26" spans="2:11">
      <c r="B26" s="185"/>
      <c r="C26" s="288"/>
      <c r="D26" s="293"/>
      <c r="E26" s="47"/>
      <c r="G26" s="320"/>
      <c r="H26" s="318"/>
      <c r="I26" s="318"/>
      <c r="J26" s="430"/>
    </row>
    <row r="27" spans="2:11">
      <c r="B27" s="185"/>
      <c r="C27" s="288"/>
      <c r="D27" s="293"/>
      <c r="E27" s="47"/>
      <c r="G27" s="319">
        <f>ROUND(C34*0.05+C34,0)</f>
        <v>0</v>
      </c>
      <c r="H27" s="318" t="str">
        <f>CONCATENATE("Less ",E1-2," Expenditures + 5%")</f>
        <v>Less 2023 Expenditures + 5%</v>
      </c>
      <c r="I27" s="317"/>
      <c r="J27" s="430"/>
    </row>
    <row r="28" spans="2:11">
      <c r="B28" s="185"/>
      <c r="C28" s="288"/>
      <c r="D28" s="293"/>
      <c r="E28" s="47"/>
      <c r="G28" s="419">
        <f>G25-G27</f>
        <v>0</v>
      </c>
      <c r="H28" s="420" t="str">
        <f>CONCATENATE("Projected ",E1+1," carryover (est.)")</f>
        <v>Projected 2026 carryover (est.)</v>
      </c>
      <c r="I28" s="322"/>
      <c r="J28" s="452"/>
    </row>
    <row r="29" spans="2:11">
      <c r="B29" s="185"/>
      <c r="C29" s="288"/>
      <c r="D29" s="293"/>
      <c r="E29" s="47"/>
      <c r="G29" s="2"/>
      <c r="H29" s="2"/>
      <c r="I29" s="2"/>
      <c r="J29" s="2"/>
    </row>
    <row r="30" spans="2:11">
      <c r="B30" s="185"/>
      <c r="C30" s="288"/>
      <c r="D30" s="293"/>
      <c r="E30" s="47"/>
      <c r="G30" s="697" t="s">
        <v>395</v>
      </c>
      <c r="H30" s="736"/>
      <c r="I30" s="736"/>
      <c r="J30" s="737"/>
    </row>
    <row r="31" spans="2:11">
      <c r="B31" s="477" t="str">
        <f>CONCATENATE("Cash Reserve (",E1," column)")</f>
        <v>Cash Reserve (2025 column)</v>
      </c>
      <c r="C31" s="288"/>
      <c r="D31" s="293"/>
      <c r="E31" s="47"/>
      <c r="G31" s="738"/>
      <c r="H31" s="739"/>
      <c r="I31" s="739"/>
      <c r="J31" s="740"/>
    </row>
    <row r="32" spans="2:11">
      <c r="B32" s="235" t="s">
        <v>363</v>
      </c>
      <c r="C32" s="288"/>
      <c r="D32" s="293"/>
      <c r="E32" s="47"/>
      <c r="G32" s="429" t="str">
        <f>'Budget Hearing Notice'!H19</f>
        <v xml:space="preserve">  </v>
      </c>
      <c r="H32" s="316" t="str">
        <f>CONCATENATE("",E1," Estimated Fund Mill Rate")</f>
        <v>2025 Estimated Fund Mill Rate</v>
      </c>
      <c r="I32" s="382"/>
      <c r="J32" s="383"/>
    </row>
    <row r="33" spans="2:10">
      <c r="B33" s="235" t="s">
        <v>394</v>
      </c>
      <c r="C33" s="269" t="str">
        <f>IF(C34*0.1&lt;C32,"Exceed 10% Rule","")</f>
        <v/>
      </c>
      <c r="D33" s="278" t="str">
        <f>IF(D34*0.1&lt;D32,"Exceed 10% Rule","")</f>
        <v/>
      </c>
      <c r="E33" s="189" t="str">
        <f>IF(E34*0.1&lt;E32,"Exceed 10% Rule","")</f>
        <v/>
      </c>
      <c r="G33" s="485" t="str">
        <f>'Budget Hearing Notice'!E19</f>
        <v xml:space="preserve">  </v>
      </c>
      <c r="H33" s="316" t="str">
        <f>CONCATENATE("",E1-1," Fund Mill Rate")</f>
        <v>2024 Fund Mill Rate</v>
      </c>
      <c r="I33" s="382"/>
      <c r="J33" s="383"/>
    </row>
    <row r="34" spans="2:10">
      <c r="B34" s="190" t="s">
        <v>375</v>
      </c>
      <c r="C34" s="290">
        <f>SUM(C25:C32)</f>
        <v>0</v>
      </c>
      <c r="D34" s="290">
        <f>SUM(D25:D32)</f>
        <v>0</v>
      </c>
      <c r="E34" s="232">
        <f>SUM(E25:E32)</f>
        <v>0</v>
      </c>
      <c r="G34" s="486">
        <f>inputOth!C20</f>
        <v>0</v>
      </c>
      <c r="H34" s="484" t="s">
        <v>377</v>
      </c>
      <c r="I34" s="382"/>
      <c r="J34" s="489"/>
    </row>
    <row r="35" spans="2:10">
      <c r="B35" s="558" t="s">
        <v>376</v>
      </c>
      <c r="C35" s="295">
        <f>C23-C34</f>
        <v>0</v>
      </c>
      <c r="D35" s="295">
        <f>D23-D34</f>
        <v>0</v>
      </c>
      <c r="E35" s="237" t="s">
        <v>173</v>
      </c>
      <c r="G35" s="429">
        <f>'Budget Hearing Notice'!H31</f>
        <v>0</v>
      </c>
      <c r="H35" s="316" t="str">
        <f>CONCATENATE(E1," Estimated Total Mill Rate")</f>
        <v>2025 Estimated Total Mill Rate</v>
      </c>
      <c r="I35" s="382"/>
      <c r="J35" s="383"/>
    </row>
    <row r="36" spans="2:10">
      <c r="B36" s="120" t="str">
        <f>CONCATENATE("",E1-2,"/",E1-1,"/",E1," Budget Authority Amount:")</f>
        <v>2023/2024/2025 Budget Authority Amount:</v>
      </c>
      <c r="C36" s="274">
        <f>inputOth!B62</f>
        <v>0</v>
      </c>
      <c r="D36" s="280">
        <f>inputPrYr!D22</f>
        <v>0</v>
      </c>
      <c r="E36" s="113">
        <f>E34</f>
        <v>0</v>
      </c>
      <c r="F36" s="194"/>
      <c r="G36" s="485">
        <f>'Budget Hearing Notice'!E31</f>
        <v>0</v>
      </c>
      <c r="H36" s="316" t="str">
        <f>CONCATENATE(E1-1," Total Mill Rate")</f>
        <v>2024 Total Mill Rate</v>
      </c>
      <c r="I36" s="382"/>
      <c r="J36" s="383"/>
    </row>
    <row r="37" spans="2:10">
      <c r="B37" s="564"/>
      <c r="C37" s="684" t="s">
        <v>378</v>
      </c>
      <c r="D37" s="685"/>
      <c r="E37" s="47"/>
      <c r="F37" s="194" t="str">
        <f>IF(E34/0.95-E34&lt;E37,"Exceeds 5%","")</f>
        <v/>
      </c>
      <c r="G37" s="715" t="s">
        <v>381</v>
      </c>
      <c r="H37" s="716"/>
      <c r="I37" s="716"/>
      <c r="J37" s="719" t="str">
        <f>IF(G35&gt;G34, "Yes", "No")</f>
        <v>No</v>
      </c>
    </row>
    <row r="38" spans="2:10" ht="15.75" customHeight="1">
      <c r="B38" s="281" t="str">
        <f>CONCATENATE(C99,"     ",D99)</f>
        <v xml:space="preserve">     </v>
      </c>
      <c r="C38" s="686" t="s">
        <v>379</v>
      </c>
      <c r="D38" s="687"/>
      <c r="E38" s="113">
        <f>E34+E37</f>
        <v>0</v>
      </c>
      <c r="G38" s="717"/>
      <c r="H38" s="718"/>
      <c r="I38" s="718"/>
      <c r="J38" s="720"/>
    </row>
    <row r="39" spans="2:10" ht="15.75" customHeight="1">
      <c r="B39" s="281" t="str">
        <f>CONCATENATE(C100,"     ",D100)</f>
        <v xml:space="preserve">     </v>
      </c>
      <c r="C39" s="195"/>
      <c r="D39" s="555" t="s">
        <v>380</v>
      </c>
      <c r="E39" s="54">
        <f>IF(E38-E23&gt;0,E38-E23,0)</f>
        <v>0</v>
      </c>
      <c r="G39" s="675" t="str">
        <f>IF(J37="Yes", "Follow procedure prescribed by KSA 79-2988 to exceed the Revenue Neutral Rate.", " ")</f>
        <v xml:space="preserve"> </v>
      </c>
      <c r="H39" s="675"/>
      <c r="I39" s="675"/>
      <c r="J39" s="675"/>
    </row>
    <row r="40" spans="2:10">
      <c r="B40" s="555"/>
      <c r="C40" s="563" t="s">
        <v>382</v>
      </c>
      <c r="D40" s="426">
        <f>inputOth!E45</f>
        <v>0</v>
      </c>
      <c r="E40" s="113">
        <f>ROUND(IF(D40&gt;0,(E39*D40),0),0)</f>
        <v>0</v>
      </c>
      <c r="G40" s="676"/>
      <c r="H40" s="676"/>
      <c r="I40" s="676"/>
      <c r="J40" s="676"/>
    </row>
    <row r="41" spans="2:10" ht="16.5" thickBot="1">
      <c r="B41" s="36"/>
      <c r="C41" s="680" t="str">
        <f>CONCATENATE("Amount of  ",E1-1," Ad Valorem Tax")</f>
        <v>Amount of  2024 Ad Valorem Tax</v>
      </c>
      <c r="D41" s="681"/>
      <c r="E41" s="431">
        <f>E39+E40</f>
        <v>0</v>
      </c>
      <c r="G41" s="676"/>
      <c r="H41" s="676"/>
      <c r="I41" s="676"/>
      <c r="J41" s="676"/>
    </row>
    <row r="42" spans="2:10" ht="16.5" thickTop="1">
      <c r="B42" s="36"/>
      <c r="C42" s="680"/>
      <c r="D42" s="681"/>
      <c r="E42" s="36"/>
    </row>
    <row r="43" spans="2:10">
      <c r="B43" s="36"/>
      <c r="C43" s="561"/>
      <c r="D43" s="36"/>
      <c r="E43" s="36"/>
    </row>
    <row r="44" spans="2:10">
      <c r="B44" s="39" t="s">
        <v>161</v>
      </c>
      <c r="C44" s="39"/>
      <c r="D44" s="177"/>
      <c r="E44" s="177"/>
    </row>
    <row r="45" spans="2:10">
      <c r="B45" s="36"/>
      <c r="C45" s="433" t="s">
        <v>340</v>
      </c>
      <c r="D45" s="434" t="s">
        <v>341</v>
      </c>
      <c r="E45" s="103" t="s">
        <v>342</v>
      </c>
    </row>
    <row r="46" spans="2:10">
      <c r="B46" s="298">
        <f>(inputPrYr!B23)</f>
        <v>0</v>
      </c>
      <c r="C46" s="149" t="str">
        <f>CONCATENATE("Actual for ",$E$1-2,"")</f>
        <v>Actual for 2023</v>
      </c>
      <c r="D46" s="560" t="str">
        <f>CONCATENATE("Estimate for ",$E$1-1,"")</f>
        <v>Estimate for 2024</v>
      </c>
      <c r="E46" s="134" t="str">
        <f>CONCATENATE("Year for ",$E$1,"")</f>
        <v>Year for 2025</v>
      </c>
    </row>
    <row r="47" spans="2:10">
      <c r="B47" s="558" t="s">
        <v>343</v>
      </c>
      <c r="C47" s="288"/>
      <c r="D47" s="291">
        <f>C76</f>
        <v>0</v>
      </c>
      <c r="E47" s="113">
        <f>D76</f>
        <v>0</v>
      </c>
    </row>
    <row r="48" spans="2:10">
      <c r="B48" s="179" t="s">
        <v>344</v>
      </c>
      <c r="C48" s="558"/>
      <c r="D48" s="291"/>
      <c r="E48" s="113"/>
    </row>
    <row r="49" spans="2:10">
      <c r="B49" s="558" t="s">
        <v>345</v>
      </c>
      <c r="C49" s="288"/>
      <c r="D49" s="291">
        <f>IF(inputPrYr!H21&gt;0,inputPrYr!G27,inputPrYr!E23)</f>
        <v>0</v>
      </c>
      <c r="E49" s="237" t="s">
        <v>173</v>
      </c>
    </row>
    <row r="50" spans="2:10">
      <c r="B50" s="558" t="s">
        <v>346</v>
      </c>
      <c r="C50" s="288"/>
      <c r="D50" s="293"/>
      <c r="E50" s="47"/>
    </row>
    <row r="51" spans="2:10">
      <c r="B51" s="558" t="s">
        <v>347</v>
      </c>
      <c r="C51" s="288"/>
      <c r="D51" s="293"/>
      <c r="E51" s="113" t="str">
        <f>Mvalloc!D13</f>
        <v xml:space="preserve">  </v>
      </c>
    </row>
    <row r="52" spans="2:10">
      <c r="B52" s="558" t="s">
        <v>348</v>
      </c>
      <c r="C52" s="288"/>
      <c r="D52" s="293"/>
      <c r="E52" s="113" t="str">
        <f>Mvalloc!E13</f>
        <v xml:space="preserve">  </v>
      </c>
    </row>
    <row r="53" spans="2:10">
      <c r="B53" s="115" t="s">
        <v>349</v>
      </c>
      <c r="C53" s="288"/>
      <c r="D53" s="293"/>
      <c r="E53" s="113" t="str">
        <f>Mvalloc!F13</f>
        <v xml:space="preserve">  </v>
      </c>
    </row>
    <row r="54" spans="2:10">
      <c r="B54" s="114" t="s">
        <v>350</v>
      </c>
      <c r="C54" s="288"/>
      <c r="D54" s="293"/>
      <c r="E54" s="113" t="str">
        <f>Mvalloc!G13</f>
        <v xml:space="preserve">  </v>
      </c>
      <c r="G54" s="677" t="str">
        <f>CONCATENATE("Desired Carryover Into ",E1+1,"")</f>
        <v>Desired Carryover Into 2026</v>
      </c>
      <c r="H54" s="678"/>
      <c r="I54" s="678"/>
      <c r="J54" s="679"/>
    </row>
    <row r="55" spans="2:10">
      <c r="B55" s="114" t="s">
        <v>351</v>
      </c>
      <c r="C55" s="288"/>
      <c r="D55" s="293"/>
      <c r="E55" s="113" t="str">
        <f>Mvalloc!H13</f>
        <v xml:space="preserve">  </v>
      </c>
      <c r="G55" s="352"/>
      <c r="H55" s="304"/>
      <c r="I55" s="318"/>
      <c r="J55" s="353"/>
    </row>
    <row r="56" spans="2:10">
      <c r="B56" s="185"/>
      <c r="C56" s="288"/>
      <c r="D56" s="293"/>
      <c r="E56" s="241"/>
      <c r="G56" s="324" t="s">
        <v>370</v>
      </c>
      <c r="H56" s="318"/>
      <c r="I56" s="318"/>
      <c r="J56" s="312">
        <v>0</v>
      </c>
    </row>
    <row r="57" spans="2:10">
      <c r="B57" s="185"/>
      <c r="C57" s="288"/>
      <c r="D57" s="293"/>
      <c r="E57" s="241"/>
      <c r="G57" s="352" t="s">
        <v>371</v>
      </c>
      <c r="H57" s="304"/>
      <c r="I57" s="304"/>
      <c r="J57" s="418" t="str">
        <f>IF(J56=0,"",ROUND((J56+E82-G69)/inputOth!E7*1000,3)-G74)</f>
        <v/>
      </c>
    </row>
    <row r="58" spans="2:10">
      <c r="B58" s="185"/>
      <c r="C58" s="288"/>
      <c r="D58" s="293"/>
      <c r="E58" s="47"/>
      <c r="G58" s="387" t="str">
        <f>CONCATENATE("",E1," Tot Exp/Non-Appr Must Be:")</f>
        <v>2025 Tot Exp/Non-Appr Must Be:</v>
      </c>
      <c r="H58" s="384"/>
      <c r="I58" s="385"/>
      <c r="J58" s="381">
        <f>IF(J56&gt;0,IF(E79&lt;E64,IF(J56=G69,E79,((J56-G69)*(1-D81))+E64),E79+(J56-G69)),0)</f>
        <v>0</v>
      </c>
    </row>
    <row r="59" spans="2:10">
      <c r="B59" s="229" t="s">
        <v>361</v>
      </c>
      <c r="C59" s="288"/>
      <c r="D59" s="293"/>
      <c r="E59" s="47"/>
      <c r="G59" s="416" t="s">
        <v>372</v>
      </c>
      <c r="H59" s="421"/>
      <c r="I59" s="421"/>
      <c r="J59" s="388">
        <f>IF(J56&gt;0,J58-E79,0)</f>
        <v>0</v>
      </c>
    </row>
    <row r="60" spans="2:10">
      <c r="B60" s="115" t="s">
        <v>362</v>
      </c>
      <c r="C60" s="288"/>
      <c r="D60" s="293"/>
      <c r="E60" s="280">
        <f>'NR Rebate'!E11*-1</f>
        <v>0</v>
      </c>
      <c r="J60" s="2"/>
    </row>
    <row r="61" spans="2:10">
      <c r="B61" s="558" t="s">
        <v>363</v>
      </c>
      <c r="C61" s="288"/>
      <c r="D61" s="293"/>
      <c r="E61" s="47"/>
      <c r="G61" s="677" t="str">
        <f>CONCATENATE("Projected Carryover Into ",E1+1,"")</f>
        <v>Projected Carryover Into 2026</v>
      </c>
      <c r="H61" s="722"/>
      <c r="I61" s="722"/>
      <c r="J61" s="798"/>
    </row>
    <row r="62" spans="2:10">
      <c r="B62" s="558" t="s">
        <v>364</v>
      </c>
      <c r="C62" s="289" t="str">
        <f>IF(C63*0.1&lt;C61,"Exceed 10% Rule","")</f>
        <v/>
      </c>
      <c r="D62" s="299" t="str">
        <f>IF(D63*0.1&lt;D61,"Exceed 10% Rule","")</f>
        <v/>
      </c>
      <c r="E62" s="230" t="str">
        <f>IF(E63*0.1+E81&lt;E61,"Exceed 10% Rule","")</f>
        <v/>
      </c>
      <c r="G62" s="313"/>
      <c r="H62" s="304"/>
      <c r="I62" s="304"/>
      <c r="J62" s="97"/>
    </row>
    <row r="63" spans="2:10">
      <c r="B63" s="190" t="s">
        <v>365</v>
      </c>
      <c r="C63" s="290">
        <f>SUM(C49:C61)</f>
        <v>0</v>
      </c>
      <c r="D63" s="290">
        <f>SUM(D49:D61)</f>
        <v>0</v>
      </c>
      <c r="E63" s="232">
        <f>SUM(E49:E61)</f>
        <v>0</v>
      </c>
      <c r="G63" s="315">
        <f>D76</f>
        <v>0</v>
      </c>
      <c r="H63" s="316" t="str">
        <f>CONCATENATE("",E1-1," Ending Cash Balance (est.)")</f>
        <v>2024 Ending Cash Balance (est.)</v>
      </c>
      <c r="I63" s="317"/>
      <c r="J63" s="97"/>
    </row>
    <row r="64" spans="2:10">
      <c r="B64" s="190" t="s">
        <v>366</v>
      </c>
      <c r="C64" s="290">
        <f>C47+C63</f>
        <v>0</v>
      </c>
      <c r="D64" s="290">
        <f>D47+D63</f>
        <v>0</v>
      </c>
      <c r="E64" s="232">
        <f>E47+E63</f>
        <v>0</v>
      </c>
      <c r="G64" s="315">
        <f>E63</f>
        <v>0</v>
      </c>
      <c r="H64" s="318" t="str">
        <f>CONCATENATE("",E1," Non-AV Receipts (est.)")</f>
        <v>2025 Non-AV Receipts (est.)</v>
      </c>
      <c r="I64" s="317"/>
      <c r="J64" s="97"/>
    </row>
    <row r="65" spans="2:11">
      <c r="B65" s="558" t="s">
        <v>367</v>
      </c>
      <c r="C65" s="558"/>
      <c r="D65" s="291"/>
      <c r="E65" s="113"/>
      <c r="G65" s="319">
        <f>IF(D81&gt;0,E80,E82)</f>
        <v>0</v>
      </c>
      <c r="H65" s="318" t="str">
        <f>CONCATENATE("",E1," Ad Valorem Tax (est.)")</f>
        <v>2025 Ad Valorem Tax (est.)</v>
      </c>
      <c r="I65" s="317"/>
      <c r="J65" s="97"/>
    </row>
    <row r="66" spans="2:11">
      <c r="B66" s="185"/>
      <c r="C66" s="288"/>
      <c r="D66" s="293"/>
      <c r="E66" s="47"/>
      <c r="G66" s="354">
        <f>SUM(G63:G65)</f>
        <v>0</v>
      </c>
      <c r="H66" s="318" t="str">
        <f>CONCATENATE("Total ",E1," Resources Available")</f>
        <v>Total 2025 Resources Available</v>
      </c>
      <c r="I66" s="314"/>
      <c r="J66" s="97"/>
      <c r="K66" s="423" t="str">
        <f>IF(G65=E82,"","Note: Does not include Delinquent Taxes")</f>
        <v/>
      </c>
    </row>
    <row r="67" spans="2:11">
      <c r="B67" s="185"/>
      <c r="C67" s="288"/>
      <c r="D67" s="293"/>
      <c r="E67" s="47"/>
      <c r="G67" s="357"/>
      <c r="H67" s="355"/>
      <c r="I67" s="304"/>
      <c r="J67" s="97"/>
    </row>
    <row r="68" spans="2:11">
      <c r="B68" s="185"/>
      <c r="C68" s="288"/>
      <c r="D68" s="293"/>
      <c r="E68" s="47"/>
      <c r="G68" s="356">
        <f>ROUND(C75*0.05+C75,0)</f>
        <v>0</v>
      </c>
      <c r="H68" s="355" t="str">
        <f>CONCATENATE("Less ",E1-2," Expenditures + 5%")</f>
        <v>Less 2023 Expenditures + 5%</v>
      </c>
      <c r="I68" s="314"/>
      <c r="J68" s="97"/>
    </row>
    <row r="69" spans="2:11">
      <c r="B69" s="185"/>
      <c r="C69" s="288"/>
      <c r="D69" s="293"/>
      <c r="E69" s="47"/>
      <c r="G69" s="360">
        <f>G66-G68</f>
        <v>0</v>
      </c>
      <c r="H69" s="361" t="str">
        <f>CONCATENATE("Projected ",E1+1," carryover (est.)")</f>
        <v>Projected 2026 carryover (est.)</v>
      </c>
      <c r="I69" s="323"/>
      <c r="J69" s="452"/>
    </row>
    <row r="70" spans="2:11">
      <c r="B70" s="185"/>
      <c r="C70" s="288"/>
      <c r="D70" s="293"/>
      <c r="E70" s="47"/>
      <c r="G70" s="2"/>
      <c r="H70" s="2"/>
      <c r="I70" s="2"/>
    </row>
    <row r="71" spans="2:11">
      <c r="B71" s="185"/>
      <c r="C71" s="288"/>
      <c r="D71" s="293"/>
      <c r="E71" s="47"/>
      <c r="G71" s="697" t="s">
        <v>397</v>
      </c>
      <c r="H71" s="736"/>
      <c r="I71" s="736"/>
      <c r="J71" s="737"/>
    </row>
    <row r="72" spans="2:11">
      <c r="B72" s="477" t="str">
        <f>CONCATENATE("Cash Reserve (",E1," column)")</f>
        <v>Cash Reserve (2025 column)</v>
      </c>
      <c r="C72" s="288"/>
      <c r="D72" s="293"/>
      <c r="E72" s="47"/>
      <c r="G72" s="738"/>
      <c r="H72" s="739"/>
      <c r="I72" s="739"/>
      <c r="J72" s="740"/>
    </row>
    <row r="73" spans="2:11">
      <c r="B73" s="115" t="s">
        <v>363</v>
      </c>
      <c r="C73" s="288"/>
      <c r="D73" s="293"/>
      <c r="E73" s="47"/>
      <c r="G73" s="429" t="str">
        <f>'Budget Hearing Notice'!H20</f>
        <v xml:space="preserve">  </v>
      </c>
      <c r="H73" s="316" t="str">
        <f>CONCATENATE("",E1," Fund Mill Rate")</f>
        <v>2025 Fund Mill Rate</v>
      </c>
      <c r="I73" s="382"/>
      <c r="J73" s="383"/>
    </row>
    <row r="74" spans="2:11">
      <c r="B74" s="115" t="s">
        <v>374</v>
      </c>
      <c r="C74" s="289" t="str">
        <f>IF(C75*0.1&lt;C73,"Exceed 10% Rule","")</f>
        <v/>
      </c>
      <c r="D74" s="299" t="str">
        <f>IF(D75*0.1&lt;D73,"Exceed 10% Rule","")</f>
        <v/>
      </c>
      <c r="E74" s="230" t="str">
        <f>IF(E75*0.1&lt;E73,"Exceed 10% Rule","")</f>
        <v/>
      </c>
      <c r="G74" s="485" t="str">
        <f>'Budget Hearing Notice'!E20</f>
        <v xml:space="preserve">  </v>
      </c>
      <c r="H74" s="316" t="str">
        <f>CONCATENATE("",E1-1," Fund Mill Rate")</f>
        <v>2024 Fund Mill Rate</v>
      </c>
      <c r="I74" s="382"/>
      <c r="J74" s="383"/>
    </row>
    <row r="75" spans="2:11">
      <c r="B75" s="190" t="s">
        <v>375</v>
      </c>
      <c r="C75" s="290">
        <f>SUM(C66:C73)</f>
        <v>0</v>
      </c>
      <c r="D75" s="290">
        <f>SUM(D66:D73)</f>
        <v>0</v>
      </c>
      <c r="E75" s="232">
        <f>SUM(E66:E73)</f>
        <v>0</v>
      </c>
      <c r="G75" s="486">
        <f>inputOth!C20</f>
        <v>0</v>
      </c>
      <c r="H75" s="484" t="s">
        <v>377</v>
      </c>
      <c r="I75" s="382"/>
      <c r="J75" s="489"/>
    </row>
    <row r="76" spans="2:11">
      <c r="B76" s="558" t="s">
        <v>376</v>
      </c>
      <c r="C76" s="295">
        <f>C64-C75</f>
        <v>0</v>
      </c>
      <c r="D76" s="295">
        <f>D64-D75</f>
        <v>0</v>
      </c>
      <c r="E76" s="237" t="s">
        <v>173</v>
      </c>
      <c r="G76" s="429">
        <f>'Budget Hearing Notice'!H31</f>
        <v>0</v>
      </c>
      <c r="H76" s="316" t="str">
        <f>CONCATENATE("Total ",E1," Mill Rate")</f>
        <v>Total 2025 Mill Rate</v>
      </c>
      <c r="I76" s="382"/>
      <c r="J76" s="383"/>
    </row>
    <row r="77" spans="2:11">
      <c r="B77" s="120" t="str">
        <f>CONCATENATE("",E1-2,"/",E1-1,"/",E1," Budget Authority Amount:")</f>
        <v>2023/2024/2025 Budget Authority Amount:</v>
      </c>
      <c r="C77" s="280">
        <f>inputOth!B63</f>
        <v>0</v>
      </c>
      <c r="D77" s="280">
        <f>inputPrYr!D23</f>
        <v>0</v>
      </c>
      <c r="E77" s="113">
        <f>E75</f>
        <v>0</v>
      </c>
      <c r="F77" s="194"/>
      <c r="G77" s="485">
        <f>'Budget Hearing Notice'!E31</f>
        <v>0</v>
      </c>
      <c r="H77" s="316" t="str">
        <f>CONCATENATE("Total ",E1-1," Mill Rate")</f>
        <v>Total 2024 Mill Rate</v>
      </c>
      <c r="I77" s="382"/>
      <c r="J77" s="383"/>
    </row>
    <row r="78" spans="2:11">
      <c r="B78" s="564"/>
      <c r="C78" s="684" t="s">
        <v>378</v>
      </c>
      <c r="D78" s="685"/>
      <c r="E78" s="47"/>
      <c r="F78" s="194" t="str">
        <f>IF(E75/0.95-E75&lt;E78,"Exceeds 5%","")</f>
        <v/>
      </c>
      <c r="G78" s="715" t="s">
        <v>381</v>
      </c>
      <c r="H78" s="716"/>
      <c r="I78" s="716"/>
      <c r="J78" s="719" t="str">
        <f>IF(G76&gt;G75, "Yes", "No")</f>
        <v>No</v>
      </c>
    </row>
    <row r="79" spans="2:11">
      <c r="B79" s="281" t="str">
        <f>CONCATENATE(C101,"     ",D101)</f>
        <v xml:space="preserve">     </v>
      </c>
      <c r="C79" s="686" t="s">
        <v>379</v>
      </c>
      <c r="D79" s="687"/>
      <c r="E79" s="113">
        <f>E75+E78</f>
        <v>0</v>
      </c>
      <c r="G79" s="717"/>
      <c r="H79" s="718"/>
      <c r="I79" s="718"/>
      <c r="J79" s="720"/>
    </row>
    <row r="80" spans="2:11">
      <c r="B80" s="281" t="str">
        <f>CONCATENATE(C102,"     ",D102)</f>
        <v xml:space="preserve">     </v>
      </c>
      <c r="C80" s="195"/>
      <c r="D80" s="555" t="s">
        <v>380</v>
      </c>
      <c r="E80" s="54">
        <f>IF(E79-E64&gt;0,E79-E64,0)</f>
        <v>0</v>
      </c>
      <c r="G80" s="675" t="str">
        <f>IF(J78="Yes", "Follow procedure prescribed by KSA 79-2988 to exceed the Revenue Neutral Rate.", " ")</f>
        <v xml:space="preserve"> </v>
      </c>
      <c r="H80" s="675"/>
      <c r="I80" s="675"/>
      <c r="J80" s="675"/>
    </row>
    <row r="81" spans="2:10">
      <c r="B81" s="555"/>
      <c r="C81" s="563" t="s">
        <v>382</v>
      </c>
      <c r="D81" s="426">
        <f>inputOth!E45</f>
        <v>0</v>
      </c>
      <c r="E81" s="113">
        <f>ROUND(IF(D81&gt;0,(E80*D81),0),0)</f>
        <v>0</v>
      </c>
      <c r="G81" s="676"/>
      <c r="H81" s="676"/>
      <c r="I81" s="676"/>
      <c r="J81" s="676"/>
    </row>
    <row r="82" spans="2:10" ht="16.5" thickBot="1">
      <c r="B82" s="36"/>
      <c r="C82" s="680" t="str">
        <f>CONCATENATE("Amount of  ",E1-1," Ad Valorem Tax")</f>
        <v>Amount of  2024 Ad Valorem Tax</v>
      </c>
      <c r="D82" s="681"/>
      <c r="E82" s="431">
        <f>E80+E81</f>
        <v>0</v>
      </c>
      <c r="G82" s="676"/>
      <c r="H82" s="676"/>
      <c r="I82" s="676"/>
      <c r="J82" s="676"/>
    </row>
    <row r="83" spans="2:10" ht="16.5" thickTop="1">
      <c r="B83" s="36"/>
      <c r="C83" s="680"/>
      <c r="D83" s="681"/>
      <c r="E83" s="36"/>
    </row>
    <row r="84" spans="2:10">
      <c r="B84" s="723" t="s">
        <v>383</v>
      </c>
      <c r="C84" s="724"/>
      <c r="D84" s="724"/>
      <c r="E84" s="725"/>
    </row>
    <row r="85" spans="2:10">
      <c r="B85" s="726"/>
      <c r="C85" s="727"/>
      <c r="D85" s="727"/>
      <c r="E85" s="728"/>
    </row>
    <row r="86" spans="2:10">
      <c r="B86" s="729"/>
      <c r="C86" s="730"/>
      <c r="D86" s="730"/>
      <c r="E86" s="731"/>
    </row>
    <row r="87" spans="2:10">
      <c r="B87" s="36"/>
      <c r="C87" s="561"/>
      <c r="D87" s="36"/>
      <c r="E87" s="36"/>
    </row>
    <row r="88" spans="2:10">
      <c r="B88" s="555" t="s">
        <v>384</v>
      </c>
      <c r="C88" s="471"/>
      <c r="D88" s="68"/>
      <c r="E88" s="36"/>
    </row>
    <row r="90" spans="2:10">
      <c r="B90" s="562"/>
      <c r="C90" s="562"/>
    </row>
    <row r="96" spans="2:10" hidden="1"/>
    <row r="97" spans="3:4" hidden="1"/>
    <row r="98" spans="3:4" hidden="1"/>
    <row r="99" spans="3:4" hidden="1">
      <c r="C99" s="303" t="str">
        <f>IF(C34&gt;C36,"See Tab A","")</f>
        <v/>
      </c>
      <c r="D99" s="303" t="str">
        <f>IF(D34&gt;D36,"See Tab C","")</f>
        <v/>
      </c>
    </row>
    <row r="100" spans="3:4">
      <c r="C100" s="303" t="str">
        <f>IF(C35&lt;0,"See Tab B","")</f>
        <v/>
      </c>
      <c r="D100" s="303" t="str">
        <f>IF(D35&lt;0,"See Tab D","")</f>
        <v/>
      </c>
    </row>
    <row r="101" spans="3:4">
      <c r="C101" s="300" t="str">
        <f>IF(C75&gt;C77,"See Tab A","")</f>
        <v/>
      </c>
      <c r="D101" s="300" t="str">
        <f>IF(D75&gt;D77,"See Tab C","")</f>
        <v/>
      </c>
    </row>
    <row r="102" spans="3:4">
      <c r="C102" s="300" t="str">
        <f>IF(C76&lt;0,"See Tab B","")</f>
        <v/>
      </c>
      <c r="D102" s="300" t="str">
        <f>IF(D76&lt;0,"See Tab D","")</f>
        <v/>
      </c>
    </row>
  </sheetData>
  <sheetProtection sheet="1" objects="1" scenarios="1"/>
  <mergeCells count="21">
    <mergeCell ref="B84:E86"/>
    <mergeCell ref="C83:D83"/>
    <mergeCell ref="C42:D42"/>
    <mergeCell ref="C37:D37"/>
    <mergeCell ref="C38:D38"/>
    <mergeCell ref="C41:D41"/>
    <mergeCell ref="C82:D82"/>
    <mergeCell ref="C78:D78"/>
    <mergeCell ref="C79:D79"/>
    <mergeCell ref="G13:J13"/>
    <mergeCell ref="G54:J54"/>
    <mergeCell ref="G37:I38"/>
    <mergeCell ref="J37:J38"/>
    <mergeCell ref="G30:J31"/>
    <mergeCell ref="G39:J41"/>
    <mergeCell ref="G78:I79"/>
    <mergeCell ref="J78:J79"/>
    <mergeCell ref="G80:J82"/>
    <mergeCell ref="G20:J20"/>
    <mergeCell ref="G61:J61"/>
    <mergeCell ref="G71:J72"/>
  </mergeCells>
  <phoneticPr fontId="0" type="noConversion"/>
  <conditionalFormatting sqref="C20">
    <cfRule type="cellIs" dxfId="114" priority="19" stopIfTrue="1" operator="greaterThan">
      <formula>$C$22*0.1</formula>
    </cfRule>
  </conditionalFormatting>
  <conditionalFormatting sqref="C32">
    <cfRule type="cellIs" dxfId="113" priority="14" stopIfTrue="1" operator="greaterThan">
      <formula>$C$34*0.1</formula>
    </cfRule>
  </conditionalFormatting>
  <conditionalFormatting sqref="C34">
    <cfRule type="cellIs" dxfId="112" priority="12" stopIfTrue="1" operator="greaterThan">
      <formula>$C$36</formula>
    </cfRule>
  </conditionalFormatting>
  <conditionalFormatting sqref="C35 C76">
    <cfRule type="cellIs" dxfId="111" priority="10" stopIfTrue="1" operator="lessThan">
      <formula>0</formula>
    </cfRule>
  </conditionalFormatting>
  <conditionalFormatting sqref="C61">
    <cfRule type="cellIs" dxfId="110" priority="21" stopIfTrue="1" operator="greaterThan">
      <formula>$C$63*0.1</formula>
    </cfRule>
  </conditionalFormatting>
  <conditionalFormatting sqref="C73">
    <cfRule type="cellIs" dxfId="109" priority="16" stopIfTrue="1" operator="greaterThan">
      <formula>$C$75*0.1</formula>
    </cfRule>
  </conditionalFormatting>
  <conditionalFormatting sqref="C75">
    <cfRule type="cellIs" dxfId="108" priority="9" stopIfTrue="1" operator="greaterThan">
      <formula>$C$77</formula>
    </cfRule>
  </conditionalFormatting>
  <conditionalFormatting sqref="D20">
    <cfRule type="cellIs" dxfId="107" priority="18" stopIfTrue="1" operator="greaterThan">
      <formula>$D$22*0.1</formula>
    </cfRule>
  </conditionalFormatting>
  <conditionalFormatting sqref="D32">
    <cfRule type="cellIs" dxfId="106" priority="15" stopIfTrue="1" operator="greaterThan">
      <formula>$D$34*0.1</formula>
    </cfRule>
  </conditionalFormatting>
  <conditionalFormatting sqref="D34">
    <cfRule type="cellIs" dxfId="105" priority="13" stopIfTrue="1" operator="greaterThan">
      <formula>$D$36</formula>
    </cfRule>
  </conditionalFormatting>
  <conditionalFormatting sqref="D35 D76">
    <cfRule type="cellIs" dxfId="104" priority="4" stopIfTrue="1" operator="lessThan">
      <formula>0</formula>
    </cfRule>
  </conditionalFormatting>
  <conditionalFormatting sqref="D61">
    <cfRule type="cellIs" dxfId="103" priority="22" stopIfTrue="1" operator="greaterThan">
      <formula>$D$63*0.1</formula>
    </cfRule>
  </conditionalFormatting>
  <conditionalFormatting sqref="D73">
    <cfRule type="cellIs" dxfId="102" priority="17" stopIfTrue="1" operator="greaterThan">
      <formula>$D$75*0.1</formula>
    </cfRule>
  </conditionalFormatting>
  <conditionalFormatting sqref="D75">
    <cfRule type="cellIs" dxfId="101" priority="11" stopIfTrue="1" operator="greaterThan">
      <formula>$D$77</formula>
    </cfRule>
  </conditionalFormatting>
  <conditionalFormatting sqref="E20">
    <cfRule type="cellIs" dxfId="100" priority="20" stopIfTrue="1" operator="greaterThan">
      <formula>$E$22*0.1+E40</formula>
    </cfRule>
  </conditionalFormatting>
  <conditionalFormatting sqref="E32">
    <cfRule type="cellIs" dxfId="99" priority="7" stopIfTrue="1" operator="greaterThan">
      <formula>$E$34*0.1</formula>
    </cfRule>
  </conditionalFormatting>
  <conditionalFormatting sqref="E37">
    <cfRule type="cellIs" dxfId="98" priority="8" stopIfTrue="1" operator="greaterThan">
      <formula>$E$34/0.95-$E$34</formula>
    </cfRule>
  </conditionalFormatting>
  <conditionalFormatting sqref="E61">
    <cfRule type="cellIs" dxfId="97" priority="23" stopIfTrue="1" operator="greaterThan">
      <formula>$E$63*0.1+E81</formula>
    </cfRule>
  </conditionalFormatting>
  <conditionalFormatting sqref="E73">
    <cfRule type="cellIs" dxfId="96" priority="5" stopIfTrue="1" operator="greaterThan">
      <formula>$E$75*0.1</formula>
    </cfRule>
  </conditionalFormatting>
  <conditionalFormatting sqref="E78">
    <cfRule type="cellIs" dxfId="95" priority="6" stopIfTrue="1" operator="greaterThan">
      <formula>$E$75/0.95-$E$75</formula>
    </cfRule>
  </conditionalFormatting>
  <conditionalFormatting sqref="J37:J38">
    <cfRule type="containsText" dxfId="94" priority="2" operator="containsText" text="Yes">
      <formula>NOT(ISERROR(SEARCH("Yes",J37)))</formula>
    </cfRule>
  </conditionalFormatting>
  <conditionalFormatting sqref="J78:J79">
    <cfRule type="containsText" dxfId="93" priority="1" operator="containsText" text="Yes">
      <formula>NOT(ISERROR(SEARCH("Yes",J78)))</formula>
    </cfRule>
  </conditionalFormatting>
  <pageMargins left="0.5" right="0.5" top="1" bottom="0.5" header="0.5" footer="0.5"/>
  <pageSetup scale="51"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B1:K103"/>
  <sheetViews>
    <sheetView zoomScaleNormal="100" workbookViewId="0">
      <selection activeCell="B10" sqref="B10"/>
    </sheetView>
  </sheetViews>
  <sheetFormatPr defaultColWidth="8.88671875" defaultRowHeight="15.75"/>
  <cols>
    <col min="1" max="1" width="2.44140625" style="37" customWidth="1"/>
    <col min="2" max="2" width="31.109375" style="37" customWidth="1"/>
    <col min="3" max="4" width="15.77734375" style="37" customWidth="1"/>
    <col min="5" max="5" width="16.21875" style="37" customWidth="1"/>
    <col min="6" max="6" width="8.88671875" style="37"/>
    <col min="7" max="7" width="10.21875" style="37" customWidth="1"/>
    <col min="8" max="8" width="8.88671875" style="37"/>
    <col min="9" max="9" width="5.6640625" style="37" customWidth="1"/>
    <col min="10" max="10" width="10" style="37" customWidth="1"/>
    <col min="11" max="16384" width="8.88671875" style="37"/>
  </cols>
  <sheetData>
    <row r="1" spans="2:10">
      <c r="B1" s="75">
        <f>(inputPrYr!D3)</f>
        <v>0</v>
      </c>
      <c r="C1" s="75"/>
      <c r="D1" s="36"/>
      <c r="E1" s="91">
        <f>inputPrYr!$C$6</f>
        <v>2025</v>
      </c>
    </row>
    <row r="2" spans="2:10">
      <c r="B2" s="36"/>
      <c r="C2" s="36"/>
      <c r="D2" s="36"/>
      <c r="E2" s="555"/>
    </row>
    <row r="3" spans="2:10">
      <c r="B3" s="45" t="s">
        <v>339</v>
      </c>
      <c r="C3" s="236"/>
      <c r="D3" s="101"/>
      <c r="E3" s="93"/>
    </row>
    <row r="4" spans="2:10">
      <c r="B4" s="39" t="s">
        <v>161</v>
      </c>
      <c r="C4" s="433" t="s">
        <v>340</v>
      </c>
      <c r="D4" s="434" t="s">
        <v>341</v>
      </c>
      <c r="E4" s="103" t="s">
        <v>342</v>
      </c>
    </row>
    <row r="5" spans="2:10">
      <c r="B5" s="298">
        <f>(inputPrYr!B24)</f>
        <v>0</v>
      </c>
      <c r="C5" s="149" t="str">
        <f>CONCATENATE("Actual for ",$E$1-2,"")</f>
        <v>Actual for 2023</v>
      </c>
      <c r="D5" s="560" t="str">
        <f>CONCATENATE("Estimate for ",$E$1-1,"")</f>
        <v>Estimate for 2024</v>
      </c>
      <c r="E5" s="134" t="str">
        <f>CONCATENATE("Year for ",$E$1,"")</f>
        <v>Year for 2025</v>
      </c>
    </row>
    <row r="6" spans="2:10">
      <c r="B6" s="558" t="s">
        <v>343</v>
      </c>
      <c r="C6" s="288"/>
      <c r="D6" s="291">
        <f>C35</f>
        <v>0</v>
      </c>
      <c r="E6" s="113">
        <f>D35</f>
        <v>0</v>
      </c>
    </row>
    <row r="7" spans="2:10">
      <c r="B7" s="179" t="s">
        <v>344</v>
      </c>
      <c r="C7" s="558"/>
      <c r="D7" s="291"/>
      <c r="E7" s="113"/>
    </row>
    <row r="8" spans="2:10">
      <c r="B8" s="558" t="s">
        <v>345</v>
      </c>
      <c r="C8" s="293"/>
      <c r="D8" s="291">
        <f>IF(inputPrYr!H21&gt;0,inputPrYr!G28,inputPrYr!E24)</f>
        <v>0</v>
      </c>
      <c r="E8" s="237" t="s">
        <v>173</v>
      </c>
    </row>
    <row r="9" spans="2:10">
      <c r="B9" s="558" t="s">
        <v>346</v>
      </c>
      <c r="C9" s="293"/>
      <c r="D9" s="293"/>
      <c r="E9" s="47"/>
    </row>
    <row r="10" spans="2:10">
      <c r="B10" s="558" t="s">
        <v>347</v>
      </c>
      <c r="C10" s="293"/>
      <c r="D10" s="293"/>
      <c r="E10" s="113" t="str">
        <f>Mvalloc!D14</f>
        <v xml:space="preserve">  </v>
      </c>
    </row>
    <row r="11" spans="2:10">
      <c r="B11" s="558" t="s">
        <v>348</v>
      </c>
      <c r="C11" s="293"/>
      <c r="D11" s="293"/>
      <c r="E11" s="113" t="str">
        <f>Mvalloc!E14</f>
        <v xml:space="preserve">  </v>
      </c>
    </row>
    <row r="12" spans="2:10">
      <c r="B12" s="115" t="s">
        <v>349</v>
      </c>
      <c r="C12" s="293"/>
      <c r="D12" s="293"/>
      <c r="E12" s="113" t="str">
        <f>Mvalloc!F14</f>
        <v xml:space="preserve">  </v>
      </c>
    </row>
    <row r="13" spans="2:10">
      <c r="B13" s="114" t="s">
        <v>350</v>
      </c>
      <c r="C13" s="293"/>
      <c r="D13" s="293"/>
      <c r="E13" s="113" t="str">
        <f>Mvalloc!G14</f>
        <v xml:space="preserve">  </v>
      </c>
      <c r="G13" s="677" t="str">
        <f>CONCATENATE("Desired Carryover Into ",E1+1,"")</f>
        <v>Desired Carryover Into 2026</v>
      </c>
      <c r="H13" s="678"/>
      <c r="I13" s="678"/>
      <c r="J13" s="679"/>
    </row>
    <row r="14" spans="2:10">
      <c r="B14" s="114" t="s">
        <v>351</v>
      </c>
      <c r="C14" s="293"/>
      <c r="D14" s="293"/>
      <c r="E14" s="113" t="str">
        <f>Mvalloc!H14</f>
        <v xml:space="preserve">  </v>
      </c>
      <c r="G14" s="352"/>
      <c r="H14" s="304"/>
      <c r="I14" s="318"/>
      <c r="J14" s="353"/>
    </row>
    <row r="15" spans="2:10">
      <c r="B15" s="193"/>
      <c r="C15" s="293"/>
      <c r="D15" s="293"/>
      <c r="E15" s="50"/>
      <c r="G15" s="324" t="s">
        <v>370</v>
      </c>
      <c r="H15" s="318"/>
      <c r="I15" s="318"/>
      <c r="J15" s="312">
        <v>0</v>
      </c>
    </row>
    <row r="16" spans="2:10">
      <c r="B16" s="193"/>
      <c r="C16" s="293"/>
      <c r="D16" s="293"/>
      <c r="E16" s="47"/>
      <c r="G16" s="352" t="s">
        <v>371</v>
      </c>
      <c r="H16" s="304"/>
      <c r="I16" s="304"/>
      <c r="J16" s="418" t="str">
        <f>IF(J15=0,"",ROUND((J15+E41-G28)/inputOth!E7*1000,3)-G33)</f>
        <v/>
      </c>
    </row>
    <row r="17" spans="2:11">
      <c r="B17" s="193"/>
      <c r="C17" s="293"/>
      <c r="D17" s="293"/>
      <c r="E17" s="47"/>
      <c r="G17" s="387" t="str">
        <f>CONCATENATE("",E1," Tot Exp/Non-Appr Must Be:")</f>
        <v>2025 Tot Exp/Non-Appr Must Be:</v>
      </c>
      <c r="H17" s="384"/>
      <c r="I17" s="385"/>
      <c r="J17" s="381">
        <f>IF(J15&gt;0,IF(E38&lt;E23,IF(J15=G28,E39,((J15-G28)*(1-D40))+E23),E39+(J15-G28)),0)</f>
        <v>0</v>
      </c>
    </row>
    <row r="18" spans="2:11">
      <c r="B18" s="229" t="s">
        <v>361</v>
      </c>
      <c r="C18" s="293"/>
      <c r="D18" s="293"/>
      <c r="E18" s="47"/>
      <c r="G18" s="416" t="s">
        <v>372</v>
      </c>
      <c r="H18" s="421"/>
      <c r="I18" s="421"/>
      <c r="J18" s="388">
        <f>IF(J15&gt;0,J17-E39,0)</f>
        <v>0</v>
      </c>
    </row>
    <row r="19" spans="2:11">
      <c r="B19" s="115" t="s">
        <v>362</v>
      </c>
      <c r="C19" s="293"/>
      <c r="D19" s="293"/>
      <c r="E19" s="280">
        <f>'NR Rebate'!E12*-1</f>
        <v>0</v>
      </c>
      <c r="J19" s="2"/>
    </row>
    <row r="20" spans="2:11">
      <c r="B20" s="233" t="s">
        <v>363</v>
      </c>
      <c r="C20" s="293"/>
      <c r="D20" s="293"/>
      <c r="E20" s="47"/>
      <c r="G20" s="677" t="str">
        <f>CONCATENATE("Projected Carryover Into ",E1+1,"")</f>
        <v>Projected Carryover Into 2026</v>
      </c>
      <c r="H20" s="721"/>
      <c r="I20" s="721"/>
      <c r="J20" s="798"/>
    </row>
    <row r="21" spans="2:11">
      <c r="B21" s="233" t="s">
        <v>364</v>
      </c>
      <c r="C21" s="289" t="str">
        <f>IF(C22*0.1&lt;C20,"Exceed 10% Rule","")</f>
        <v/>
      </c>
      <c r="D21" s="289" t="str">
        <f>IF(D22*0.1&lt;D20,"Exceed 10% Rule","")</f>
        <v/>
      </c>
      <c r="E21" s="299" t="str">
        <f>IF(E22*0.1+E41&lt;E20,"Exceed 10% Rule","")</f>
        <v/>
      </c>
      <c r="G21" s="352"/>
      <c r="H21" s="318"/>
      <c r="I21" s="318"/>
      <c r="J21" s="454"/>
    </row>
    <row r="22" spans="2:11">
      <c r="B22" s="190" t="s">
        <v>365</v>
      </c>
      <c r="C22" s="290">
        <f>SUM(C8:C20)</f>
        <v>0</v>
      </c>
      <c r="D22" s="290">
        <f>SUM(D8:D20)</f>
        <v>0</v>
      </c>
      <c r="E22" s="232">
        <f>SUM(E8:E20)</f>
        <v>0</v>
      </c>
      <c r="G22" s="315">
        <f>D35</f>
        <v>0</v>
      </c>
      <c r="H22" s="316" t="str">
        <f>CONCATENATE("",E1-1," Ending Cash Balance (est.)")</f>
        <v>2024 Ending Cash Balance (est.)</v>
      </c>
      <c r="I22" s="317"/>
      <c r="J22" s="454"/>
    </row>
    <row r="23" spans="2:11">
      <c r="B23" s="190" t="s">
        <v>366</v>
      </c>
      <c r="C23" s="290">
        <f>C6+C22</f>
        <v>0</v>
      </c>
      <c r="D23" s="290">
        <f>D6+D22</f>
        <v>0</v>
      </c>
      <c r="E23" s="232">
        <f>E6+E22</f>
        <v>0</v>
      </c>
      <c r="G23" s="315">
        <f>E22</f>
        <v>0</v>
      </c>
      <c r="H23" s="318" t="str">
        <f>CONCATENATE("",E1," Non-AV Receipts (est.)")</f>
        <v>2025 Non-AV Receipts (est.)</v>
      </c>
      <c r="I23" s="317"/>
      <c r="J23" s="454"/>
    </row>
    <row r="24" spans="2:11">
      <c r="B24" s="558" t="s">
        <v>367</v>
      </c>
      <c r="C24" s="558"/>
      <c r="D24" s="291"/>
      <c r="E24" s="113"/>
      <c r="G24" s="319">
        <f>IF(D40&gt;0,E39,E41)</f>
        <v>0</v>
      </c>
      <c r="H24" s="318" t="str">
        <f>CONCATENATE("",E1," Ad Valorem Tax (est.)")</f>
        <v>2025 Ad Valorem Tax (est.)</v>
      </c>
      <c r="I24" s="317"/>
      <c r="J24" s="454"/>
      <c r="K24" s="423" t="str">
        <f>IF(G24=E41,"","Note: Does not include Delinquent Taxes")</f>
        <v/>
      </c>
    </row>
    <row r="25" spans="2:11">
      <c r="B25" s="193"/>
      <c r="C25" s="293"/>
      <c r="D25" s="293"/>
      <c r="E25" s="47"/>
      <c r="G25" s="315">
        <f>SUM(G22:G24)</f>
        <v>0</v>
      </c>
      <c r="H25" s="318" t="str">
        <f>CONCATENATE("Total ",E1," Resources Available")</f>
        <v>Total 2025 Resources Available</v>
      </c>
      <c r="I25" s="317"/>
      <c r="J25" s="454"/>
    </row>
    <row r="26" spans="2:11">
      <c r="B26" s="193"/>
      <c r="C26" s="293"/>
      <c r="D26" s="293"/>
      <c r="E26" s="47"/>
      <c r="G26" s="320"/>
      <c r="H26" s="318"/>
      <c r="I26" s="318"/>
      <c r="J26" s="454"/>
    </row>
    <row r="27" spans="2:11">
      <c r="B27" s="193"/>
      <c r="C27" s="293"/>
      <c r="D27" s="293"/>
      <c r="E27" s="47"/>
      <c r="G27" s="319">
        <f>ROUND(C34*0.05+C34,0)</f>
        <v>0</v>
      </c>
      <c r="H27" s="318" t="str">
        <f>CONCATENATE("Less ",E1-2," Expenditures + 5%")</f>
        <v>Less 2023 Expenditures + 5%</v>
      </c>
      <c r="I27" s="317"/>
      <c r="J27" s="454"/>
    </row>
    <row r="28" spans="2:11">
      <c r="B28" s="193"/>
      <c r="C28" s="293"/>
      <c r="D28" s="293"/>
      <c r="E28" s="47"/>
      <c r="G28" s="419">
        <f>G25-G27</f>
        <v>0</v>
      </c>
      <c r="H28" s="420" t="str">
        <f>CONCATENATE("Projected ",E1+1," carryover (est.)")</f>
        <v>Projected 2026 carryover (est.)</v>
      </c>
      <c r="I28" s="322"/>
      <c r="J28" s="452"/>
    </row>
    <row r="29" spans="2:11">
      <c r="B29" s="193"/>
      <c r="C29" s="293"/>
      <c r="D29" s="293"/>
      <c r="E29" s="47"/>
      <c r="G29" s="2"/>
      <c r="H29" s="2"/>
      <c r="I29" s="2"/>
      <c r="J29" s="2"/>
    </row>
    <row r="30" spans="2:11">
      <c r="B30" s="193"/>
      <c r="C30" s="293"/>
      <c r="D30" s="293"/>
      <c r="E30" s="47"/>
      <c r="G30" s="697" t="s">
        <v>398</v>
      </c>
      <c r="H30" s="736"/>
      <c r="I30" s="736"/>
      <c r="J30" s="737"/>
    </row>
    <row r="31" spans="2:11">
      <c r="B31" s="477" t="str">
        <f>CONCATENATE("Cash Reserve (",E1," column)")</f>
        <v>Cash Reserve (2025 column)</v>
      </c>
      <c r="C31" s="293"/>
      <c r="D31" s="293"/>
      <c r="E31" s="47"/>
      <c r="G31" s="738"/>
      <c r="H31" s="739"/>
      <c r="I31" s="739"/>
      <c r="J31" s="740"/>
    </row>
    <row r="32" spans="2:11">
      <c r="B32" s="115" t="s">
        <v>363</v>
      </c>
      <c r="C32" s="293"/>
      <c r="D32" s="293"/>
      <c r="E32" s="47"/>
      <c r="G32" s="429" t="str">
        <f>'Budget Hearing Notice'!H21</f>
        <v xml:space="preserve">  </v>
      </c>
      <c r="H32" s="316" t="str">
        <f>CONCATENATE("",E1," Estimated Fund Mill Rate")</f>
        <v>2025 Estimated Fund Mill Rate</v>
      </c>
      <c r="I32" s="382"/>
      <c r="J32" s="383"/>
    </row>
    <row r="33" spans="2:10">
      <c r="B33" s="115" t="s">
        <v>374</v>
      </c>
      <c r="C33" s="289" t="str">
        <f>IF(C34*0.1&lt;C32,"Exceed 10% Rule","")</f>
        <v/>
      </c>
      <c r="D33" s="289" t="str">
        <f>IF(D34*0.1&lt;D32,"Exceed 10% Rule","")</f>
        <v/>
      </c>
      <c r="E33" s="299" t="str">
        <f>IF(E34*0.1&lt;E32,"Exceed 10% Rule","")</f>
        <v/>
      </c>
      <c r="G33" s="485" t="str">
        <f>'Budget Hearing Notice'!E21</f>
        <v xml:space="preserve">  </v>
      </c>
      <c r="H33" s="316" t="str">
        <f>CONCATENATE("",E1-1," Fund Mill Rate")</f>
        <v>2024 Fund Mill Rate</v>
      </c>
      <c r="I33" s="382"/>
      <c r="J33" s="383"/>
    </row>
    <row r="34" spans="2:10">
      <c r="B34" s="190" t="s">
        <v>375</v>
      </c>
      <c r="C34" s="290">
        <f>SUM(C25:C32)</f>
        <v>0</v>
      </c>
      <c r="D34" s="290">
        <f>SUM(D25:D32)</f>
        <v>0</v>
      </c>
      <c r="E34" s="232">
        <f>SUM(E25:E32)</f>
        <v>0</v>
      </c>
      <c r="G34" s="486">
        <f>inputOth!C20</f>
        <v>0</v>
      </c>
      <c r="H34" s="484" t="s">
        <v>377</v>
      </c>
      <c r="I34" s="382"/>
      <c r="J34" s="489"/>
    </row>
    <row r="35" spans="2:10">
      <c r="B35" s="558" t="s">
        <v>376</v>
      </c>
      <c r="C35" s="295">
        <f>C23-C34</f>
        <v>0</v>
      </c>
      <c r="D35" s="295">
        <f>D23-D34</f>
        <v>0</v>
      </c>
      <c r="E35" s="237" t="s">
        <v>173</v>
      </c>
      <c r="G35" s="429">
        <f>'Budget Hearing Notice'!H31</f>
        <v>0</v>
      </c>
      <c r="H35" s="316" t="str">
        <f>CONCATENATE(E1," Estimated Total Mill Rate")</f>
        <v>2025 Estimated Total Mill Rate</v>
      </c>
      <c r="I35" s="382"/>
      <c r="J35" s="383"/>
    </row>
    <row r="36" spans="2:10">
      <c r="B36" s="120" t="str">
        <f>CONCATENATE("",E1-2,"/",E1-1,"/",E1," Budget Authority Amount:")</f>
        <v>2023/2024/2025 Budget Authority Amount:</v>
      </c>
      <c r="C36" s="280">
        <f>inputOth!B64</f>
        <v>0</v>
      </c>
      <c r="D36" s="280">
        <f>inputPrYr!D24</f>
        <v>0</v>
      </c>
      <c r="E36" s="280">
        <f>E34</f>
        <v>0</v>
      </c>
      <c r="F36" s="194"/>
      <c r="G36" s="485">
        <f>'Budget Hearing Notice'!E31</f>
        <v>0</v>
      </c>
      <c r="H36" s="316" t="str">
        <f>CONCATENATE(E1-1," Total Mill Rate")</f>
        <v>2024 Total Mill Rate</v>
      </c>
      <c r="I36" s="382"/>
      <c r="J36" s="383"/>
    </row>
    <row r="37" spans="2:10">
      <c r="B37" s="564"/>
      <c r="C37" s="684" t="s">
        <v>378</v>
      </c>
      <c r="D37" s="685"/>
      <c r="E37" s="47"/>
      <c r="F37" s="194" t="str">
        <f>IF(E34/0.95-E34&lt;E37,"Exceeds 5%","")</f>
        <v/>
      </c>
      <c r="G37" s="715" t="s">
        <v>381</v>
      </c>
      <c r="H37" s="716"/>
      <c r="I37" s="716"/>
      <c r="J37" s="719" t="str">
        <f>IF(G35&gt;G34, "Yes", "No")</f>
        <v>No</v>
      </c>
    </row>
    <row r="38" spans="2:10">
      <c r="B38" s="281" t="str">
        <f>CONCATENATE(C98,"     ",D98)</f>
        <v xml:space="preserve">     </v>
      </c>
      <c r="C38" s="686" t="s">
        <v>379</v>
      </c>
      <c r="D38" s="687"/>
      <c r="E38" s="113">
        <f>E34+E37</f>
        <v>0</v>
      </c>
      <c r="G38" s="717"/>
      <c r="H38" s="718"/>
      <c r="I38" s="718"/>
      <c r="J38" s="720"/>
    </row>
    <row r="39" spans="2:10">
      <c r="B39" s="281" t="str">
        <f>CONCATENATE(C99,"     ",D99)</f>
        <v xml:space="preserve">     </v>
      </c>
      <c r="C39" s="195"/>
      <c r="D39" s="555" t="s">
        <v>380</v>
      </c>
      <c r="E39" s="54">
        <f>IF(E38-E23&gt;0,E38-E23,0)</f>
        <v>0</v>
      </c>
      <c r="G39" s="675" t="str">
        <f>IF(J37="Yes", "Follow procedure prescribed by KSA 79-2988 to exceed the Revenue Neutral Rate", " ")</f>
        <v xml:space="preserve"> </v>
      </c>
      <c r="H39" s="675"/>
      <c r="I39" s="675"/>
      <c r="J39" s="675"/>
    </row>
    <row r="40" spans="2:10">
      <c r="B40" s="555"/>
      <c r="C40" s="563" t="s">
        <v>382</v>
      </c>
      <c r="D40" s="426">
        <f>inputOth!E45</f>
        <v>0</v>
      </c>
      <c r="E40" s="113">
        <f>ROUND(IF(D40&gt;0,(E39*D40),0),0)</f>
        <v>0</v>
      </c>
      <c r="G40" s="676"/>
      <c r="H40" s="676"/>
      <c r="I40" s="676"/>
      <c r="J40" s="676"/>
    </row>
    <row r="41" spans="2:10" ht="16.5" thickBot="1">
      <c r="B41" s="36"/>
      <c r="C41" s="741" t="str">
        <f>CONCATENATE("Amount of  ",E1-1," Ad Valorem Tax")</f>
        <v>Amount of  2024 Ad Valorem Tax</v>
      </c>
      <c r="D41" s="683"/>
      <c r="E41" s="431">
        <f>E39+E40</f>
        <v>0</v>
      </c>
      <c r="G41" s="676"/>
      <c r="H41" s="676"/>
      <c r="I41" s="676"/>
      <c r="J41" s="676"/>
    </row>
    <row r="42" spans="2:10" ht="16.5" thickTop="1">
      <c r="B42" s="36"/>
      <c r="C42" s="680"/>
      <c r="D42" s="681"/>
      <c r="E42" s="36"/>
    </row>
    <row r="43" spans="2:10">
      <c r="B43" s="36"/>
      <c r="C43" s="564"/>
      <c r="D43" s="36"/>
      <c r="E43" s="36"/>
    </row>
    <row r="44" spans="2:10">
      <c r="B44" s="39" t="s">
        <v>161</v>
      </c>
      <c r="C44" s="51"/>
      <c r="D44" s="101"/>
      <c r="E44" s="101"/>
    </row>
    <row r="45" spans="2:10">
      <c r="B45" s="36"/>
      <c r="C45" s="433" t="s">
        <v>340</v>
      </c>
      <c r="D45" s="434" t="s">
        <v>341</v>
      </c>
      <c r="E45" s="103" t="s">
        <v>342</v>
      </c>
    </row>
    <row r="46" spans="2:10">
      <c r="B46" s="297">
        <f>(inputPrYr!B25)</f>
        <v>0</v>
      </c>
      <c r="C46" s="149" t="str">
        <f>CONCATENATE("Actual for ",$E$1-2,"")</f>
        <v>Actual for 2023</v>
      </c>
      <c r="D46" s="560" t="str">
        <f>CONCATENATE("Estimate for ",$E$1-1,"")</f>
        <v>Estimate for 2024</v>
      </c>
      <c r="E46" s="134" t="str">
        <f>CONCATENATE("Year for ",$E$1,"")</f>
        <v>Year for 2025</v>
      </c>
    </row>
    <row r="47" spans="2:10">
      <c r="B47" s="558" t="s">
        <v>343</v>
      </c>
      <c r="C47" s="292"/>
      <c r="D47" s="291">
        <f>C76</f>
        <v>0</v>
      </c>
      <c r="E47" s="113">
        <f>D76</f>
        <v>0</v>
      </c>
    </row>
    <row r="48" spans="2:10">
      <c r="B48" s="558" t="s">
        <v>344</v>
      </c>
      <c r="C48" s="558"/>
      <c r="D48" s="291"/>
      <c r="E48" s="113"/>
    </row>
    <row r="49" spans="2:10">
      <c r="B49" s="558" t="s">
        <v>345</v>
      </c>
      <c r="C49" s="288"/>
      <c r="D49" s="291">
        <f>IF(inputPrYr!H21&gt;0,inputPrYr!G29,inputPrYr!E25)</f>
        <v>0</v>
      </c>
      <c r="E49" s="237" t="s">
        <v>173</v>
      </c>
    </row>
    <row r="50" spans="2:10">
      <c r="B50" s="558" t="s">
        <v>346</v>
      </c>
      <c r="C50" s="288"/>
      <c r="D50" s="288"/>
      <c r="E50" s="47"/>
    </row>
    <row r="51" spans="2:10">
      <c r="B51" s="558" t="s">
        <v>347</v>
      </c>
      <c r="C51" s="288"/>
      <c r="D51" s="288"/>
      <c r="E51" s="113" t="str">
        <f>Mvalloc!D15</f>
        <v xml:space="preserve">  </v>
      </c>
    </row>
    <row r="52" spans="2:10">
      <c r="B52" s="558" t="s">
        <v>348</v>
      </c>
      <c r="C52" s="288"/>
      <c r="D52" s="288"/>
      <c r="E52" s="113" t="str">
        <f>Mvalloc!E15</f>
        <v xml:space="preserve">  </v>
      </c>
    </row>
    <row r="53" spans="2:10">
      <c r="B53" s="115" t="s">
        <v>349</v>
      </c>
      <c r="C53" s="288"/>
      <c r="D53" s="288"/>
      <c r="E53" s="113" t="str">
        <f>Mvalloc!F15</f>
        <v xml:space="preserve">  </v>
      </c>
    </row>
    <row r="54" spans="2:10">
      <c r="B54" s="114" t="s">
        <v>350</v>
      </c>
      <c r="C54" s="288"/>
      <c r="D54" s="288"/>
      <c r="E54" s="113" t="str">
        <f>Mvalloc!G15</f>
        <v xml:space="preserve">  </v>
      </c>
      <c r="G54" s="677" t="str">
        <f>CONCATENATE("Desired Carryover Into ",E1+1,"")</f>
        <v>Desired Carryover Into 2026</v>
      </c>
      <c r="H54" s="678"/>
      <c r="I54" s="678"/>
      <c r="J54" s="679"/>
    </row>
    <row r="55" spans="2:10">
      <c r="B55" s="114" t="s">
        <v>351</v>
      </c>
      <c r="C55" s="288"/>
      <c r="D55" s="288"/>
      <c r="E55" s="113" t="str">
        <f>Mvalloc!H15</f>
        <v xml:space="preserve">  </v>
      </c>
      <c r="G55" s="352"/>
      <c r="H55" s="304"/>
      <c r="I55" s="318"/>
      <c r="J55" s="353"/>
    </row>
    <row r="56" spans="2:10">
      <c r="B56" s="193"/>
      <c r="C56" s="288"/>
      <c r="D56" s="288"/>
      <c r="E56" s="50"/>
      <c r="G56" s="324" t="s">
        <v>370</v>
      </c>
      <c r="H56" s="318"/>
      <c r="I56" s="318"/>
      <c r="J56" s="312">
        <v>0</v>
      </c>
    </row>
    <row r="57" spans="2:10">
      <c r="B57" s="193"/>
      <c r="C57" s="288"/>
      <c r="D57" s="288"/>
      <c r="E57" s="47"/>
      <c r="G57" s="352" t="s">
        <v>371</v>
      </c>
      <c r="H57" s="304"/>
      <c r="I57" s="304"/>
      <c r="J57" s="418" t="str">
        <f>IF(J56=0,"",ROUND((J56+E82-G69)/inputOth!E7*1000,3)-G74)</f>
        <v/>
      </c>
    </row>
    <row r="58" spans="2:10">
      <c r="B58" s="193"/>
      <c r="C58" s="288"/>
      <c r="D58" s="288"/>
      <c r="E58" s="47"/>
      <c r="G58" s="387" t="str">
        <f>CONCATENATE("",E1," Tot Exp/Non-Appr Must Be:")</f>
        <v>2025 Tot Exp/Non-Appr Must Be:</v>
      </c>
      <c r="H58" s="384"/>
      <c r="I58" s="385"/>
      <c r="J58" s="381">
        <f>IF(J56&gt;0,IF(E79&lt;E64,IF(J56=G69,E79,((J56-G69)*(1-D81))+E64),E79+(J56-G69)),0)</f>
        <v>0</v>
      </c>
    </row>
    <row r="59" spans="2:10">
      <c r="B59" s="229" t="s">
        <v>361</v>
      </c>
      <c r="C59" s="288"/>
      <c r="D59" s="288"/>
      <c r="E59" s="47"/>
      <c r="G59" s="416" t="s">
        <v>372</v>
      </c>
      <c r="H59" s="421"/>
      <c r="I59" s="421"/>
      <c r="J59" s="388">
        <f>IF(J56&gt;0,J58-E79,0)</f>
        <v>0</v>
      </c>
    </row>
    <row r="60" spans="2:10">
      <c r="B60" s="115" t="s">
        <v>362</v>
      </c>
      <c r="C60" s="288"/>
      <c r="D60" s="288"/>
      <c r="E60" s="280">
        <f>'NR Rebate'!E13*-1</f>
        <v>0</v>
      </c>
      <c r="J60" s="2"/>
    </row>
    <row r="61" spans="2:10">
      <c r="B61" s="558" t="s">
        <v>363</v>
      </c>
      <c r="C61" s="288"/>
      <c r="D61" s="288"/>
      <c r="E61" s="47"/>
      <c r="G61" s="677" t="str">
        <f>CONCATENATE("Projected Carryover Into ",E1+1,"")</f>
        <v>Projected Carryover Into 2026</v>
      </c>
      <c r="H61" s="722"/>
      <c r="I61" s="722"/>
      <c r="J61" s="798"/>
    </row>
    <row r="62" spans="2:10">
      <c r="B62" s="558" t="s">
        <v>399</v>
      </c>
      <c r="C62" s="296" t="str">
        <f>IF(C63*0.1&lt;C61,"Exceed 10% Rule","")</f>
        <v/>
      </c>
      <c r="D62" s="289" t="str">
        <f>IF(D63*0.1&lt;D61,"Exceed 10% Rule","")</f>
        <v/>
      </c>
      <c r="E62" s="299" t="str">
        <f>IF(E63*0.1+E82&lt;E61,"Exceed 10% Rule","")</f>
        <v/>
      </c>
      <c r="G62" s="313"/>
      <c r="H62" s="304"/>
      <c r="I62" s="304"/>
      <c r="J62" s="454"/>
    </row>
    <row r="63" spans="2:10">
      <c r="B63" s="190" t="s">
        <v>365</v>
      </c>
      <c r="C63" s="290">
        <f>SUM(C49:C61)</f>
        <v>0</v>
      </c>
      <c r="D63" s="290">
        <f>SUM(D49:D61)</f>
        <v>0</v>
      </c>
      <c r="E63" s="232">
        <f>SUM(E49:E61)</f>
        <v>0</v>
      </c>
      <c r="G63" s="315">
        <f>D76</f>
        <v>0</v>
      </c>
      <c r="H63" s="316" t="str">
        <f>CONCATENATE("",E1-1," Ending Cash Balance (est.)")</f>
        <v>2024 Ending Cash Balance (est.)</v>
      </c>
      <c r="I63" s="317"/>
      <c r="J63" s="454"/>
    </row>
    <row r="64" spans="2:10">
      <c r="B64" s="190" t="s">
        <v>366</v>
      </c>
      <c r="C64" s="290">
        <f>C47+C63</f>
        <v>0</v>
      </c>
      <c r="D64" s="290">
        <f>D47+D63</f>
        <v>0</v>
      </c>
      <c r="E64" s="232">
        <f>E47+E63</f>
        <v>0</v>
      </c>
      <c r="G64" s="315">
        <f>E63</f>
        <v>0</v>
      </c>
      <c r="H64" s="318" t="str">
        <f>CONCATENATE("",E1," Non-AV Receipts (est.)")</f>
        <v>2025 Non-AV Receipts (est.)</v>
      </c>
      <c r="I64" s="317"/>
      <c r="J64" s="454"/>
    </row>
    <row r="65" spans="2:11">
      <c r="B65" s="558" t="s">
        <v>367</v>
      </c>
      <c r="C65" s="558"/>
      <c r="D65" s="291"/>
      <c r="E65" s="113"/>
      <c r="G65" s="319">
        <f>IF(D81&gt;0,E80,E82)</f>
        <v>0</v>
      </c>
      <c r="H65" s="318" t="str">
        <f>CONCATENATE("",E1," Ad Valorem Tax (est.)")</f>
        <v>2025 Ad Valorem Tax (est.)</v>
      </c>
      <c r="I65" s="317"/>
      <c r="J65" s="454"/>
      <c r="K65" s="423" t="str">
        <f>IF(G65=E82,"","Note: Does not include Delinquent Taxes")</f>
        <v/>
      </c>
    </row>
    <row r="66" spans="2:11">
      <c r="B66" s="193"/>
      <c r="C66" s="288"/>
      <c r="D66" s="288"/>
      <c r="E66" s="47"/>
      <c r="G66" s="354">
        <f>SUM(G63:G65)</f>
        <v>0</v>
      </c>
      <c r="H66" s="318" t="str">
        <f>CONCATENATE("Total ",E1," Resources Available")</f>
        <v>Total 2025 Resources Available</v>
      </c>
      <c r="I66" s="314"/>
      <c r="J66" s="454"/>
    </row>
    <row r="67" spans="2:11">
      <c r="B67" s="193"/>
      <c r="C67" s="288"/>
      <c r="D67" s="288"/>
      <c r="E67" s="47"/>
      <c r="G67" s="357"/>
      <c r="H67" s="355"/>
      <c r="I67" s="304"/>
      <c r="J67" s="454"/>
    </row>
    <row r="68" spans="2:11">
      <c r="B68" s="193"/>
      <c r="C68" s="288"/>
      <c r="D68" s="288"/>
      <c r="E68" s="47"/>
      <c r="G68" s="356">
        <f>ROUND(C75*0.05+C75,0)</f>
        <v>0</v>
      </c>
      <c r="H68" s="355" t="str">
        <f>CONCATENATE("Less ",E1-2," Expenditures + 5%")</f>
        <v>Less 2023 Expenditures + 5%</v>
      </c>
      <c r="I68" s="314"/>
      <c r="J68" s="454"/>
    </row>
    <row r="69" spans="2:11">
      <c r="B69" s="193"/>
      <c r="C69" s="288"/>
      <c r="D69" s="288"/>
      <c r="E69" s="47"/>
      <c r="G69" s="360">
        <f>G66-G68</f>
        <v>0</v>
      </c>
      <c r="H69" s="361" t="str">
        <f>CONCATENATE("Projected ",E1+1," carryover (est.)")</f>
        <v>Projected 2026 carryover (est.)</v>
      </c>
      <c r="I69" s="323"/>
      <c r="J69" s="452"/>
    </row>
    <row r="70" spans="2:11">
      <c r="B70" s="193"/>
      <c r="C70" s="288"/>
      <c r="D70" s="288"/>
      <c r="E70" s="47"/>
      <c r="G70" s="2"/>
      <c r="H70" s="2"/>
      <c r="I70" s="2"/>
    </row>
    <row r="71" spans="2:11">
      <c r="B71" s="193"/>
      <c r="C71" s="288"/>
      <c r="D71" s="288"/>
      <c r="E71" s="47"/>
      <c r="G71" s="697" t="s">
        <v>395</v>
      </c>
      <c r="H71" s="736"/>
      <c r="I71" s="736"/>
      <c r="J71" s="737"/>
    </row>
    <row r="72" spans="2:11">
      <c r="B72" s="477" t="str">
        <f>CONCATENATE("Cash Reserve (",E1," column)")</f>
        <v>Cash Reserve (2025 column)</v>
      </c>
      <c r="C72" s="288"/>
      <c r="D72" s="288"/>
      <c r="E72" s="47"/>
      <c r="G72" s="738"/>
      <c r="H72" s="739"/>
      <c r="I72" s="739"/>
      <c r="J72" s="740"/>
    </row>
    <row r="73" spans="2:11">
      <c r="B73" s="115" t="s">
        <v>363</v>
      </c>
      <c r="C73" s="288"/>
      <c r="D73" s="288"/>
      <c r="E73" s="47"/>
      <c r="G73" s="429" t="str">
        <f>'Budget Hearing Notice'!H22</f>
        <v xml:space="preserve">  </v>
      </c>
      <c r="H73" s="316" t="str">
        <f>CONCATENATE("",E1," Estimated Fund Mill Rate")</f>
        <v>2025 Estimated Fund Mill Rate</v>
      </c>
      <c r="I73" s="382"/>
      <c r="J73" s="383"/>
    </row>
    <row r="74" spans="2:11">
      <c r="B74" s="115" t="s">
        <v>400</v>
      </c>
      <c r="C74" s="289" t="str">
        <f>IF(C75*0.1&lt;C73,"Exceed 10% Rule","")</f>
        <v/>
      </c>
      <c r="D74" s="289" t="str">
        <f>IF(D75*0.1&lt;D73,"Exceed 10% Rule","")</f>
        <v/>
      </c>
      <c r="E74" s="299" t="str">
        <f>IF(E75*0.1&lt;E73,"Exceed 10% Rule","")</f>
        <v/>
      </c>
      <c r="G74" s="485" t="str">
        <f>'Budget Hearing Notice'!E22</f>
        <v xml:space="preserve">  </v>
      </c>
      <c r="H74" s="316" t="str">
        <f>CONCATENATE("",E1-1," Fund Mill Rate")</f>
        <v>2024 Fund Mill Rate</v>
      </c>
      <c r="I74" s="382"/>
      <c r="J74" s="383"/>
    </row>
    <row r="75" spans="2:11">
      <c r="B75" s="190" t="s">
        <v>375</v>
      </c>
      <c r="C75" s="290">
        <f>SUM(C66:C73)</f>
        <v>0</v>
      </c>
      <c r="D75" s="290">
        <f>SUM(D66:D73)</f>
        <v>0</v>
      </c>
      <c r="E75" s="232">
        <f>SUM(E66:E73)</f>
        <v>0</v>
      </c>
      <c r="G75" s="486">
        <f>inputOth!C20</f>
        <v>0</v>
      </c>
      <c r="H75" s="484" t="s">
        <v>377</v>
      </c>
      <c r="I75" s="382"/>
      <c r="J75" s="489"/>
    </row>
    <row r="76" spans="2:11">
      <c r="B76" s="558" t="s">
        <v>376</v>
      </c>
      <c r="C76" s="295">
        <f>C64-C75</f>
        <v>0</v>
      </c>
      <c r="D76" s="295">
        <f>D64-D75</f>
        <v>0</v>
      </c>
      <c r="E76" s="237" t="s">
        <v>173</v>
      </c>
      <c r="G76" s="429">
        <f>'Budget Hearing Notice'!H31</f>
        <v>0</v>
      </c>
      <c r="H76" s="316" t="str">
        <f>CONCATENATE(E1," Estimated Total Mill Rate")</f>
        <v>2025 Estimated Total Mill Rate</v>
      </c>
      <c r="I76" s="382"/>
      <c r="J76" s="383"/>
    </row>
    <row r="77" spans="2:11">
      <c r="B77" s="120" t="str">
        <f>CONCATENATE("",E1-2,"/",E1-1,"/",E1," Budget Authority Amount:")</f>
        <v>2023/2024/2025 Budget Authority Amount:</v>
      </c>
      <c r="C77" s="280">
        <f>inputOth!B65</f>
        <v>0</v>
      </c>
      <c r="D77" s="280">
        <f>inputPrYr!D25</f>
        <v>0</v>
      </c>
      <c r="E77" s="280">
        <f>E75</f>
        <v>0</v>
      </c>
      <c r="F77" s="194"/>
      <c r="G77" s="485">
        <f>'Budget Hearing Notice'!E31</f>
        <v>0</v>
      </c>
      <c r="H77" s="316" t="str">
        <f>CONCATENATE(E1-1," Total Mill Rate")</f>
        <v>2024 Total Mill Rate</v>
      </c>
      <c r="I77" s="382"/>
      <c r="J77" s="383"/>
    </row>
    <row r="78" spans="2:11">
      <c r="B78" s="564"/>
      <c r="C78" s="684" t="s">
        <v>378</v>
      </c>
      <c r="D78" s="685"/>
      <c r="E78" s="47"/>
      <c r="F78" s="194" t="str">
        <f>IF(E75/0.95-E75&lt;E78,"Exceeds 5%","")</f>
        <v/>
      </c>
      <c r="G78" s="715" t="s">
        <v>381</v>
      </c>
      <c r="H78" s="716"/>
      <c r="I78" s="716"/>
      <c r="J78" s="719" t="str">
        <f>IF(G76&gt;G75, "Yes", "No")</f>
        <v>No</v>
      </c>
    </row>
    <row r="79" spans="2:11">
      <c r="B79" s="281" t="str">
        <f>CONCATENATE(C100,"     ",D100)</f>
        <v xml:space="preserve">     </v>
      </c>
      <c r="C79" s="686" t="s">
        <v>379</v>
      </c>
      <c r="D79" s="687"/>
      <c r="E79" s="113">
        <f>E75+E78</f>
        <v>0</v>
      </c>
      <c r="G79" s="717"/>
      <c r="H79" s="718"/>
      <c r="I79" s="718"/>
      <c r="J79" s="720"/>
    </row>
    <row r="80" spans="2:11">
      <c r="B80" s="281" t="str">
        <f>CONCATENATE(C101,"     ",D101)</f>
        <v xml:space="preserve">     </v>
      </c>
      <c r="C80" s="195"/>
      <c r="D80" s="555" t="s">
        <v>380</v>
      </c>
      <c r="E80" s="54">
        <f>IF(E79-E64&gt;0,E79-E64,0)</f>
        <v>0</v>
      </c>
      <c r="G80" s="675" t="str">
        <f>IF(J78="Yes", "Follow procedure prescribed by KSA 79-2988 to exceed the Revenue Neutral Rate.", " ")</f>
        <v xml:space="preserve"> </v>
      </c>
      <c r="H80" s="675"/>
      <c r="I80" s="675"/>
      <c r="J80" s="675"/>
    </row>
    <row r="81" spans="2:10">
      <c r="B81" s="555"/>
      <c r="C81" s="563" t="s">
        <v>382</v>
      </c>
      <c r="D81" s="426">
        <f>inputOth!E45</f>
        <v>0</v>
      </c>
      <c r="E81" s="113">
        <f>ROUND(IF(D81&gt;0,(E80*D81),0),0)</f>
        <v>0</v>
      </c>
      <c r="G81" s="676"/>
      <c r="H81" s="676"/>
      <c r="I81" s="676"/>
      <c r="J81" s="676"/>
    </row>
    <row r="82" spans="2:10" ht="16.5" thickBot="1">
      <c r="B82" s="36"/>
      <c r="C82" s="741" t="str">
        <f>CONCATENATE("Amount of  ",E1-1," Ad Valorem Tax")</f>
        <v>Amount of  2024 Ad Valorem Tax</v>
      </c>
      <c r="D82" s="683"/>
      <c r="E82" s="431">
        <f>E80+E81</f>
        <v>0</v>
      </c>
      <c r="G82" s="676"/>
      <c r="H82" s="676"/>
      <c r="I82" s="676"/>
      <c r="J82" s="676"/>
    </row>
    <row r="83" spans="2:10" ht="16.5" thickTop="1">
      <c r="B83" s="36"/>
      <c r="C83" s="564"/>
      <c r="D83" s="564"/>
      <c r="E83" s="564"/>
    </row>
    <row r="84" spans="2:10" ht="15.75" customHeight="1">
      <c r="B84" s="723" t="s">
        <v>383</v>
      </c>
      <c r="C84" s="724"/>
      <c r="D84" s="724"/>
      <c r="E84" s="725"/>
    </row>
    <row r="85" spans="2:10" ht="15.75" customHeight="1">
      <c r="B85" s="726"/>
      <c r="C85" s="727"/>
      <c r="D85" s="727"/>
      <c r="E85" s="728"/>
    </row>
    <row r="86" spans="2:10">
      <c r="B86" s="729"/>
      <c r="C86" s="730"/>
      <c r="D86" s="730"/>
      <c r="E86" s="731"/>
    </row>
    <row r="87" spans="2:10">
      <c r="B87" s="36"/>
      <c r="C87" s="36"/>
      <c r="D87" s="36"/>
      <c r="E87" s="36"/>
    </row>
    <row r="88" spans="2:10">
      <c r="B88" s="555" t="s">
        <v>384</v>
      </c>
      <c r="C88" s="471"/>
      <c r="D88" s="68"/>
      <c r="E88" s="36"/>
    </row>
    <row r="90" spans="2:10">
      <c r="B90" s="562"/>
      <c r="C90" s="562"/>
    </row>
    <row r="95" spans="2:10" hidden="1"/>
    <row r="96" spans="2:10" hidden="1"/>
    <row r="97" spans="3:4" hidden="1"/>
    <row r="98" spans="3:4" hidden="1">
      <c r="C98" s="303" t="str">
        <f>IF(C34&gt;C36,"See Tab A","")</f>
        <v/>
      </c>
      <c r="D98" s="303" t="str">
        <f>IF(D34&gt;D36,"See Tab C","")</f>
        <v/>
      </c>
    </row>
    <row r="99" spans="3:4">
      <c r="C99" s="303" t="str">
        <f>IF(C35&lt;0,"See Tab B","")</f>
        <v/>
      </c>
      <c r="D99" s="303" t="str">
        <f>IF(D35&lt;0,"See Tab D","")</f>
        <v/>
      </c>
    </row>
    <row r="100" spans="3:4">
      <c r="C100" s="300" t="str">
        <f>IF(C75&gt;C77,"See Tab A","")</f>
        <v/>
      </c>
      <c r="D100" s="300" t="str">
        <f>IF(D75&gt;D77,"See Tab C","")</f>
        <v/>
      </c>
    </row>
    <row r="101" spans="3:4">
      <c r="C101" s="300" t="str">
        <f>IF(C76&lt;0,"See Tab B","")</f>
        <v/>
      </c>
      <c r="D101" s="300" t="str">
        <f>IF(D76&lt;0,"See Tab D","")</f>
        <v/>
      </c>
    </row>
    <row r="102" spans="3:4">
      <c r="C102" s="300"/>
      <c r="D102" s="300"/>
    </row>
    <row r="103" spans="3:4">
      <c r="C103" s="300"/>
      <c r="D103" s="300"/>
    </row>
  </sheetData>
  <sheetProtection sheet="1" objects="1" scenarios="1"/>
  <mergeCells count="20">
    <mergeCell ref="C82:D82"/>
    <mergeCell ref="C78:D78"/>
    <mergeCell ref="C79:D79"/>
    <mergeCell ref="G61:J61"/>
    <mergeCell ref="B84:E86"/>
    <mergeCell ref="G71:J72"/>
    <mergeCell ref="G78:I79"/>
    <mergeCell ref="J78:J79"/>
    <mergeCell ref="G80:J82"/>
    <mergeCell ref="C37:D37"/>
    <mergeCell ref="C38:D38"/>
    <mergeCell ref="G13:J13"/>
    <mergeCell ref="G54:J54"/>
    <mergeCell ref="G20:J20"/>
    <mergeCell ref="C42:D42"/>
    <mergeCell ref="C41:D41"/>
    <mergeCell ref="G30:J31"/>
    <mergeCell ref="G37:I38"/>
    <mergeCell ref="J37:J38"/>
    <mergeCell ref="G39:J41"/>
  </mergeCells>
  <phoneticPr fontId="0" type="noConversion"/>
  <conditionalFormatting sqref="C20">
    <cfRule type="cellIs" dxfId="92" priority="17" stopIfTrue="1" operator="greaterThan">
      <formula>$C$22*0.1</formula>
    </cfRule>
  </conditionalFormatting>
  <conditionalFormatting sqref="C32">
    <cfRule type="cellIs" dxfId="91" priority="18" stopIfTrue="1" operator="greaterThan">
      <formula>$C$34*0.1</formula>
    </cfRule>
  </conditionalFormatting>
  <conditionalFormatting sqref="C34">
    <cfRule type="cellIs" dxfId="90" priority="12" stopIfTrue="1" operator="greaterThan">
      <formula>$C$36</formula>
    </cfRule>
  </conditionalFormatting>
  <conditionalFormatting sqref="C35 C76">
    <cfRule type="cellIs" dxfId="89" priority="9" stopIfTrue="1" operator="lessThan">
      <formula>0</formula>
    </cfRule>
  </conditionalFormatting>
  <conditionalFormatting sqref="C61">
    <cfRule type="cellIs" dxfId="88" priority="21" stopIfTrue="1" operator="greaterThan">
      <formula>$C$63*0.1</formula>
    </cfRule>
  </conditionalFormatting>
  <conditionalFormatting sqref="C73">
    <cfRule type="cellIs" dxfId="87" priority="22" stopIfTrue="1" operator="greaterThan">
      <formula>$C$75*0.1</formula>
    </cfRule>
  </conditionalFormatting>
  <conditionalFormatting sqref="C75">
    <cfRule type="cellIs" dxfId="86" priority="10" stopIfTrue="1" operator="greaterThan">
      <formula>$C$77</formula>
    </cfRule>
  </conditionalFormatting>
  <conditionalFormatting sqref="D20">
    <cfRule type="cellIs" dxfId="85" priority="16" stopIfTrue="1" operator="greaterThan">
      <formula>$D$22*0.1</formula>
    </cfRule>
  </conditionalFormatting>
  <conditionalFormatting sqref="D32">
    <cfRule type="cellIs" dxfId="84" priority="19" stopIfTrue="1" operator="greaterThan">
      <formula>$D$34*0.1</formula>
    </cfRule>
  </conditionalFormatting>
  <conditionalFormatting sqref="D34">
    <cfRule type="cellIs" dxfId="83" priority="13" stopIfTrue="1" operator="greaterThan">
      <formula>$D$36</formula>
    </cfRule>
  </conditionalFormatting>
  <conditionalFormatting sqref="D35 D76">
    <cfRule type="cellIs" dxfId="82" priority="4" stopIfTrue="1" operator="lessThan">
      <formula>0</formula>
    </cfRule>
  </conditionalFormatting>
  <conditionalFormatting sqref="D61">
    <cfRule type="cellIs" dxfId="81" priority="20" stopIfTrue="1" operator="greaterThan">
      <formula>$D$63*0.1</formula>
    </cfRule>
  </conditionalFormatting>
  <conditionalFormatting sqref="D73">
    <cfRule type="cellIs" dxfId="80" priority="23" stopIfTrue="1" operator="greaterThan">
      <formula>$D$75*0.1</formula>
    </cfRule>
  </conditionalFormatting>
  <conditionalFormatting sqref="D75">
    <cfRule type="cellIs" dxfId="79" priority="11" stopIfTrue="1" operator="greaterThan">
      <formula>$D$77</formula>
    </cfRule>
  </conditionalFormatting>
  <conditionalFormatting sqref="E20">
    <cfRule type="cellIs" dxfId="78" priority="15" stopIfTrue="1" operator="greaterThan">
      <formula>$E$22*0.1+E41</formula>
    </cfRule>
  </conditionalFormatting>
  <conditionalFormatting sqref="E32">
    <cfRule type="cellIs" dxfId="77" priority="7" stopIfTrue="1" operator="greaterThan">
      <formula>$E$34*0.1</formula>
    </cfRule>
  </conditionalFormatting>
  <conditionalFormatting sqref="E37">
    <cfRule type="cellIs" dxfId="76" priority="8" stopIfTrue="1" operator="greaterThan">
      <formula>$E$34/0.95-$E$34</formula>
    </cfRule>
  </conditionalFormatting>
  <conditionalFormatting sqref="E61">
    <cfRule type="cellIs" dxfId="75" priority="14" stopIfTrue="1" operator="greaterThan">
      <formula>$E$63*0.1+E82</formula>
    </cfRule>
  </conditionalFormatting>
  <conditionalFormatting sqref="E73">
    <cfRule type="cellIs" dxfId="74" priority="5" stopIfTrue="1" operator="greaterThan">
      <formula>$E$75*0.1</formula>
    </cfRule>
  </conditionalFormatting>
  <conditionalFormatting sqref="E78">
    <cfRule type="cellIs" dxfId="73" priority="6" stopIfTrue="1" operator="greaterThan">
      <formula>$E$75/0.95-$E$75</formula>
    </cfRule>
  </conditionalFormatting>
  <conditionalFormatting sqref="J37:J38">
    <cfRule type="containsText" dxfId="72" priority="2" operator="containsText" text="Yes">
      <formula>NOT(ISERROR(SEARCH("Yes",J37)))</formula>
    </cfRule>
  </conditionalFormatting>
  <conditionalFormatting sqref="J78:J79">
    <cfRule type="containsText" dxfId="71" priority="1" operator="containsText" text="Yes">
      <formula>NOT(ISERROR(SEARCH("Yes",J78)))</formula>
    </cfRule>
  </conditionalFormatting>
  <pageMargins left="0.5" right="0.5" top="1" bottom="0.5" header="0.5" footer="0.5"/>
  <pageSetup scale="51" orientation="portrait" blackAndWhite="1"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pageSetUpPr fitToPage="1"/>
  </sheetPr>
  <dimension ref="B1:E67"/>
  <sheetViews>
    <sheetView workbookViewId="0">
      <selection activeCell="B1" sqref="B1"/>
    </sheetView>
  </sheetViews>
  <sheetFormatPr defaultColWidth="8.88671875" defaultRowHeight="15.75"/>
  <cols>
    <col min="1" max="1" width="2.44140625" style="37" customWidth="1"/>
    <col min="2" max="2" width="31.109375" style="37" customWidth="1"/>
    <col min="3" max="4" width="15.77734375" style="37" customWidth="1"/>
    <col min="5" max="5" width="16.109375" style="37" customWidth="1"/>
    <col min="6" max="16384" width="8.88671875" style="37"/>
  </cols>
  <sheetData>
    <row r="1" spans="2:5">
      <c r="B1" s="75">
        <f>(inputPrYr!D3)</f>
        <v>0</v>
      </c>
      <c r="C1" s="36"/>
      <c r="D1" s="36"/>
      <c r="E1" s="91">
        <f>inputPrYr!$C$6</f>
        <v>2025</v>
      </c>
    </row>
    <row r="2" spans="2:5">
      <c r="B2" s="36"/>
      <c r="C2" s="36"/>
      <c r="D2" s="36"/>
      <c r="E2" s="555"/>
    </row>
    <row r="3" spans="2:5">
      <c r="B3" s="45" t="s">
        <v>401</v>
      </c>
      <c r="C3" s="224"/>
      <c r="D3" s="224"/>
      <c r="E3" s="225"/>
    </row>
    <row r="4" spans="2:5">
      <c r="B4" s="39" t="s">
        <v>161</v>
      </c>
      <c r="C4" s="433" t="s">
        <v>340</v>
      </c>
      <c r="D4" s="434" t="s">
        <v>341</v>
      </c>
      <c r="E4" s="103" t="s">
        <v>342</v>
      </c>
    </row>
    <row r="5" spans="2:5">
      <c r="B5" s="298" t="str">
        <f>(inputPrYr!B29)</f>
        <v>Special Highway</v>
      </c>
      <c r="C5" s="149" t="str">
        <f>CONCATENATE("Actual for ",$E$1-2,"")</f>
        <v>Actual for 2023</v>
      </c>
      <c r="D5" s="560" t="str">
        <f>CONCATENATE("Estimate for ",$E$1-1,"")</f>
        <v>Estimate for 2024</v>
      </c>
      <c r="E5" s="134" t="str">
        <f>CONCATENATE("Year for ",$E$1,"")</f>
        <v>Year for 2025</v>
      </c>
    </row>
    <row r="6" spans="2:5">
      <c r="B6" s="558" t="s">
        <v>343</v>
      </c>
      <c r="C6" s="47">
        <v>0</v>
      </c>
      <c r="D6" s="113">
        <f>C26</f>
        <v>0</v>
      </c>
      <c r="E6" s="113">
        <f>D26</f>
        <v>0</v>
      </c>
    </row>
    <row r="7" spans="2:5">
      <c r="B7" s="179" t="s">
        <v>344</v>
      </c>
      <c r="C7" s="113"/>
      <c r="D7" s="113"/>
      <c r="E7" s="113"/>
    </row>
    <row r="8" spans="2:5">
      <c r="B8" s="235" t="s">
        <v>402</v>
      </c>
      <c r="C8" s="47"/>
      <c r="D8" s="113">
        <f>inputOth!E51</f>
        <v>0</v>
      </c>
      <c r="E8" s="113">
        <f>inputOth!E49</f>
        <v>0</v>
      </c>
    </row>
    <row r="9" spans="2:5">
      <c r="B9" s="235" t="s">
        <v>403</v>
      </c>
      <c r="C9" s="47"/>
      <c r="D9" s="113">
        <f>inputOth!E52</f>
        <v>0</v>
      </c>
      <c r="E9" s="113">
        <f>inputOth!E50</f>
        <v>0</v>
      </c>
    </row>
    <row r="10" spans="2:5">
      <c r="B10" s="193"/>
      <c r="C10" s="47"/>
      <c r="D10" s="47"/>
      <c r="E10" s="47"/>
    </row>
    <row r="11" spans="2:5">
      <c r="B11" s="193"/>
      <c r="C11" s="47"/>
      <c r="D11" s="47"/>
      <c r="E11" s="47"/>
    </row>
    <row r="12" spans="2:5">
      <c r="B12" s="229" t="s">
        <v>361</v>
      </c>
      <c r="C12" s="47"/>
      <c r="D12" s="47"/>
      <c r="E12" s="47"/>
    </row>
    <row r="13" spans="2:5">
      <c r="B13" s="233" t="s">
        <v>363</v>
      </c>
      <c r="C13" s="47"/>
      <c r="D13" s="47"/>
      <c r="E13" s="47"/>
    </row>
    <row r="14" spans="2:5">
      <c r="B14" s="233" t="s">
        <v>364</v>
      </c>
      <c r="C14" s="299" t="str">
        <f>IF(C15*0.1&lt;C13,"Exceed 10% Rule","")</f>
        <v/>
      </c>
      <c r="D14" s="230" t="str">
        <f>IF(D15*0.1&lt;D13,"Exceed 10% Rule","")</f>
        <v/>
      </c>
      <c r="E14" s="230" t="str">
        <f>IF(E15*0.1&lt;E13,"Exceed 10% Rule","")</f>
        <v/>
      </c>
    </row>
    <row r="15" spans="2:5">
      <c r="B15" s="190" t="s">
        <v>365</v>
      </c>
      <c r="C15" s="232">
        <f>SUM(C8:C13)</f>
        <v>0</v>
      </c>
      <c r="D15" s="232">
        <f>SUM(D8:D13)</f>
        <v>0</v>
      </c>
      <c r="E15" s="232">
        <f>SUM(E8:E13)</f>
        <v>0</v>
      </c>
    </row>
    <row r="16" spans="2:5">
      <c r="B16" s="190" t="s">
        <v>366</v>
      </c>
      <c r="C16" s="232">
        <f>C6+C15</f>
        <v>0</v>
      </c>
      <c r="D16" s="232">
        <f>D6+D15</f>
        <v>0</v>
      </c>
      <c r="E16" s="232">
        <f>E6+E15</f>
        <v>0</v>
      </c>
    </row>
    <row r="17" spans="2:5">
      <c r="B17" s="558" t="s">
        <v>367</v>
      </c>
      <c r="C17" s="113"/>
      <c r="D17" s="113"/>
      <c r="E17" s="113"/>
    </row>
    <row r="18" spans="2:5">
      <c r="B18" s="193" t="s">
        <v>404</v>
      </c>
      <c r="C18" s="47"/>
      <c r="D18" s="47"/>
      <c r="E18" s="47"/>
    </row>
    <row r="19" spans="2:5">
      <c r="B19" s="262"/>
      <c r="C19" s="47"/>
      <c r="D19" s="47"/>
      <c r="E19" s="47"/>
    </row>
    <row r="20" spans="2:5">
      <c r="B20" s="262"/>
      <c r="C20" s="47"/>
      <c r="D20" s="47"/>
      <c r="E20" s="47"/>
    </row>
    <row r="21" spans="2:5">
      <c r="B21" s="193"/>
      <c r="C21" s="47"/>
      <c r="D21" s="47"/>
      <c r="E21" s="47"/>
    </row>
    <row r="22" spans="2:5">
      <c r="B22" s="477" t="str">
        <f>CONCATENATE("Cash Reserve (",E1," column)")</f>
        <v>Cash Reserve (2025 column)</v>
      </c>
      <c r="C22" s="47"/>
      <c r="D22" s="47"/>
      <c r="E22" s="47"/>
    </row>
    <row r="23" spans="2:5">
      <c r="B23" s="115" t="s">
        <v>363</v>
      </c>
      <c r="C23" s="47"/>
      <c r="D23" s="47"/>
      <c r="E23" s="47"/>
    </row>
    <row r="24" spans="2:5">
      <c r="B24" s="46" t="s">
        <v>374</v>
      </c>
      <c r="C24" s="299" t="str">
        <f>IF(C25*0.1&lt;C23,"Exceed 10% Rule","")</f>
        <v/>
      </c>
      <c r="D24" s="230" t="str">
        <f>IF(D25*0.1&lt;D23,"Exceed 10% Rule","")</f>
        <v/>
      </c>
      <c r="E24" s="230" t="str">
        <f>IF(E25*0.1&lt;E23,"Exceed 10% Rule","")</f>
        <v/>
      </c>
    </row>
    <row r="25" spans="2:5">
      <c r="B25" s="190" t="s">
        <v>375</v>
      </c>
      <c r="C25" s="232">
        <f>SUM(C18:C23)</f>
        <v>0</v>
      </c>
      <c r="D25" s="232">
        <f>SUM(D18:D23)</f>
        <v>0</v>
      </c>
      <c r="E25" s="232">
        <f>SUM(E18:E23)</f>
        <v>0</v>
      </c>
    </row>
    <row r="26" spans="2:5">
      <c r="B26" s="558" t="s">
        <v>376</v>
      </c>
      <c r="C26" s="54">
        <f>C16-C25</f>
        <v>0</v>
      </c>
      <c r="D26" s="54">
        <f>D16-D25</f>
        <v>0</v>
      </c>
      <c r="E26" s="54">
        <f>E16-E25</f>
        <v>0</v>
      </c>
    </row>
    <row r="27" spans="2:5">
      <c r="B27" s="120" t="str">
        <f>CONCATENATE("",E1-2,"/",E1-1,"/",E1," Budget Authority Amount:")</f>
        <v>2023/2024/2025 Budget Authority Amount:</v>
      </c>
      <c r="C27" s="280">
        <f>inputOth!B66</f>
        <v>0</v>
      </c>
      <c r="D27" s="280">
        <f>inputPrYr!D29</f>
        <v>0</v>
      </c>
      <c r="E27" s="280">
        <f>E25</f>
        <v>0</v>
      </c>
    </row>
    <row r="28" spans="2:5">
      <c r="B28" s="564"/>
      <c r="C28" s="195" t="str">
        <f>IF(C25&gt;C27,"See Tab A","")</f>
        <v/>
      </c>
      <c r="D28" s="195" t="str">
        <f>IF(D25&gt;D27,"See Tab C","")</f>
        <v/>
      </c>
      <c r="E28" s="458" t="str">
        <f>IF(E26&lt;0,"See Tab E","")</f>
        <v/>
      </c>
    </row>
    <row r="29" spans="2:5">
      <c r="B29" s="564"/>
      <c r="C29" s="195" t="str">
        <f>IF(C26&lt;0,"See Tab B","")</f>
        <v/>
      </c>
      <c r="D29" s="195" t="str">
        <f>IF(D26&lt;0,"See Tab D","")</f>
        <v/>
      </c>
      <c r="E29" s="48"/>
    </row>
    <row r="30" spans="2:5">
      <c r="B30" s="36"/>
      <c r="C30" s="48"/>
      <c r="D30" s="48"/>
      <c r="E30" s="48"/>
    </row>
    <row r="31" spans="2:5">
      <c r="B31" s="39" t="s">
        <v>161</v>
      </c>
      <c r="C31" s="433" t="s">
        <v>340</v>
      </c>
      <c r="D31" s="434" t="s">
        <v>341</v>
      </c>
      <c r="E31" s="103" t="s">
        <v>342</v>
      </c>
    </row>
    <row r="32" spans="2:5">
      <c r="B32" s="297">
        <f>(inputPrYr!B30)</f>
        <v>0</v>
      </c>
      <c r="C32" s="149" t="str">
        <f>CONCATENATE("Actual for ",$E$1-2,"")</f>
        <v>Actual for 2023</v>
      </c>
      <c r="D32" s="560" t="str">
        <f>CONCATENATE("Estimate for ",$E$1-1,"")</f>
        <v>Estimate for 2024</v>
      </c>
      <c r="E32" s="134" t="str">
        <f>CONCATENATE("Year for ",$E$1,"")</f>
        <v>Year for 2025</v>
      </c>
    </row>
    <row r="33" spans="2:5">
      <c r="B33" s="558" t="s">
        <v>343</v>
      </c>
      <c r="C33" s="47">
        <v>0</v>
      </c>
      <c r="D33" s="113">
        <f>C60</f>
        <v>0</v>
      </c>
      <c r="E33" s="113">
        <f>D60</f>
        <v>0</v>
      </c>
    </row>
    <row r="34" spans="2:5">
      <c r="B34" s="558" t="s">
        <v>344</v>
      </c>
      <c r="C34" s="113"/>
      <c r="D34" s="113"/>
      <c r="E34" s="113"/>
    </row>
    <row r="35" spans="2:5">
      <c r="B35" s="193"/>
      <c r="C35" s="47"/>
      <c r="D35" s="47"/>
      <c r="E35" s="47"/>
    </row>
    <row r="36" spans="2:5">
      <c r="B36" s="193" t="s">
        <v>405</v>
      </c>
      <c r="C36" s="47"/>
      <c r="D36" s="47"/>
      <c r="E36" s="47"/>
    </row>
    <row r="37" spans="2:5">
      <c r="B37" s="193"/>
      <c r="C37" s="47"/>
      <c r="D37" s="47"/>
      <c r="E37" s="47"/>
    </row>
    <row r="38" spans="2:5">
      <c r="B38" s="193"/>
      <c r="C38" s="47"/>
      <c r="D38" s="47"/>
      <c r="E38" s="47"/>
    </row>
    <row r="39" spans="2:5">
      <c r="B39" s="193"/>
      <c r="C39" s="47"/>
      <c r="D39" s="47"/>
      <c r="E39" s="47"/>
    </row>
    <row r="40" spans="2:5">
      <c r="B40" s="193"/>
      <c r="C40" s="47"/>
      <c r="D40" s="47"/>
      <c r="E40" s="47"/>
    </row>
    <row r="41" spans="2:5">
      <c r="B41" s="229" t="s">
        <v>361</v>
      </c>
      <c r="C41" s="47"/>
      <c r="D41" s="47"/>
      <c r="E41" s="47"/>
    </row>
    <row r="42" spans="2:5">
      <c r="B42" s="233" t="s">
        <v>363</v>
      </c>
      <c r="C42" s="47"/>
      <c r="D42" s="47"/>
      <c r="E42" s="47"/>
    </row>
    <row r="43" spans="2:5">
      <c r="B43" s="233" t="s">
        <v>399</v>
      </c>
      <c r="C43" s="299" t="str">
        <f>IF(C44*0.1&lt;C42,"Exceed 10% Rule","")</f>
        <v/>
      </c>
      <c r="D43" s="230" t="str">
        <f>IF(D44*0.1&lt;D42,"Exceed 10% Rule","")</f>
        <v/>
      </c>
      <c r="E43" s="230" t="str">
        <f>IF(E44*0.1&lt;E42,"Exceed 10% Rule","")</f>
        <v/>
      </c>
    </row>
    <row r="44" spans="2:5">
      <c r="B44" s="190" t="s">
        <v>365</v>
      </c>
      <c r="C44" s="232">
        <f>SUM(C35:C42)</f>
        <v>0</v>
      </c>
      <c r="D44" s="232">
        <f>SUM(D35:D42)</f>
        <v>0</v>
      </c>
      <c r="E44" s="232">
        <f>SUM(E35:E42)</f>
        <v>0</v>
      </c>
    </row>
    <row r="45" spans="2:5">
      <c r="B45" s="190" t="s">
        <v>366</v>
      </c>
      <c r="C45" s="232">
        <f>C33+C44</f>
        <v>0</v>
      </c>
      <c r="D45" s="232">
        <f>D33+D44</f>
        <v>0</v>
      </c>
      <c r="E45" s="232">
        <f>E33+E44</f>
        <v>0</v>
      </c>
    </row>
    <row r="46" spans="2:5">
      <c r="B46" s="558" t="s">
        <v>367</v>
      </c>
      <c r="C46" s="113"/>
      <c r="D46" s="113"/>
      <c r="E46" s="113"/>
    </row>
    <row r="47" spans="2:5">
      <c r="B47" s="193"/>
      <c r="C47" s="47"/>
      <c r="D47" s="47"/>
      <c r="E47" s="47"/>
    </row>
    <row r="48" spans="2:5">
      <c r="B48" s="370"/>
      <c r="C48" s="47"/>
      <c r="D48" s="47"/>
      <c r="E48" s="47"/>
    </row>
    <row r="49" spans="2:5">
      <c r="B49" s="370"/>
      <c r="C49" s="47"/>
      <c r="D49" s="47"/>
      <c r="E49" s="47"/>
    </row>
    <row r="50" spans="2:5">
      <c r="B50" s="370"/>
      <c r="C50" s="47"/>
      <c r="D50" s="47"/>
      <c r="E50" s="47"/>
    </row>
    <row r="51" spans="2:5">
      <c r="B51" s="370"/>
      <c r="C51" s="47"/>
      <c r="D51" s="47"/>
      <c r="E51" s="47"/>
    </row>
    <row r="52" spans="2:5">
      <c r="B52" s="370"/>
      <c r="C52" s="47"/>
      <c r="D52" s="47"/>
      <c r="E52" s="47"/>
    </row>
    <row r="53" spans="2:5">
      <c r="B53" s="370"/>
      <c r="C53" s="47"/>
      <c r="D53" s="47"/>
      <c r="E53" s="47"/>
    </row>
    <row r="54" spans="2:5">
      <c r="B54" s="370"/>
      <c r="C54" s="47"/>
      <c r="D54" s="47"/>
      <c r="E54" s="47"/>
    </row>
    <row r="55" spans="2:5">
      <c r="B55" s="370"/>
      <c r="C55" s="47"/>
      <c r="D55" s="47"/>
      <c r="E55" s="47"/>
    </row>
    <row r="56" spans="2:5">
      <c r="B56" s="477" t="str">
        <f>CONCATENATE("Cash Reserve (",E1," column)")</f>
        <v>Cash Reserve (2025 column)</v>
      </c>
      <c r="C56" s="47"/>
      <c r="D56" s="47"/>
      <c r="E56" s="47"/>
    </row>
    <row r="57" spans="2:5">
      <c r="B57" s="115" t="s">
        <v>363</v>
      </c>
      <c r="C57" s="47"/>
      <c r="D57" s="47"/>
      <c r="E57" s="47"/>
    </row>
    <row r="58" spans="2:5">
      <c r="B58" s="115" t="s">
        <v>400</v>
      </c>
      <c r="C58" s="299" t="str">
        <f>IF(C59*0.1&lt;C57,"Exceed 10% Rule","")</f>
        <v/>
      </c>
      <c r="D58" s="230" t="str">
        <f>IF(D59*0.1&lt;D57,"Exceed 10% Rule","")</f>
        <v/>
      </c>
      <c r="E58" s="230" t="str">
        <f>IF(E59*0.1&lt;E57,"Exceed 10% Rule","")</f>
        <v/>
      </c>
    </row>
    <row r="59" spans="2:5">
      <c r="B59" s="190" t="s">
        <v>375</v>
      </c>
      <c r="C59" s="232">
        <f>SUM(C47:C57)</f>
        <v>0</v>
      </c>
      <c r="D59" s="232">
        <f>SUM(D47:D57)</f>
        <v>0</v>
      </c>
      <c r="E59" s="232">
        <f>SUM(E47:E57)</f>
        <v>0</v>
      </c>
    </row>
    <row r="60" spans="2:5">
      <c r="B60" s="558" t="s">
        <v>376</v>
      </c>
      <c r="C60" s="54">
        <f>C45-C59</f>
        <v>0</v>
      </c>
      <c r="D60" s="54">
        <f>D45-D59</f>
        <v>0</v>
      </c>
      <c r="E60" s="54">
        <f>E45-E59</f>
        <v>0</v>
      </c>
    </row>
    <row r="61" spans="2:5">
      <c r="B61" s="120" t="str">
        <f>CONCATENATE("",E1-2,"/",E1-1,"/",E1," Budget Authority Amount:")</f>
        <v>2023/2024/2025 Budget Authority Amount:</v>
      </c>
      <c r="C61" s="280">
        <f>inputOth!B67</f>
        <v>0</v>
      </c>
      <c r="D61" s="280">
        <f>inputPrYr!D30</f>
        <v>0</v>
      </c>
      <c r="E61" s="113">
        <f>E59</f>
        <v>0</v>
      </c>
    </row>
    <row r="62" spans="2:5">
      <c r="B62" s="564"/>
      <c r="C62" s="195" t="str">
        <f>IF(C59&gt;C61,"See Tab A","")</f>
        <v/>
      </c>
      <c r="D62" s="195" t="str">
        <f>IF(D59&gt;D61,"See Tab C","")</f>
        <v/>
      </c>
      <c r="E62" s="458" t="str">
        <f>IF(E60&lt;0,"See Tab E","")</f>
        <v/>
      </c>
    </row>
    <row r="63" spans="2:5">
      <c r="B63" s="723" t="s">
        <v>383</v>
      </c>
      <c r="C63" s="724"/>
      <c r="D63" s="724"/>
      <c r="E63" s="725"/>
    </row>
    <row r="64" spans="2:5">
      <c r="B64" s="726"/>
      <c r="C64" s="727"/>
      <c r="D64" s="727"/>
      <c r="E64" s="728"/>
    </row>
    <row r="65" spans="2:5">
      <c r="B65" s="729"/>
      <c r="C65" s="730"/>
      <c r="D65" s="730"/>
      <c r="E65" s="731"/>
    </row>
    <row r="66" spans="2:5">
      <c r="B66" s="36"/>
      <c r="C66" s="36"/>
      <c r="D66" s="36"/>
      <c r="E66" s="36"/>
    </row>
    <row r="67" spans="2:5">
      <c r="B67" s="555" t="s">
        <v>384</v>
      </c>
      <c r="C67" s="473"/>
      <c r="D67" s="36"/>
      <c r="E67" s="36"/>
    </row>
  </sheetData>
  <sheetProtection sheet="1" objects="1" scenarios="1"/>
  <mergeCells count="1">
    <mergeCell ref="B63:E65"/>
  </mergeCells>
  <phoneticPr fontId="0" type="noConversion"/>
  <conditionalFormatting sqref="C13">
    <cfRule type="cellIs" dxfId="70" priority="9" stopIfTrue="1" operator="greaterThan">
      <formula>$C$15*0.1</formula>
    </cfRule>
  </conditionalFormatting>
  <conditionalFormatting sqref="C23">
    <cfRule type="cellIs" dxfId="69" priority="15" stopIfTrue="1" operator="greaterThan">
      <formula>$C$25*0.1</formula>
    </cfRule>
  </conditionalFormatting>
  <conditionalFormatting sqref="C25">
    <cfRule type="cellIs" dxfId="68" priority="2" stopIfTrue="1" operator="greaterThan">
      <formula>$C$27</formula>
    </cfRule>
  </conditionalFormatting>
  <conditionalFormatting sqref="C42">
    <cfRule type="cellIs" dxfId="67" priority="10" stopIfTrue="1" operator="greaterThan">
      <formula>$C$44*0.1</formula>
    </cfRule>
  </conditionalFormatting>
  <conditionalFormatting sqref="C57">
    <cfRule type="cellIs" dxfId="66" priority="18" stopIfTrue="1" operator="greaterThan">
      <formula>$C$59*0.1</formula>
    </cfRule>
  </conditionalFormatting>
  <conditionalFormatting sqref="C59">
    <cfRule type="cellIs" dxfId="65" priority="1" stopIfTrue="1" operator="greaterThan">
      <formula>$C$61</formula>
    </cfRule>
  </conditionalFormatting>
  <conditionalFormatting sqref="C26:D26">
    <cfRule type="cellIs" dxfId="64" priority="5" stopIfTrue="1" operator="lessThan">
      <formula>0</formula>
    </cfRule>
  </conditionalFormatting>
  <conditionalFormatting sqref="D13">
    <cfRule type="cellIs" dxfId="63" priority="11" stopIfTrue="1" operator="greaterThan">
      <formula>$D$15*0.1</formula>
    </cfRule>
  </conditionalFormatting>
  <conditionalFormatting sqref="D23">
    <cfRule type="cellIs" dxfId="62" priority="16" stopIfTrue="1" operator="greaterThan">
      <formula>$D$25*0.1</formula>
    </cfRule>
  </conditionalFormatting>
  <conditionalFormatting sqref="D25">
    <cfRule type="cellIs" dxfId="61" priority="3" stopIfTrue="1" operator="greaterThan">
      <formula>$D$27</formula>
    </cfRule>
  </conditionalFormatting>
  <conditionalFormatting sqref="D42">
    <cfRule type="cellIs" dxfId="60" priority="13" stopIfTrue="1" operator="greaterThan">
      <formula>$D$44*0.1</formula>
    </cfRule>
  </conditionalFormatting>
  <conditionalFormatting sqref="D57">
    <cfRule type="cellIs" dxfId="59" priority="19" stopIfTrue="1" operator="greaterThan">
      <formula>$D$59*0.1</formula>
    </cfRule>
  </conditionalFormatting>
  <conditionalFormatting sqref="D59">
    <cfRule type="cellIs" dxfId="58" priority="22" stopIfTrue="1" operator="greaterThan">
      <formula>$D$61</formula>
    </cfRule>
  </conditionalFormatting>
  <conditionalFormatting sqref="D60">
    <cfRule type="cellIs" dxfId="57" priority="7" stopIfTrue="1" operator="lessThan">
      <formula>0</formula>
    </cfRule>
  </conditionalFormatting>
  <conditionalFormatting sqref="E13">
    <cfRule type="cellIs" dxfId="56" priority="12" stopIfTrue="1" operator="greaterThan">
      <formula>$E$15*0.1</formula>
    </cfRule>
  </conditionalFormatting>
  <conditionalFormatting sqref="E23">
    <cfRule type="cellIs" dxfId="55" priority="17" stopIfTrue="1" operator="greaterThan">
      <formula>$E$25*0.1</formula>
    </cfRule>
  </conditionalFormatting>
  <conditionalFormatting sqref="E26 C60">
    <cfRule type="cellIs" dxfId="54" priority="21" stopIfTrue="1" operator="lessThan">
      <formula>0</formula>
    </cfRule>
  </conditionalFormatting>
  <conditionalFormatting sqref="E42">
    <cfRule type="cellIs" dxfId="53" priority="14" stopIfTrue="1" operator="greaterThan">
      <formula>$E$44*0.1</formula>
    </cfRule>
  </conditionalFormatting>
  <conditionalFormatting sqref="E57">
    <cfRule type="cellIs" dxfId="52" priority="20" stopIfTrue="1" operator="greaterThan">
      <formula>$E$59*0.1</formula>
    </cfRule>
  </conditionalFormatting>
  <conditionalFormatting sqref="E60">
    <cfRule type="cellIs" dxfId="51" priority="23" stopIfTrue="1" operator="lessThan">
      <formula>0</formula>
    </cfRule>
  </conditionalFormatting>
  <pageMargins left="0.5" right="0.5" top="1" bottom="0.5" header="0.5" footer="0.5"/>
  <pageSetup scale="65" orientation="portrait" blackAndWhite="1"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F0"/>
    <pageSetUpPr fitToPage="1"/>
  </sheetPr>
  <dimension ref="B1:E68"/>
  <sheetViews>
    <sheetView workbookViewId="0">
      <selection activeCell="B5" sqref="B5"/>
    </sheetView>
  </sheetViews>
  <sheetFormatPr defaultColWidth="8.88671875" defaultRowHeight="15.75"/>
  <cols>
    <col min="1" max="1" width="2.44140625" style="37" customWidth="1"/>
    <col min="2" max="2" width="31.109375" style="37" customWidth="1"/>
    <col min="3" max="4" width="15.77734375" style="37" customWidth="1"/>
    <col min="5" max="5" width="16.21875" style="37" customWidth="1"/>
    <col min="6" max="16384" width="8.88671875" style="37"/>
  </cols>
  <sheetData>
    <row r="1" spans="2:5">
      <c r="B1" s="75">
        <f>(inputPrYr!D3)</f>
        <v>0</v>
      </c>
      <c r="C1" s="36"/>
      <c r="D1" s="36"/>
      <c r="E1" s="91">
        <f>inputPrYr!$C$6</f>
        <v>2025</v>
      </c>
    </row>
    <row r="2" spans="2:5">
      <c r="B2" s="36"/>
      <c r="C2" s="36"/>
      <c r="D2" s="36"/>
      <c r="E2" s="555"/>
    </row>
    <row r="3" spans="2:5">
      <c r="B3" s="45" t="s">
        <v>401</v>
      </c>
      <c r="C3" s="101"/>
      <c r="D3" s="101"/>
      <c r="E3" s="93"/>
    </row>
    <row r="4" spans="2:5">
      <c r="B4" s="39" t="s">
        <v>161</v>
      </c>
      <c r="C4" s="433" t="s">
        <v>340</v>
      </c>
      <c r="D4" s="434" t="s">
        <v>341</v>
      </c>
      <c r="E4" s="103" t="s">
        <v>342</v>
      </c>
    </row>
    <row r="5" spans="2:5">
      <c r="B5" s="298">
        <f>(inputPrYr!B31)</f>
        <v>0</v>
      </c>
      <c r="C5" s="149" t="str">
        <f>CONCATENATE("Actual for ",$E$1-2,"")</f>
        <v>Actual for 2023</v>
      </c>
      <c r="D5" s="560" t="str">
        <f>CONCATENATE("Estimate for ",$E$1-1,"")</f>
        <v>Estimate for 2024</v>
      </c>
      <c r="E5" s="134" t="str">
        <f>CONCATENATE("Year for ",$E$1,"")</f>
        <v>Year for 2025</v>
      </c>
    </row>
    <row r="6" spans="2:5">
      <c r="B6" s="558" t="s">
        <v>343</v>
      </c>
      <c r="C6" s="47">
        <v>0</v>
      </c>
      <c r="D6" s="113">
        <f>C30</f>
        <v>0</v>
      </c>
      <c r="E6" s="113">
        <f>D30</f>
        <v>0</v>
      </c>
    </row>
    <row r="7" spans="2:5">
      <c r="B7" s="179" t="s">
        <v>344</v>
      </c>
      <c r="C7" s="113"/>
      <c r="D7" s="113"/>
      <c r="E7" s="113"/>
    </row>
    <row r="8" spans="2:5">
      <c r="B8" s="193"/>
      <c r="C8" s="47"/>
      <c r="D8" s="47"/>
      <c r="E8" s="47"/>
    </row>
    <row r="9" spans="2:5">
      <c r="B9" s="193" t="s">
        <v>405</v>
      </c>
      <c r="C9" s="47"/>
      <c r="D9" s="47"/>
      <c r="E9" s="47"/>
    </row>
    <row r="10" spans="2:5">
      <c r="B10" s="193"/>
      <c r="C10" s="47"/>
      <c r="D10" s="47"/>
      <c r="E10" s="47"/>
    </row>
    <row r="11" spans="2:5">
      <c r="B11" s="193"/>
      <c r="C11" s="47"/>
      <c r="D11" s="47"/>
      <c r="E11" s="47"/>
    </row>
    <row r="12" spans="2:5">
      <c r="B12" s="229" t="s">
        <v>361</v>
      </c>
      <c r="C12" s="47"/>
      <c r="D12" s="47"/>
      <c r="E12" s="47"/>
    </row>
    <row r="13" spans="2:5">
      <c r="B13" s="233" t="s">
        <v>363</v>
      </c>
      <c r="C13" s="47"/>
      <c r="D13" s="47"/>
      <c r="E13" s="47"/>
    </row>
    <row r="14" spans="2:5">
      <c r="B14" s="233" t="s">
        <v>364</v>
      </c>
      <c r="C14" s="299" t="str">
        <f>IF(C15*0.1&lt;C13,"Exceed 10% Rule","")</f>
        <v/>
      </c>
      <c r="D14" s="230" t="str">
        <f>IF(D15*0.1&lt;D13,"Exceed 10% Rule","")</f>
        <v/>
      </c>
      <c r="E14" s="230" t="str">
        <f>IF(E15*0.1&lt;E13,"Exceed 10% Rule","")</f>
        <v/>
      </c>
    </row>
    <row r="15" spans="2:5">
      <c r="B15" s="190" t="s">
        <v>365</v>
      </c>
      <c r="C15" s="232">
        <f>SUM(C8:C13)</f>
        <v>0</v>
      </c>
      <c r="D15" s="232">
        <f>SUM(D8:D13)</f>
        <v>0</v>
      </c>
      <c r="E15" s="232">
        <f>SUM(E8:E13)</f>
        <v>0</v>
      </c>
    </row>
    <row r="16" spans="2:5">
      <c r="B16" s="190" t="s">
        <v>366</v>
      </c>
      <c r="C16" s="232">
        <f>C6+C15</f>
        <v>0</v>
      </c>
      <c r="D16" s="232">
        <f>D6+D15</f>
        <v>0</v>
      </c>
      <c r="E16" s="232">
        <f>E6+E15</f>
        <v>0</v>
      </c>
    </row>
    <row r="17" spans="2:5">
      <c r="B17" s="558" t="s">
        <v>367</v>
      </c>
      <c r="C17" s="113"/>
      <c r="D17" s="113"/>
      <c r="E17" s="113"/>
    </row>
    <row r="18" spans="2:5">
      <c r="B18" s="263"/>
      <c r="C18" s="47"/>
      <c r="D18" s="264"/>
      <c r="E18" s="47"/>
    </row>
    <row r="19" spans="2:5">
      <c r="B19" s="263"/>
      <c r="C19" s="47"/>
      <c r="D19" s="264"/>
      <c r="E19" s="47"/>
    </row>
    <row r="20" spans="2:5">
      <c r="B20" s="263"/>
      <c r="C20" s="47"/>
      <c r="D20" s="264"/>
      <c r="E20" s="47"/>
    </row>
    <row r="21" spans="2:5">
      <c r="B21" s="263"/>
      <c r="C21" s="47"/>
      <c r="D21" s="264"/>
      <c r="E21" s="47"/>
    </row>
    <row r="22" spans="2:5">
      <c r="B22" s="263"/>
      <c r="C22" s="47"/>
      <c r="D22" s="264"/>
      <c r="E22" s="47"/>
    </row>
    <row r="23" spans="2:5">
      <c r="B23" s="263"/>
      <c r="C23" s="47"/>
      <c r="D23" s="264"/>
      <c r="E23" s="47"/>
    </row>
    <row r="24" spans="2:5">
      <c r="B24" s="263"/>
      <c r="C24" s="47"/>
      <c r="D24" s="264"/>
      <c r="E24" s="47"/>
    </row>
    <row r="25" spans="2:5">
      <c r="B25" s="263"/>
      <c r="C25" s="47"/>
      <c r="D25" s="264"/>
      <c r="E25" s="47"/>
    </row>
    <row r="26" spans="2:5">
      <c r="B26" s="477" t="str">
        <f>CONCATENATE("Cash Reserve (",E1," column)")</f>
        <v>Cash Reserve (2025 column)</v>
      </c>
      <c r="C26" s="47"/>
      <c r="D26" s="264"/>
      <c r="E26" s="47"/>
    </row>
    <row r="27" spans="2:5">
      <c r="B27" s="115" t="s">
        <v>363</v>
      </c>
      <c r="C27" s="47"/>
      <c r="D27" s="264"/>
      <c r="E27" s="47"/>
    </row>
    <row r="28" spans="2:5">
      <c r="B28" s="115" t="s">
        <v>374</v>
      </c>
      <c r="C28" s="299" t="str">
        <f>IF(C29*0.1&lt;C27,"Exceed 10% Rule","")</f>
        <v/>
      </c>
      <c r="D28" s="230" t="str">
        <f>IF(D29*0.1&lt;D27,"Exceed 10% Rule","")</f>
        <v/>
      </c>
      <c r="E28" s="230" t="str">
        <f>IF(E29*0.1&lt;E27,"Exceed 10% Rule","")</f>
        <v/>
      </c>
    </row>
    <row r="29" spans="2:5">
      <c r="B29" s="190" t="s">
        <v>375</v>
      </c>
      <c r="C29" s="232">
        <f>SUM(C18:C27)</f>
        <v>0</v>
      </c>
      <c r="D29" s="232">
        <f>SUM(D18:D27)</f>
        <v>0</v>
      </c>
      <c r="E29" s="232">
        <f>SUM(E18:E27)</f>
        <v>0</v>
      </c>
    </row>
    <row r="30" spans="2:5">
      <c r="B30" s="558" t="s">
        <v>376</v>
      </c>
      <c r="C30" s="54">
        <f>C16-C29</f>
        <v>0</v>
      </c>
      <c r="D30" s="54">
        <f>D16-D29</f>
        <v>0</v>
      </c>
      <c r="E30" s="54">
        <f>E16-E29</f>
        <v>0</v>
      </c>
    </row>
    <row r="31" spans="2:5">
      <c r="B31" s="120" t="str">
        <f>CONCATENATE("",E1-2,"/",E1-1,"/",E1," Budget Authority Amount:")</f>
        <v>2023/2024/2025 Budget Authority Amount:</v>
      </c>
      <c r="C31" s="280">
        <f>inputOth!B68</f>
        <v>0</v>
      </c>
      <c r="D31" s="280">
        <f>inputPrYr!D31</f>
        <v>0</v>
      </c>
      <c r="E31" s="280">
        <f>E29</f>
        <v>0</v>
      </c>
    </row>
    <row r="32" spans="2:5">
      <c r="B32" s="564"/>
      <c r="C32" s="195" t="str">
        <f>IF(C29&gt;C31,"See Tab A","")</f>
        <v/>
      </c>
      <c r="D32" s="195" t="str">
        <f>IF(D29&gt;D31,"See Tab C","")</f>
        <v/>
      </c>
      <c r="E32" s="458" t="str">
        <f>IF(E30&lt;0,"See Tab E","")</f>
        <v/>
      </c>
    </row>
    <row r="33" spans="2:5">
      <c r="B33" s="564"/>
      <c r="C33" s="195" t="str">
        <f>IF(C30&lt;0,"See Tab B","")</f>
        <v/>
      </c>
      <c r="D33" s="195" t="str">
        <f>IF(D30&lt;0,"See Tab D","")</f>
        <v/>
      </c>
      <c r="E33" s="234"/>
    </row>
    <row r="34" spans="2:5">
      <c r="B34" s="36"/>
      <c r="C34" s="234"/>
      <c r="D34" s="234"/>
      <c r="E34" s="234"/>
    </row>
    <row r="35" spans="2:5">
      <c r="B35" s="36"/>
      <c r="C35" s="234"/>
      <c r="D35" s="234"/>
      <c r="E35" s="234"/>
    </row>
    <row r="36" spans="2:5">
      <c r="B36" s="39" t="s">
        <v>161</v>
      </c>
      <c r="C36" s="433" t="s">
        <v>340</v>
      </c>
      <c r="D36" s="434" t="s">
        <v>341</v>
      </c>
      <c r="E36" s="103" t="s">
        <v>342</v>
      </c>
    </row>
    <row r="37" spans="2:5">
      <c r="B37" s="298">
        <f>(inputPrYr!B32)</f>
        <v>0</v>
      </c>
      <c r="C37" s="149" t="str">
        <f>CONCATENATE("Actual for ",$E$1-2,"")</f>
        <v>Actual for 2023</v>
      </c>
      <c r="D37" s="560" t="str">
        <f>CONCATENATE("Estimate for ",$E$1-1,"")</f>
        <v>Estimate for 2024</v>
      </c>
      <c r="E37" s="134" t="str">
        <f>CONCATENATE("Year for ",$E$1,"")</f>
        <v>Year for 2025</v>
      </c>
    </row>
    <row r="38" spans="2:5">
      <c r="B38" s="558" t="s">
        <v>343</v>
      </c>
      <c r="C38" s="47">
        <v>0</v>
      </c>
      <c r="D38" s="113">
        <f>C61</f>
        <v>0</v>
      </c>
      <c r="E38" s="113">
        <f>D61</f>
        <v>0</v>
      </c>
    </row>
    <row r="39" spans="2:5">
      <c r="B39" s="179" t="s">
        <v>344</v>
      </c>
      <c r="C39" s="113"/>
      <c r="D39" s="113"/>
      <c r="E39" s="113"/>
    </row>
    <row r="40" spans="2:5">
      <c r="B40" s="193"/>
      <c r="C40" s="47"/>
      <c r="D40" s="47"/>
      <c r="E40" s="47"/>
    </row>
    <row r="41" spans="2:5">
      <c r="B41" s="193" t="s">
        <v>405</v>
      </c>
      <c r="C41" s="47"/>
      <c r="D41" s="47"/>
      <c r="E41" s="47"/>
    </row>
    <row r="42" spans="2:5">
      <c r="B42" s="193"/>
      <c r="C42" s="47"/>
      <c r="D42" s="47"/>
      <c r="E42" s="47"/>
    </row>
    <row r="43" spans="2:5">
      <c r="B43" s="193"/>
      <c r="C43" s="47"/>
      <c r="D43" s="47"/>
      <c r="E43" s="47"/>
    </row>
    <row r="44" spans="2:5">
      <c r="B44" s="229" t="s">
        <v>361</v>
      </c>
      <c r="C44" s="47"/>
      <c r="D44" s="47"/>
      <c r="E44" s="47"/>
    </row>
    <row r="45" spans="2:5">
      <c r="B45" s="233" t="s">
        <v>363</v>
      </c>
      <c r="C45" s="47"/>
      <c r="D45" s="47"/>
      <c r="E45" s="47"/>
    </row>
    <row r="46" spans="2:5">
      <c r="B46" s="233" t="s">
        <v>364</v>
      </c>
      <c r="C46" s="299" t="str">
        <f>IF(C47*0.1&lt;C45,"Exceed 10% Rule","")</f>
        <v/>
      </c>
      <c r="D46" s="230" t="str">
        <f>IF(D47*0.1&lt;D45,"Exceed 10% Rule","")</f>
        <v/>
      </c>
      <c r="E46" s="230" t="str">
        <f>IF(E47*0.1&lt;E45,"Exceed 10% Rule","")</f>
        <v/>
      </c>
    </row>
    <row r="47" spans="2:5">
      <c r="B47" s="190" t="s">
        <v>365</v>
      </c>
      <c r="C47" s="232">
        <f>SUM(C40:C45)</f>
        <v>0</v>
      </c>
      <c r="D47" s="232">
        <f>SUM(D40:D45)</f>
        <v>0</v>
      </c>
      <c r="E47" s="232">
        <f>SUM(E40:E45)</f>
        <v>0</v>
      </c>
    </row>
    <row r="48" spans="2:5">
      <c r="B48" s="190" t="s">
        <v>366</v>
      </c>
      <c r="C48" s="232">
        <f>C38+C47</f>
        <v>0</v>
      </c>
      <c r="D48" s="232">
        <f>D38+D47</f>
        <v>0</v>
      </c>
      <c r="E48" s="232">
        <f>E38+E47</f>
        <v>0</v>
      </c>
    </row>
    <row r="49" spans="2:5">
      <c r="B49" s="558" t="s">
        <v>367</v>
      </c>
      <c r="C49" s="113"/>
      <c r="D49" s="113"/>
      <c r="E49" s="113"/>
    </row>
    <row r="50" spans="2:5">
      <c r="B50" s="265"/>
      <c r="C50" s="47"/>
      <c r="D50" s="47"/>
      <c r="E50" s="47"/>
    </row>
    <row r="51" spans="2:5">
      <c r="B51" s="265"/>
      <c r="C51" s="47"/>
      <c r="D51" s="266"/>
      <c r="E51" s="47"/>
    </row>
    <row r="52" spans="2:5">
      <c r="B52" s="265"/>
      <c r="C52" s="47"/>
      <c r="D52" s="266"/>
      <c r="E52" s="47"/>
    </row>
    <row r="53" spans="2:5">
      <c r="B53" s="193"/>
      <c r="C53" s="47"/>
      <c r="D53" s="266"/>
      <c r="E53" s="47"/>
    </row>
    <row r="54" spans="2:5">
      <c r="B54" s="193"/>
      <c r="C54" s="47"/>
      <c r="D54" s="47"/>
      <c r="E54" s="47"/>
    </row>
    <row r="55" spans="2:5">
      <c r="B55" s="193"/>
      <c r="C55" s="47"/>
      <c r="D55" s="47"/>
      <c r="E55" s="47"/>
    </row>
    <row r="56" spans="2:5">
      <c r="B56" s="193"/>
      <c r="C56" s="47"/>
      <c r="D56" s="47"/>
      <c r="E56" s="47"/>
    </row>
    <row r="57" spans="2:5">
      <c r="B57" s="477" t="str">
        <f>CONCATENATE("Cash Reserve (",E1," column)")</f>
        <v>Cash Reserve (2025 column)</v>
      </c>
      <c r="C57" s="47"/>
      <c r="D57" s="47"/>
      <c r="E57" s="47"/>
    </row>
    <row r="58" spans="2:5">
      <c r="B58" s="115" t="s">
        <v>363</v>
      </c>
      <c r="C58" s="47"/>
      <c r="D58" s="226"/>
      <c r="E58" s="226"/>
    </row>
    <row r="59" spans="2:5">
      <c r="B59" s="115" t="s">
        <v>374</v>
      </c>
      <c r="C59" s="299" t="str">
        <f>IF(C60*0.1&lt;C58,"Exceed 10% Rule","")</f>
        <v/>
      </c>
      <c r="D59" s="230" t="str">
        <f>IF(D60*0.1&lt;D58,"Exceed 10% Rule","")</f>
        <v/>
      </c>
      <c r="E59" s="230" t="str">
        <f>IF(E60*0.1&lt;E58,"Exceed 10% Rule","")</f>
        <v/>
      </c>
    </row>
    <row r="60" spans="2:5">
      <c r="B60" s="190" t="s">
        <v>375</v>
      </c>
      <c r="C60" s="232">
        <f>SUM(C50:C58)</f>
        <v>0</v>
      </c>
      <c r="D60" s="232">
        <f>SUM(D50:D58)</f>
        <v>0</v>
      </c>
      <c r="E60" s="232">
        <f>SUM(E50:E58)</f>
        <v>0</v>
      </c>
    </row>
    <row r="61" spans="2:5">
      <c r="B61" s="558" t="s">
        <v>376</v>
      </c>
      <c r="C61" s="54">
        <f>C48-C60</f>
        <v>0</v>
      </c>
      <c r="D61" s="54">
        <f>D48-D60</f>
        <v>0</v>
      </c>
      <c r="E61" s="54">
        <f>E48-E60</f>
        <v>0</v>
      </c>
    </row>
    <row r="62" spans="2:5">
      <c r="B62" s="120" t="str">
        <f>CONCATENATE("",E1-2,"/",E1-1,"/",E1," Budget Authority Amount:")</f>
        <v>2023/2024/2025 Budget Authority Amount:</v>
      </c>
      <c r="C62" s="280">
        <f>inputOth!B69</f>
        <v>0</v>
      </c>
      <c r="D62" s="280">
        <f>inputPrYr!D32</f>
        <v>0</v>
      </c>
      <c r="E62" s="280">
        <f>E60</f>
        <v>0</v>
      </c>
    </row>
    <row r="63" spans="2:5">
      <c r="B63" s="564"/>
      <c r="C63" s="195" t="str">
        <f>IF(C60&gt;C62,"See Tab A","")</f>
        <v/>
      </c>
      <c r="D63" s="195" t="str">
        <f>IF(D60&gt;D62,"See Tab C","")</f>
        <v/>
      </c>
      <c r="E63" s="458" t="str">
        <f>IF(E61&lt;0,"See Tab E","")</f>
        <v/>
      </c>
    </row>
    <row r="64" spans="2:5">
      <c r="B64" s="723" t="s">
        <v>383</v>
      </c>
      <c r="C64" s="724"/>
      <c r="D64" s="724"/>
      <c r="E64" s="725"/>
    </row>
    <row r="65" spans="2:5">
      <c r="B65" s="726"/>
      <c r="C65" s="727"/>
      <c r="D65" s="727"/>
      <c r="E65" s="728"/>
    </row>
    <row r="66" spans="2:5">
      <c r="B66" s="729"/>
      <c r="C66" s="730"/>
      <c r="D66" s="730"/>
      <c r="E66" s="731"/>
    </row>
    <row r="67" spans="2:5">
      <c r="B67" s="36"/>
      <c r="C67" s="36"/>
      <c r="D67" s="36"/>
      <c r="E67" s="36"/>
    </row>
    <row r="68" spans="2:5">
      <c r="B68" s="555" t="s">
        <v>384</v>
      </c>
      <c r="C68" s="473"/>
      <c r="D68" s="36"/>
      <c r="E68" s="36"/>
    </row>
  </sheetData>
  <sheetProtection sheet="1" objects="1" scenarios="1"/>
  <mergeCells count="1">
    <mergeCell ref="B64:E66"/>
  </mergeCells>
  <phoneticPr fontId="0" type="noConversion"/>
  <conditionalFormatting sqref="C13">
    <cfRule type="cellIs" dxfId="50" priority="4" stopIfTrue="1" operator="greaterThan">
      <formula>$C$15*0.1</formula>
    </cfRule>
  </conditionalFormatting>
  <conditionalFormatting sqref="C27">
    <cfRule type="cellIs" dxfId="49" priority="13" stopIfTrue="1" operator="greaterThan">
      <formula>$C$29*0.1</formula>
    </cfRule>
  </conditionalFormatting>
  <conditionalFormatting sqref="C29">
    <cfRule type="cellIs" dxfId="48" priority="1" stopIfTrue="1" operator="greaterThan">
      <formula>$C$31</formula>
    </cfRule>
  </conditionalFormatting>
  <conditionalFormatting sqref="C30 E30 C61 E61">
    <cfRule type="cellIs" dxfId="47" priority="16" stopIfTrue="1" operator="lessThan">
      <formula>0</formula>
    </cfRule>
  </conditionalFormatting>
  <conditionalFormatting sqref="C45">
    <cfRule type="cellIs" dxfId="46" priority="7" stopIfTrue="1" operator="greaterThan">
      <formula>$C$47*0.1</formula>
    </cfRule>
  </conditionalFormatting>
  <conditionalFormatting sqref="C58">
    <cfRule type="cellIs" dxfId="45" priority="10" stopIfTrue="1" operator="greaterThan">
      <formula>$C$60*0.1</formula>
    </cfRule>
  </conditionalFormatting>
  <conditionalFormatting sqref="C60">
    <cfRule type="cellIs" dxfId="44" priority="18" stopIfTrue="1" operator="greaterThan">
      <formula>$C$62</formula>
    </cfRule>
  </conditionalFormatting>
  <conditionalFormatting sqref="D13">
    <cfRule type="cellIs" dxfId="43" priority="5" stopIfTrue="1" operator="greaterThan">
      <formula>$D$15*0.1</formula>
    </cfRule>
  </conditionalFormatting>
  <conditionalFormatting sqref="D27">
    <cfRule type="cellIs" dxfId="42" priority="14" stopIfTrue="1" operator="greaterThan">
      <formula>$D$29*0.1</formula>
    </cfRule>
  </conditionalFormatting>
  <conditionalFormatting sqref="D29">
    <cfRule type="cellIs" dxfId="41" priority="17" stopIfTrue="1" operator="greaterThan">
      <formula>$D$31</formula>
    </cfRule>
  </conditionalFormatting>
  <conditionalFormatting sqref="D30">
    <cfRule type="cellIs" dxfId="40" priority="3" stopIfTrue="1" operator="lessThan">
      <formula>0</formula>
    </cfRule>
  </conditionalFormatting>
  <conditionalFormatting sqref="D45">
    <cfRule type="cellIs" dxfId="39" priority="8" stopIfTrue="1" operator="greaterThan">
      <formula>$D$47*0.1</formula>
    </cfRule>
  </conditionalFormatting>
  <conditionalFormatting sqref="D58">
    <cfRule type="cellIs" dxfId="38" priority="11" stopIfTrue="1" operator="greaterThan">
      <formula>$D$60*0.1</formula>
    </cfRule>
  </conditionalFormatting>
  <conditionalFormatting sqref="D60">
    <cfRule type="cellIs" dxfId="37" priority="19" stopIfTrue="1" operator="greaterThan">
      <formula>$D$62</formula>
    </cfRule>
  </conditionalFormatting>
  <conditionalFormatting sqref="D61">
    <cfRule type="cellIs" dxfId="36" priority="2" stopIfTrue="1" operator="lessThan">
      <formula>0</formula>
    </cfRule>
  </conditionalFormatting>
  <conditionalFormatting sqref="E13">
    <cfRule type="cellIs" dxfId="35" priority="6" stopIfTrue="1" operator="greaterThan">
      <formula>$E$15*0.1</formula>
    </cfRule>
  </conditionalFormatting>
  <conditionalFormatting sqref="E27">
    <cfRule type="cellIs" dxfId="34" priority="15" stopIfTrue="1" operator="greaterThan">
      <formula>$E$29*0.1</formula>
    </cfRule>
  </conditionalFormatting>
  <conditionalFormatting sqref="E45">
    <cfRule type="cellIs" dxfId="33" priority="9" stopIfTrue="1" operator="greaterThan">
      <formula>$E$47*0.1</formula>
    </cfRule>
  </conditionalFormatting>
  <conditionalFormatting sqref="E58">
    <cfRule type="cellIs" dxfId="32" priority="12" stopIfTrue="1" operator="greaterThan">
      <formula>$E$60*0.1</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76"/>
  <sheetViews>
    <sheetView zoomScaleNormal="100" workbookViewId="0">
      <selection activeCell="C6" sqref="C6"/>
    </sheetView>
  </sheetViews>
  <sheetFormatPr defaultColWidth="8.88671875" defaultRowHeight="15.75"/>
  <cols>
    <col min="1" max="1" width="15.77734375" style="37" customWidth="1"/>
    <col min="2" max="2" width="20.77734375" style="37" customWidth="1"/>
    <col min="3" max="3" width="9.77734375" style="37" customWidth="1"/>
    <col min="4" max="4" width="15.109375" style="37" customWidth="1"/>
    <col min="5" max="5" width="15.77734375" style="37" customWidth="1"/>
    <col min="6" max="6" width="1.77734375" style="37" customWidth="1"/>
    <col min="7" max="7" width="18.6640625" style="37" customWidth="1"/>
    <col min="8" max="16384" width="8.88671875" style="37"/>
  </cols>
  <sheetData>
    <row r="1" spans="1:8">
      <c r="A1" s="589" t="s">
        <v>79</v>
      </c>
      <c r="B1" s="590"/>
      <c r="C1" s="590"/>
      <c r="D1" s="590"/>
      <c r="E1" s="590"/>
    </row>
    <row r="2" spans="1:8">
      <c r="A2" s="35"/>
      <c r="B2" s="36"/>
      <c r="C2" s="36"/>
      <c r="D2" s="36"/>
      <c r="E2" s="36"/>
    </row>
    <row r="3" spans="1:8">
      <c r="A3" s="38" t="s">
        <v>80</v>
      </c>
      <c r="B3" s="36"/>
      <c r="C3" s="36"/>
      <c r="D3" s="598"/>
      <c r="E3" s="599"/>
    </row>
    <row r="4" spans="1:8">
      <c r="A4" s="38" t="s">
        <v>81</v>
      </c>
      <c r="B4" s="36"/>
      <c r="C4" s="36"/>
      <c r="D4" s="598"/>
      <c r="E4" s="599"/>
    </row>
    <row r="5" spans="1:8">
      <c r="A5" s="39"/>
      <c r="B5" s="36"/>
      <c r="C5" s="36"/>
      <c r="D5" s="40"/>
      <c r="E5" s="36"/>
    </row>
    <row r="6" spans="1:8">
      <c r="A6" s="38" t="s">
        <v>82</v>
      </c>
      <c r="B6" s="36"/>
      <c r="C6" s="41">
        <v>2025</v>
      </c>
      <c r="D6" s="40"/>
      <c r="E6" s="36"/>
    </row>
    <row r="7" spans="1:8">
      <c r="A7" s="38"/>
      <c r="B7" s="36"/>
      <c r="C7" s="40"/>
      <c r="D7" s="40"/>
      <c r="E7" s="36"/>
    </row>
    <row r="8" spans="1:8">
      <c r="A8" s="591" t="s">
        <v>83</v>
      </c>
      <c r="B8" s="591"/>
      <c r="C8" s="591"/>
      <c r="D8" s="591"/>
      <c r="E8" s="591"/>
    </row>
    <row r="9" spans="1:8">
      <c r="A9" s="591"/>
      <c r="B9" s="591"/>
      <c r="C9" s="591"/>
      <c r="D9" s="591"/>
      <c r="E9" s="591"/>
    </row>
    <row r="10" spans="1:8">
      <c r="A10" s="591"/>
      <c r="B10" s="591"/>
      <c r="C10" s="591"/>
      <c r="D10" s="591"/>
      <c r="E10" s="591"/>
    </row>
    <row r="11" spans="1:8">
      <c r="A11" s="587" t="s">
        <v>84</v>
      </c>
      <c r="B11" s="588"/>
      <c r="C11" s="588"/>
      <c r="D11" s="588"/>
      <c r="E11" s="588"/>
    </row>
    <row r="12" spans="1:8" ht="16.5" thickBot="1">
      <c r="A12" s="43"/>
      <c r="B12" s="42"/>
      <c r="C12" s="42"/>
      <c r="D12" s="42"/>
      <c r="E12" s="42"/>
    </row>
    <row r="13" spans="1:8" ht="15.75" customHeight="1">
      <c r="A13" s="600" t="str">
        <f>CONCATENATE("The input for the following comes directly from the ",C6-1," Budget, Certificate Page. If budget was amended, use the amended figures.")</f>
        <v>The input for the following comes directly from the 2024 Budget, Certificate Page. If budget was amended, use the amended figures.</v>
      </c>
      <c r="B13" s="601"/>
      <c r="C13" s="601"/>
      <c r="D13" s="601"/>
      <c r="E13" s="602"/>
      <c r="F13" s="31"/>
      <c r="G13" s="592" t="s">
        <v>85</v>
      </c>
      <c r="H13" s="593"/>
    </row>
    <row r="14" spans="1:8" ht="15.75" customHeight="1">
      <c r="A14" s="603"/>
      <c r="B14" s="604"/>
      <c r="C14" s="604"/>
      <c r="D14" s="604"/>
      <c r="E14" s="605"/>
      <c r="F14" s="31"/>
      <c r="G14" s="594"/>
      <c r="H14" s="595"/>
    </row>
    <row r="15" spans="1:8" ht="16.5" thickBot="1">
      <c r="A15" s="606"/>
      <c r="B15" s="607"/>
      <c r="C15" s="607"/>
      <c r="D15" s="607"/>
      <c r="E15" s="608"/>
      <c r="F15" s="31"/>
      <c r="G15" s="594"/>
      <c r="H15" s="595"/>
    </row>
    <row r="16" spans="1:8">
      <c r="A16" s="45"/>
      <c r="B16" s="36"/>
      <c r="C16" s="36"/>
      <c r="D16" s="132">
        <f>$C$6-1</f>
        <v>2024</v>
      </c>
      <c r="E16" s="132">
        <f>$C$6-2</f>
        <v>2023</v>
      </c>
      <c r="F16" s="31"/>
      <c r="G16" s="594"/>
      <c r="H16" s="595"/>
    </row>
    <row r="17" spans="1:8">
      <c r="A17" s="39" t="s">
        <v>86</v>
      </c>
      <c r="B17" s="36"/>
      <c r="C17" s="556" t="s">
        <v>87</v>
      </c>
      <c r="D17" s="133" t="s">
        <v>88</v>
      </c>
      <c r="E17" s="133" t="s">
        <v>89</v>
      </c>
      <c r="F17" s="31"/>
      <c r="G17" s="594"/>
      <c r="H17" s="595"/>
    </row>
    <row r="18" spans="1:8">
      <c r="A18" s="36"/>
      <c r="B18" s="557" t="s">
        <v>90</v>
      </c>
      <c r="C18" s="569" t="s">
        <v>91</v>
      </c>
      <c r="D18" s="47"/>
      <c r="E18" s="47"/>
      <c r="F18" s="31"/>
      <c r="G18" s="594"/>
      <c r="H18" s="595"/>
    </row>
    <row r="19" spans="1:8">
      <c r="A19" s="36"/>
      <c r="B19" s="557" t="s">
        <v>92</v>
      </c>
      <c r="C19" s="569" t="s">
        <v>93</v>
      </c>
      <c r="D19" s="47"/>
      <c r="E19" s="47"/>
      <c r="F19" s="31"/>
      <c r="G19" s="596"/>
      <c r="H19" s="597"/>
    </row>
    <row r="20" spans="1:8">
      <c r="A20" s="36"/>
      <c r="B20" s="557" t="s">
        <v>94</v>
      </c>
      <c r="C20" s="569" t="s">
        <v>95</v>
      </c>
      <c r="D20" s="47"/>
      <c r="E20" s="47"/>
      <c r="F20" s="470"/>
      <c r="G20" s="125" t="s">
        <v>96</v>
      </c>
      <c r="H20" s="569" t="s">
        <v>97</v>
      </c>
    </row>
    <row r="21" spans="1:8">
      <c r="A21" s="39" t="s">
        <v>98</v>
      </c>
      <c r="B21" s="36"/>
      <c r="C21" s="36"/>
      <c r="D21" s="48"/>
      <c r="E21" s="48"/>
      <c r="F21" s="470"/>
      <c r="G21" s="149" t="str">
        <f>CONCATENATE("",E16," Ad Valorem Tax")</f>
        <v>2023 Ad Valorem Tax</v>
      </c>
      <c r="H21" s="424">
        <v>0</v>
      </c>
    </row>
    <row r="22" spans="1:8">
      <c r="A22" s="36"/>
      <c r="B22" s="49"/>
      <c r="C22" s="363"/>
      <c r="D22" s="47"/>
      <c r="E22" s="47"/>
      <c r="F22" s="470"/>
      <c r="G22" s="113">
        <f>IF(H21&gt;0,ROUND(E18-(E18*H21),0),0)</f>
        <v>0</v>
      </c>
    </row>
    <row r="23" spans="1:8">
      <c r="A23" s="36"/>
      <c r="B23" s="50"/>
      <c r="C23" s="364"/>
      <c r="D23" s="47"/>
      <c r="E23" s="47"/>
      <c r="F23" s="470"/>
      <c r="G23" s="113">
        <f>IF(H21&gt;0,ROUND(E19-(E19*H21),0),0)</f>
        <v>0</v>
      </c>
    </row>
    <row r="24" spans="1:8">
      <c r="A24" s="36"/>
      <c r="B24" s="50"/>
      <c r="C24" s="363"/>
      <c r="D24" s="47"/>
      <c r="E24" s="47"/>
      <c r="F24" s="470"/>
      <c r="G24" s="113">
        <f>IF(H21&gt;0,ROUND(E20-(E20*H21),0),0)</f>
        <v>0</v>
      </c>
    </row>
    <row r="25" spans="1:8">
      <c r="A25" s="36"/>
      <c r="B25" s="50"/>
      <c r="C25" s="363"/>
      <c r="D25" s="47"/>
      <c r="E25" s="47"/>
      <c r="F25" s="470"/>
      <c r="G25" s="36"/>
    </row>
    <row r="26" spans="1:8">
      <c r="A26" s="51" t="str">
        <f>CONCATENATE("Total Ad Valorem Tax Levy Funds for ",C6-1," Budgeted Year")</f>
        <v>Total Ad Valorem Tax Levy Funds for 2024 Budgeted Year</v>
      </c>
      <c r="B26" s="52"/>
      <c r="C26" s="52"/>
      <c r="D26" s="53"/>
      <c r="E26" s="54">
        <f>SUM(E18:E25)</f>
        <v>0</v>
      </c>
      <c r="F26" s="470"/>
      <c r="G26" s="113">
        <f>IF(H21&gt;0,ROUND(E22-(E22*H21),0),0)</f>
        <v>0</v>
      </c>
    </row>
    <row r="27" spans="1:8">
      <c r="A27" s="39"/>
      <c r="B27" s="36"/>
      <c r="C27" s="36"/>
      <c r="D27" s="48"/>
      <c r="E27" s="36"/>
      <c r="F27" s="470"/>
      <c r="G27" s="113">
        <f>IF(H21&gt;0,ROUND(E23-(E23*H21),0),0)</f>
        <v>0</v>
      </c>
    </row>
    <row r="28" spans="1:8">
      <c r="A28" s="39" t="s">
        <v>99</v>
      </c>
      <c r="B28" s="36"/>
      <c r="C28" s="36"/>
      <c r="D28" s="36"/>
      <c r="E28" s="36"/>
      <c r="F28" s="470"/>
      <c r="G28" s="113">
        <f>IF(H21&gt;0,ROUND(E24-(E24*H21),0),0)</f>
        <v>0</v>
      </c>
    </row>
    <row r="29" spans="1:8">
      <c r="A29" s="36"/>
      <c r="B29" s="55" t="s">
        <v>100</v>
      </c>
      <c r="C29" s="36"/>
      <c r="D29" s="47"/>
      <c r="E29" s="36"/>
      <c r="F29" s="470"/>
      <c r="G29" s="113">
        <f>IF(H21&gt;0,ROUND(E25-(E25*H21),0),0)</f>
        <v>0</v>
      </c>
    </row>
    <row r="30" spans="1:8">
      <c r="A30" s="36"/>
      <c r="B30" s="267"/>
      <c r="C30" s="36"/>
      <c r="D30" s="47"/>
      <c r="E30" s="36"/>
      <c r="F30" s="470"/>
    </row>
    <row r="31" spans="1:8">
      <c r="A31" s="36"/>
      <c r="B31" s="267"/>
      <c r="C31" s="36"/>
      <c r="D31" s="47"/>
      <c r="E31" s="36"/>
      <c r="F31" s="470"/>
    </row>
    <row r="32" spans="1:8">
      <c r="A32" s="36"/>
      <c r="B32" s="267"/>
      <c r="C32" s="36"/>
      <c r="D32" s="47"/>
      <c r="E32" s="36"/>
    </row>
    <row r="33" spans="1:5">
      <c r="A33" s="36"/>
      <c r="B33" s="56"/>
      <c r="C33" s="36"/>
      <c r="D33" s="47"/>
      <c r="E33" s="36"/>
    </row>
    <row r="34" spans="1:5">
      <c r="A34" s="36"/>
      <c r="B34" s="56"/>
      <c r="C34" s="36"/>
      <c r="D34" s="47"/>
      <c r="E34" s="36"/>
    </row>
    <row r="35" spans="1:5">
      <c r="A35" s="36" t="s">
        <v>101</v>
      </c>
      <c r="B35" s="57"/>
      <c r="C35" s="36"/>
      <c r="D35" s="36"/>
      <c r="E35" s="36"/>
    </row>
    <row r="36" spans="1:5">
      <c r="A36" s="39"/>
      <c r="B36" s="49"/>
      <c r="C36" s="58"/>
      <c r="D36" s="47"/>
      <c r="E36" s="59"/>
    </row>
    <row r="37" spans="1:5">
      <c r="A37" s="51" t="str">
        <f>CONCATENATE("Total Expenditures for ",C6-1," Budgeted Year")</f>
        <v>Total Expenditures for 2024 Budgeted Year</v>
      </c>
      <c r="B37" s="60"/>
      <c r="C37" s="61"/>
      <c r="D37" s="54">
        <f>SUM(D18:D20,D22:D25,D29:D34,D36)</f>
        <v>0</v>
      </c>
      <c r="E37" s="59"/>
    </row>
    <row r="38" spans="1:5">
      <c r="A38" s="39" t="s">
        <v>102</v>
      </c>
      <c r="B38" s="36"/>
      <c r="C38" s="36"/>
      <c r="D38" s="36"/>
      <c r="E38" s="36"/>
    </row>
    <row r="39" spans="1:5">
      <c r="A39" s="555">
        <v>1</v>
      </c>
      <c r="B39" s="49"/>
      <c r="C39" s="36"/>
      <c r="D39" s="36"/>
      <c r="E39" s="36"/>
    </row>
    <row r="40" spans="1:5">
      <c r="A40" s="555">
        <v>2</v>
      </c>
      <c r="B40" s="49"/>
      <c r="C40" s="36"/>
      <c r="D40" s="36"/>
      <c r="E40" s="36"/>
    </row>
    <row r="41" spans="1:5">
      <c r="A41" s="555">
        <v>3</v>
      </c>
      <c r="B41" s="49"/>
      <c r="C41" s="36"/>
      <c r="D41" s="36"/>
      <c r="E41" s="36"/>
    </row>
    <row r="42" spans="1:5">
      <c r="A42" s="555">
        <v>4</v>
      </c>
      <c r="B42" s="49"/>
      <c r="C42" s="36"/>
      <c r="D42" s="36"/>
      <c r="E42" s="36"/>
    </row>
    <row r="43" spans="1:5">
      <c r="A43" s="555">
        <v>5</v>
      </c>
      <c r="B43" s="49"/>
      <c r="C43" s="36"/>
      <c r="D43" s="36"/>
      <c r="E43" s="36"/>
    </row>
    <row r="44" spans="1:5" ht="16.5" thickBot="1">
      <c r="A44" s="38"/>
      <c r="B44" s="36"/>
      <c r="C44" s="36"/>
      <c r="D44" s="36"/>
      <c r="E44" s="36"/>
    </row>
    <row r="45" spans="1:5">
      <c r="A45" s="581" t="str">
        <f>CONCATENATE("The input for the following comes directly from the ",C6-1," Budget, Budget Sumary Page." )</f>
        <v>The input for the following comes directly from the 2024 Budget, Budget Sumary Page.</v>
      </c>
      <c r="B45" s="582"/>
      <c r="C45" s="582"/>
      <c r="D45" s="582"/>
      <c r="E45" s="583"/>
    </row>
    <row r="46" spans="1:5" ht="16.5" thickBot="1">
      <c r="A46" s="584"/>
      <c r="B46" s="585"/>
      <c r="C46" s="585"/>
      <c r="D46" s="585"/>
      <c r="E46" s="586"/>
    </row>
    <row r="47" spans="1:5">
      <c r="A47" s="36"/>
      <c r="B47" s="36"/>
      <c r="C47" s="36"/>
      <c r="D47" s="147" t="str">
        <f>CONCATENATE("",C6-3," Tax Rate")</f>
        <v>2022 Tax Rate</v>
      </c>
      <c r="E47" s="36"/>
    </row>
    <row r="48" spans="1:5">
      <c r="A48" s="36"/>
      <c r="B48" s="36"/>
      <c r="C48" s="36"/>
      <c r="D48" s="149" t="str">
        <f>CONCATENATE("(",C6-2," Column)")</f>
        <v>(2023 Column)</v>
      </c>
      <c r="E48" s="36"/>
    </row>
    <row r="49" spans="1:5">
      <c r="A49" s="36"/>
      <c r="B49" s="62" t="str">
        <f>B18</f>
        <v>General</v>
      </c>
      <c r="C49" s="63"/>
      <c r="D49" s="64"/>
      <c r="E49" s="36"/>
    </row>
    <row r="50" spans="1:5" ht="18" customHeight="1">
      <c r="A50" s="36"/>
      <c r="B50" s="62" t="str">
        <f>B19</f>
        <v>Debt Service</v>
      </c>
      <c r="C50" s="63"/>
      <c r="D50" s="64"/>
      <c r="E50" s="36"/>
    </row>
    <row r="51" spans="1:5">
      <c r="A51" s="36"/>
      <c r="B51" s="62" t="str">
        <f>B20</f>
        <v>Library</v>
      </c>
      <c r="C51" s="63"/>
      <c r="D51" s="64"/>
      <c r="E51" s="36"/>
    </row>
    <row r="52" spans="1:5">
      <c r="A52" s="36"/>
      <c r="B52" s="62">
        <f>B22</f>
        <v>0</v>
      </c>
      <c r="C52" s="46"/>
      <c r="D52" s="64"/>
      <c r="E52" s="36"/>
    </row>
    <row r="53" spans="1:5">
      <c r="A53" s="36"/>
      <c r="B53" s="62">
        <f>B23</f>
        <v>0</v>
      </c>
      <c r="C53" s="46"/>
      <c r="D53" s="64"/>
      <c r="E53" s="36"/>
    </row>
    <row r="54" spans="1:5">
      <c r="A54" s="36"/>
      <c r="B54" s="62">
        <f>B24</f>
        <v>0</v>
      </c>
      <c r="C54" s="46"/>
      <c r="D54" s="64"/>
      <c r="E54" s="36"/>
    </row>
    <row r="55" spans="1:5">
      <c r="A55" s="36"/>
      <c r="B55" s="62">
        <f>B25</f>
        <v>0</v>
      </c>
      <c r="C55" s="46"/>
      <c r="D55" s="64"/>
      <c r="E55" s="36"/>
    </row>
    <row r="56" spans="1:5">
      <c r="A56" s="51" t="s">
        <v>103</v>
      </c>
      <c r="B56" s="52"/>
      <c r="C56" s="61"/>
      <c r="D56" s="65">
        <f>SUM(D49:D55)</f>
        <v>0</v>
      </c>
      <c r="E56" s="36"/>
    </row>
    <row r="57" spans="1:5">
      <c r="A57" s="36"/>
      <c r="B57" s="36"/>
      <c r="C57" s="36"/>
      <c r="D57" s="36"/>
      <c r="E57" s="36"/>
    </row>
    <row r="58" spans="1:5">
      <c r="A58" s="460" t="str">
        <f>CONCATENATE("Total Tax Levied (",C6-2," budget column)")</f>
        <v>Total Tax Levied (2023 budget column)</v>
      </c>
      <c r="B58" s="461"/>
      <c r="C58" s="52"/>
      <c r="D58" s="61"/>
      <c r="E58" s="47"/>
    </row>
    <row r="59" spans="1:5">
      <c r="A59" s="462" t="str">
        <f>CONCATENATE("Assessed Valuation  (",C6-2," budget column)")</f>
        <v>Assessed Valuation  (2023 budget column)</v>
      </c>
      <c r="B59" s="461"/>
      <c r="C59" s="66"/>
      <c r="D59" s="67"/>
      <c r="E59" s="47"/>
    </row>
    <row r="60" spans="1:5">
      <c r="A60" s="36"/>
      <c r="B60" s="36"/>
      <c r="C60" s="36"/>
      <c r="D60" s="44"/>
      <c r="E60" s="48"/>
    </row>
    <row r="61" spans="1:5">
      <c r="A61" s="463" t="s">
        <v>104</v>
      </c>
      <c r="B61" s="464"/>
      <c r="C61" s="68"/>
      <c r="D61" s="69">
        <f>C6-3</f>
        <v>2022</v>
      </c>
      <c r="E61" s="70">
        <f>C6-2</f>
        <v>2023</v>
      </c>
    </row>
    <row r="62" spans="1:5">
      <c r="A62" s="465" t="s">
        <v>105</v>
      </c>
      <c r="B62" s="466"/>
      <c r="C62" s="71"/>
      <c r="D62" s="72"/>
      <c r="E62" s="72"/>
    </row>
    <row r="63" spans="1:5">
      <c r="A63" s="467" t="s">
        <v>106</v>
      </c>
      <c r="B63" s="468"/>
      <c r="C63" s="73"/>
      <c r="D63" s="72"/>
      <c r="E63" s="72"/>
    </row>
    <row r="64" spans="1:5">
      <c r="A64" s="467" t="s">
        <v>107</v>
      </c>
      <c r="B64" s="468"/>
      <c r="C64" s="73"/>
      <c r="D64" s="72"/>
      <c r="E64" s="72"/>
    </row>
    <row r="65" spans="1:6">
      <c r="A65" s="467" t="s">
        <v>108</v>
      </c>
      <c r="B65" s="468"/>
      <c r="C65" s="73"/>
      <c r="D65" s="72"/>
      <c r="E65" s="72"/>
    </row>
    <row r="76" spans="1:6" s="74" customFormat="1">
      <c r="A76" s="37"/>
      <c r="B76" s="37"/>
      <c r="C76" s="37"/>
      <c r="D76" s="37"/>
      <c r="E76" s="37"/>
      <c r="F76" s="375"/>
    </row>
  </sheetData>
  <sheetProtection sheet="1" objects="1" scenarios="1"/>
  <mergeCells count="8">
    <mergeCell ref="A45:E46"/>
    <mergeCell ref="A11:E11"/>
    <mergeCell ref="A1:E1"/>
    <mergeCell ref="A8:E10"/>
    <mergeCell ref="G13:H19"/>
    <mergeCell ref="D3:E3"/>
    <mergeCell ref="D4:E4"/>
    <mergeCell ref="A13:E15"/>
  </mergeCells>
  <phoneticPr fontId="0" type="noConversion"/>
  <pageMargins left="0.5" right="0.5" top="0.75" bottom="0.5" header="0.5" footer="0.5"/>
  <pageSetup scale="7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F0"/>
    <pageSetUpPr fitToPage="1"/>
  </sheetPr>
  <dimension ref="B1:E68"/>
  <sheetViews>
    <sheetView workbookViewId="0">
      <selection activeCell="B5" sqref="B5"/>
    </sheetView>
  </sheetViews>
  <sheetFormatPr defaultColWidth="8.88671875" defaultRowHeight="15.75"/>
  <cols>
    <col min="1" max="1" width="2.44140625" style="37" customWidth="1"/>
    <col min="2" max="2" width="31.109375" style="37" customWidth="1"/>
    <col min="3" max="4" width="15.77734375" style="37" customWidth="1"/>
    <col min="5" max="5" width="16.33203125" style="37" customWidth="1"/>
    <col min="6" max="16384" width="8.88671875" style="37"/>
  </cols>
  <sheetData>
    <row r="1" spans="2:5">
      <c r="B1" s="75">
        <f>(inputPrYr!D3)</f>
        <v>0</v>
      </c>
      <c r="C1" s="36"/>
      <c r="D1" s="36"/>
      <c r="E1" s="91">
        <f>inputPrYr!$C$6</f>
        <v>2025</v>
      </c>
    </row>
    <row r="2" spans="2:5">
      <c r="B2" s="36"/>
      <c r="C2" s="36"/>
      <c r="D2" s="36"/>
      <c r="E2" s="555"/>
    </row>
    <row r="3" spans="2:5">
      <c r="B3" s="45" t="s">
        <v>401</v>
      </c>
      <c r="C3" s="224"/>
      <c r="D3" s="224"/>
      <c r="E3" s="225"/>
    </row>
    <row r="4" spans="2:5">
      <c r="B4" s="39" t="s">
        <v>161</v>
      </c>
      <c r="C4" s="433" t="s">
        <v>340</v>
      </c>
      <c r="D4" s="434" t="s">
        <v>341</v>
      </c>
      <c r="E4" s="103" t="s">
        <v>342</v>
      </c>
    </row>
    <row r="5" spans="2:5">
      <c r="B5" s="298">
        <f>(inputPrYr!B33)</f>
        <v>0</v>
      </c>
      <c r="C5" s="149" t="str">
        <f>CONCATENATE("Actual for ",$E$1-2,"")</f>
        <v>Actual for 2023</v>
      </c>
      <c r="D5" s="560" t="str">
        <f>CONCATENATE("Estimate for ",$E$1-1,"")</f>
        <v>Estimate for 2024</v>
      </c>
      <c r="E5" s="134" t="str">
        <f>CONCATENATE("Year for ",$E$1,"")</f>
        <v>Year for 2025</v>
      </c>
    </row>
    <row r="6" spans="2:5">
      <c r="B6" s="558" t="s">
        <v>343</v>
      </c>
      <c r="C6" s="47"/>
      <c r="D6" s="113">
        <f>C30</f>
        <v>0</v>
      </c>
      <c r="E6" s="113">
        <f>D30</f>
        <v>0</v>
      </c>
    </row>
    <row r="7" spans="2:5">
      <c r="B7" s="179" t="s">
        <v>344</v>
      </c>
      <c r="C7" s="62"/>
      <c r="D7" s="62"/>
      <c r="E7" s="62"/>
    </row>
    <row r="8" spans="2:5">
      <c r="B8" s="193"/>
      <c r="C8" s="227"/>
      <c r="D8" s="227"/>
      <c r="E8" s="227"/>
    </row>
    <row r="9" spans="2:5">
      <c r="B9" s="193"/>
      <c r="C9" s="227"/>
      <c r="D9" s="227"/>
      <c r="E9" s="227"/>
    </row>
    <row r="10" spans="2:5">
      <c r="B10" s="228"/>
      <c r="C10" s="78"/>
      <c r="D10" s="78"/>
      <c r="E10" s="78"/>
    </row>
    <row r="11" spans="2:5">
      <c r="B11" s="193"/>
      <c r="C11" s="227"/>
      <c r="D11" s="227"/>
      <c r="E11" s="227"/>
    </row>
    <row r="12" spans="2:5">
      <c r="B12" s="229" t="s">
        <v>361</v>
      </c>
      <c r="C12" s="227"/>
      <c r="D12" s="227"/>
      <c r="E12" s="227"/>
    </row>
    <row r="13" spans="2:5">
      <c r="B13" s="233" t="s">
        <v>363</v>
      </c>
      <c r="C13" s="227"/>
      <c r="D13" s="227"/>
      <c r="E13" s="227"/>
    </row>
    <row r="14" spans="2:5">
      <c r="B14" s="233" t="s">
        <v>364</v>
      </c>
      <c r="C14" s="299" t="str">
        <f>IF(C15*0.1&lt;C13,"Exceed 10% Rule","")</f>
        <v/>
      </c>
      <c r="D14" s="230" t="str">
        <f>IF(D15*0.1&lt;D13,"Exceed 10% Rule","")</f>
        <v/>
      </c>
      <c r="E14" s="230" t="str">
        <f>IF(E15*0.1&lt;E13,"Exceed 10% Rule","")</f>
        <v/>
      </c>
    </row>
    <row r="15" spans="2:5">
      <c r="B15" s="190" t="s">
        <v>365</v>
      </c>
      <c r="C15" s="232">
        <f>SUM(C8:C13)</f>
        <v>0</v>
      </c>
      <c r="D15" s="232">
        <f>SUM(D8:D13)</f>
        <v>0</v>
      </c>
      <c r="E15" s="232">
        <f>SUM(E8:E13)</f>
        <v>0</v>
      </c>
    </row>
    <row r="16" spans="2:5">
      <c r="B16" s="190" t="s">
        <v>366</v>
      </c>
      <c r="C16" s="232">
        <f>C6+C15</f>
        <v>0</v>
      </c>
      <c r="D16" s="232">
        <f>D6+D15</f>
        <v>0</v>
      </c>
      <c r="E16" s="232">
        <f>E6+E15</f>
        <v>0</v>
      </c>
    </row>
    <row r="17" spans="2:5">
      <c r="B17" s="558" t="s">
        <v>367</v>
      </c>
      <c r="C17" s="62"/>
      <c r="D17" s="62"/>
      <c r="E17" s="62"/>
    </row>
    <row r="18" spans="2:5">
      <c r="B18" s="193" t="s">
        <v>368</v>
      </c>
      <c r="C18" s="227"/>
      <c r="D18" s="227"/>
      <c r="E18" s="227"/>
    </row>
    <row r="19" spans="2:5">
      <c r="B19" s="193" t="s">
        <v>369</v>
      </c>
      <c r="C19" s="227"/>
      <c r="D19" s="227"/>
      <c r="E19" s="227"/>
    </row>
    <row r="20" spans="2:5">
      <c r="B20" s="193"/>
      <c r="C20" s="78"/>
      <c r="D20" s="78"/>
      <c r="E20" s="78"/>
    </row>
    <row r="21" spans="2:5">
      <c r="B21" s="193"/>
      <c r="C21" s="227"/>
      <c r="D21" s="227"/>
      <c r="E21" s="227"/>
    </row>
    <row r="22" spans="2:5">
      <c r="B22" s="193"/>
      <c r="C22" s="227"/>
      <c r="D22" s="227"/>
      <c r="E22" s="227"/>
    </row>
    <row r="23" spans="2:5">
      <c r="B23" s="193"/>
      <c r="C23" s="227"/>
      <c r="D23" s="227"/>
      <c r="E23" s="227"/>
    </row>
    <row r="24" spans="2:5">
      <c r="B24" s="193"/>
      <c r="C24" s="227"/>
      <c r="D24" s="227"/>
      <c r="E24" s="227"/>
    </row>
    <row r="25" spans="2:5">
      <c r="B25" s="193"/>
      <c r="C25" s="227"/>
      <c r="D25" s="227"/>
      <c r="E25" s="227"/>
    </row>
    <row r="26" spans="2:5">
      <c r="B26" s="477" t="str">
        <f>CONCATENATE("Cash Reserve (",E1," column)")</f>
        <v>Cash Reserve (2025 column)</v>
      </c>
      <c r="C26" s="227"/>
      <c r="D26" s="227"/>
      <c r="E26" s="227"/>
    </row>
    <row r="27" spans="2:5">
      <c r="B27" s="115" t="s">
        <v>363</v>
      </c>
      <c r="C27" s="227"/>
      <c r="D27" s="227"/>
      <c r="E27" s="227"/>
    </row>
    <row r="28" spans="2:5">
      <c r="B28" s="115" t="s">
        <v>374</v>
      </c>
      <c r="C28" s="299" t="str">
        <f>IF(C29*0.1&lt;C27,"Exceed 10% Rule","")</f>
        <v/>
      </c>
      <c r="D28" s="230" t="str">
        <f>IF(D29*0.1&lt;D27,"Exceed 10% Rule","")</f>
        <v/>
      </c>
      <c r="E28" s="230" t="str">
        <f>IF(E29*0.1&lt;E27,"Exceed 10% Rule","")</f>
        <v/>
      </c>
    </row>
    <row r="29" spans="2:5">
      <c r="B29" s="190" t="s">
        <v>375</v>
      </c>
      <c r="C29" s="232">
        <f>SUM(C18:C27)</f>
        <v>0</v>
      </c>
      <c r="D29" s="232">
        <f>SUM(D18:D27)</f>
        <v>0</v>
      </c>
      <c r="E29" s="232">
        <f>SUM(E18:E27)</f>
        <v>0</v>
      </c>
    </row>
    <row r="30" spans="2:5">
      <c r="B30" s="558" t="s">
        <v>376</v>
      </c>
      <c r="C30" s="54">
        <f>C16-C29</f>
        <v>0</v>
      </c>
      <c r="D30" s="54">
        <f>D16-D29</f>
        <v>0</v>
      </c>
      <c r="E30" s="54">
        <f>E16-E29</f>
        <v>0</v>
      </c>
    </row>
    <row r="31" spans="2:5">
      <c r="B31" s="120" t="str">
        <f>CONCATENATE("",E1-2,"/",E1-1,"/",E1," Budget Authority Amount:")</f>
        <v>2023/2024/2025 Budget Authority Amount:</v>
      </c>
      <c r="C31" s="280">
        <f>inputOth!B70</f>
        <v>0</v>
      </c>
      <c r="D31" s="280">
        <f>inputPrYr!D33</f>
        <v>0</v>
      </c>
      <c r="E31" s="280">
        <f>E29</f>
        <v>0</v>
      </c>
    </row>
    <row r="32" spans="2:5">
      <c r="B32" s="564"/>
      <c r="C32" s="195" t="str">
        <f>IF(C29&gt;C31,"See Tab A","")</f>
        <v/>
      </c>
      <c r="D32" s="195" t="str">
        <f>IF(D29&gt;D31,"See Tab C","")</f>
        <v/>
      </c>
      <c r="E32" s="458" t="str">
        <f>IF(E30&lt;0,"See Tab E","")</f>
        <v/>
      </c>
    </row>
    <row r="33" spans="2:5">
      <c r="B33" s="564"/>
      <c r="C33" s="195" t="str">
        <f>IF(C30&lt;0,"See Tab B","")</f>
        <v/>
      </c>
      <c r="D33" s="195" t="str">
        <f>IF(D30&lt;0,"See Tab D","")</f>
        <v/>
      </c>
      <c r="E33" s="48"/>
    </row>
    <row r="34" spans="2:5">
      <c r="B34" s="36"/>
      <c r="C34" s="48"/>
      <c r="D34" s="48"/>
      <c r="E34" s="48"/>
    </row>
    <row r="35" spans="2:5">
      <c r="B35" s="36"/>
      <c r="C35" s="48"/>
      <c r="D35" s="48"/>
      <c r="E35" s="48"/>
    </row>
    <row r="36" spans="2:5">
      <c r="B36" s="39" t="s">
        <v>161</v>
      </c>
      <c r="C36" s="433" t="s">
        <v>340</v>
      </c>
      <c r="D36" s="434" t="s">
        <v>341</v>
      </c>
      <c r="E36" s="103" t="s">
        <v>342</v>
      </c>
    </row>
    <row r="37" spans="2:5">
      <c r="B37" s="297">
        <f>(inputPrYr!B34)</f>
        <v>0</v>
      </c>
      <c r="C37" s="149" t="str">
        <f>CONCATENATE("Actual for ",$E$1-2,"")</f>
        <v>Actual for 2023</v>
      </c>
      <c r="D37" s="560" t="str">
        <f>CONCATENATE("Estimate for ",$E$1-1,"")</f>
        <v>Estimate for 2024</v>
      </c>
      <c r="E37" s="134" t="str">
        <f>CONCATENATE("Year for ",$E$1,"")</f>
        <v>Year for 2025</v>
      </c>
    </row>
    <row r="38" spans="2:5">
      <c r="B38" s="558" t="s">
        <v>343</v>
      </c>
      <c r="C38" s="47">
        <v>0</v>
      </c>
      <c r="D38" s="113">
        <f>C61</f>
        <v>0</v>
      </c>
      <c r="E38" s="113">
        <f>D61</f>
        <v>0</v>
      </c>
    </row>
    <row r="39" spans="2:5">
      <c r="B39" s="558" t="s">
        <v>344</v>
      </c>
      <c r="C39" s="62"/>
      <c r="D39" s="62"/>
      <c r="E39" s="62"/>
    </row>
    <row r="40" spans="2:5">
      <c r="B40" s="193"/>
      <c r="C40" s="227"/>
      <c r="D40" s="227"/>
      <c r="E40" s="227"/>
    </row>
    <row r="41" spans="2:5">
      <c r="B41" s="193"/>
      <c r="C41" s="227"/>
      <c r="D41" s="227"/>
      <c r="E41" s="227"/>
    </row>
    <row r="42" spans="2:5">
      <c r="B42" s="228"/>
      <c r="C42" s="78"/>
      <c r="D42" s="78"/>
      <c r="E42" s="78"/>
    </row>
    <row r="43" spans="2:5">
      <c r="B43" s="193"/>
      <c r="C43" s="227"/>
      <c r="D43" s="227"/>
      <c r="E43" s="227"/>
    </row>
    <row r="44" spans="2:5">
      <c r="B44" s="229" t="s">
        <v>361</v>
      </c>
      <c r="C44" s="227"/>
      <c r="D44" s="227"/>
      <c r="E44" s="227"/>
    </row>
    <row r="45" spans="2:5">
      <c r="B45" s="233" t="s">
        <v>363</v>
      </c>
      <c r="C45" s="227"/>
      <c r="D45" s="227"/>
      <c r="E45" s="227"/>
    </row>
    <row r="46" spans="2:5">
      <c r="B46" s="233" t="s">
        <v>364</v>
      </c>
      <c r="C46" s="299" t="str">
        <f>IF(C47*0.1&lt;C45,"Exceed 10% Rule","")</f>
        <v/>
      </c>
      <c r="D46" s="230" t="str">
        <f>IF(D47*0.1&lt;D45,"Exceed 10% Rule","")</f>
        <v/>
      </c>
      <c r="E46" s="230" t="str">
        <f>IF(E47*0.1&lt;E45,"Exceed 10% Rule","")</f>
        <v/>
      </c>
    </row>
    <row r="47" spans="2:5">
      <c r="B47" s="190" t="s">
        <v>365</v>
      </c>
      <c r="C47" s="232">
        <f>SUM(C40:C45)</f>
        <v>0</v>
      </c>
      <c r="D47" s="232">
        <f>SUM(D40:D45)</f>
        <v>0</v>
      </c>
      <c r="E47" s="232">
        <f>SUM(E40:E45)</f>
        <v>0</v>
      </c>
    </row>
    <row r="48" spans="2:5">
      <c r="B48" s="190" t="s">
        <v>366</v>
      </c>
      <c r="C48" s="232">
        <f>C38+C47</f>
        <v>0</v>
      </c>
      <c r="D48" s="232">
        <f>D38+D47</f>
        <v>0</v>
      </c>
      <c r="E48" s="232">
        <f>E38+E47</f>
        <v>0</v>
      </c>
    </row>
    <row r="49" spans="2:5">
      <c r="B49" s="558" t="s">
        <v>367</v>
      </c>
      <c r="C49" s="62"/>
      <c r="D49" s="62"/>
      <c r="E49" s="62"/>
    </row>
    <row r="50" spans="2:5">
      <c r="B50" s="193" t="s">
        <v>368</v>
      </c>
      <c r="C50" s="227"/>
      <c r="D50" s="227"/>
      <c r="E50" s="227"/>
    </row>
    <row r="51" spans="2:5">
      <c r="B51" s="193" t="s">
        <v>406</v>
      </c>
      <c r="C51" s="227"/>
      <c r="D51" s="227"/>
      <c r="E51" s="227"/>
    </row>
    <row r="52" spans="2:5">
      <c r="B52" s="193"/>
      <c r="C52" s="227"/>
      <c r="D52" s="227"/>
      <c r="E52" s="227"/>
    </row>
    <row r="53" spans="2:5">
      <c r="B53" s="193"/>
      <c r="C53" s="227"/>
      <c r="D53" s="227"/>
      <c r="E53" s="227"/>
    </row>
    <row r="54" spans="2:5">
      <c r="B54" s="193"/>
      <c r="C54" s="227"/>
      <c r="D54" s="227"/>
      <c r="E54" s="227"/>
    </row>
    <row r="55" spans="2:5">
      <c r="B55" s="193"/>
      <c r="C55" s="78"/>
      <c r="D55" s="78"/>
      <c r="E55" s="78"/>
    </row>
    <row r="56" spans="2:5">
      <c r="B56" s="193"/>
      <c r="C56" s="227"/>
      <c r="D56" s="78"/>
      <c r="E56" s="78"/>
    </row>
    <row r="57" spans="2:5">
      <c r="B57" s="477" t="str">
        <f>CONCATENATE("Cash Reserve (",E1," column)")</f>
        <v>Cash Reserve (2025 column)</v>
      </c>
      <c r="C57" s="227"/>
      <c r="D57" s="78"/>
      <c r="E57" s="78"/>
    </row>
    <row r="58" spans="2:5">
      <c r="B58" s="115" t="s">
        <v>363</v>
      </c>
      <c r="C58" s="227"/>
      <c r="D58" s="78"/>
      <c r="E58" s="78"/>
    </row>
    <row r="59" spans="2:5">
      <c r="B59" s="115" t="s">
        <v>374</v>
      </c>
      <c r="C59" s="299" t="str">
        <f>IF(C60*0.1&lt;C58,"Exceed 10% Rule","")</f>
        <v/>
      </c>
      <c r="D59" s="230" t="str">
        <f>IF(D60*0.1&lt;D58,"Exceed 10% Rule","")</f>
        <v/>
      </c>
      <c r="E59" s="230" t="str">
        <f>IF(E60*0.1&lt;E58,"Exceed 10% Rule","")</f>
        <v/>
      </c>
    </row>
    <row r="60" spans="2:5">
      <c r="B60" s="190" t="s">
        <v>375</v>
      </c>
      <c r="C60" s="232">
        <f>SUM(C50:C58)</f>
        <v>0</v>
      </c>
      <c r="D60" s="232">
        <f>SUM(D50:D58)</f>
        <v>0</v>
      </c>
      <c r="E60" s="232">
        <f>SUM(E50:E58)</f>
        <v>0</v>
      </c>
    </row>
    <row r="61" spans="2:5">
      <c r="B61" s="558" t="s">
        <v>376</v>
      </c>
      <c r="C61" s="54">
        <f>C48-C60</f>
        <v>0</v>
      </c>
      <c r="D61" s="54">
        <f>D48-D60</f>
        <v>0</v>
      </c>
      <c r="E61" s="54">
        <f>E48-E60</f>
        <v>0</v>
      </c>
    </row>
    <row r="62" spans="2:5">
      <c r="B62" s="120" t="str">
        <f>CONCATENATE("",E1-2,"/",E1-1,"/",E1," Budget Authority Amount:")</f>
        <v>2023/2024/2025 Budget Authority Amount:</v>
      </c>
      <c r="C62" s="280">
        <f>inputOth!B71</f>
        <v>0</v>
      </c>
      <c r="D62" s="280">
        <f>inputPrYr!D34</f>
        <v>0</v>
      </c>
      <c r="E62" s="280">
        <f>E60</f>
        <v>0</v>
      </c>
    </row>
    <row r="63" spans="2:5">
      <c r="B63" s="564"/>
      <c r="C63" s="195" t="str">
        <f>IF(C60&gt;C62,"See Tab A","")</f>
        <v/>
      </c>
      <c r="D63" s="195" t="str">
        <f>IF(D60&gt;D62,"See Tab C","")</f>
        <v/>
      </c>
      <c r="E63" s="458" t="str">
        <f>IF(E61&lt;0,"See Tab E","")</f>
        <v/>
      </c>
    </row>
    <row r="64" spans="2:5">
      <c r="B64" s="723" t="s">
        <v>407</v>
      </c>
      <c r="C64" s="724"/>
      <c r="D64" s="724"/>
      <c r="E64" s="725"/>
    </row>
    <row r="65" spans="2:5">
      <c r="B65" s="726"/>
      <c r="C65" s="727"/>
      <c r="D65" s="727"/>
      <c r="E65" s="728"/>
    </row>
    <row r="66" spans="2:5">
      <c r="B66" s="729"/>
      <c r="C66" s="730"/>
      <c r="D66" s="730"/>
      <c r="E66" s="731"/>
    </row>
    <row r="67" spans="2:5">
      <c r="B67" s="36"/>
      <c r="C67" s="36"/>
      <c r="D67" s="36"/>
      <c r="E67" s="36"/>
    </row>
    <row r="68" spans="2:5">
      <c r="B68" s="555" t="s">
        <v>384</v>
      </c>
      <c r="C68" s="473"/>
      <c r="D68" s="36"/>
      <c r="E68" s="36"/>
    </row>
  </sheetData>
  <sheetProtection sheet="1" objects="1" scenarios="1"/>
  <mergeCells count="1">
    <mergeCell ref="B64:E66"/>
  </mergeCells>
  <phoneticPr fontId="0" type="noConversion"/>
  <conditionalFormatting sqref="C13">
    <cfRule type="cellIs" dxfId="31" priority="6" stopIfTrue="1" operator="greaterThan">
      <formula>$C$15*0.1</formula>
    </cfRule>
  </conditionalFormatting>
  <conditionalFormatting sqref="C27">
    <cfRule type="cellIs" dxfId="30" priority="9" stopIfTrue="1" operator="greaterThan">
      <formula>$C$29*0.1</formula>
    </cfRule>
  </conditionalFormatting>
  <conditionalFormatting sqref="C29">
    <cfRule type="cellIs" dxfId="29" priority="17" stopIfTrue="1" operator="greaterThan">
      <formula>$C$31</formula>
    </cfRule>
  </conditionalFormatting>
  <conditionalFormatting sqref="C30 E30 E61">
    <cfRule type="cellIs" dxfId="28" priority="15" stopIfTrue="1" operator="lessThan">
      <formula>0</formula>
    </cfRule>
  </conditionalFormatting>
  <conditionalFormatting sqref="C45">
    <cfRule type="cellIs" dxfId="27" priority="3" stopIfTrue="1" operator="greaterThan">
      <formula>$C$47*0.1</formula>
    </cfRule>
  </conditionalFormatting>
  <conditionalFormatting sqref="C58">
    <cfRule type="cellIs" dxfId="26" priority="12" stopIfTrue="1" operator="greaterThan">
      <formula>$C$60*0.1</formula>
    </cfRule>
  </conditionalFormatting>
  <conditionalFormatting sqref="C60">
    <cfRule type="cellIs" dxfId="25" priority="19" stopIfTrue="1" operator="greaterThan">
      <formula>$C$62</formula>
    </cfRule>
  </conditionalFormatting>
  <conditionalFormatting sqref="C61">
    <cfRule type="cellIs" dxfId="24" priority="18" stopIfTrue="1" operator="lessThan">
      <formula>0</formula>
    </cfRule>
  </conditionalFormatting>
  <conditionalFormatting sqref="D13">
    <cfRule type="cellIs" dxfId="23" priority="7" stopIfTrue="1" operator="greaterThan">
      <formula>$D$15*0.1</formula>
    </cfRule>
  </conditionalFormatting>
  <conditionalFormatting sqref="D27">
    <cfRule type="cellIs" dxfId="22" priority="10" stopIfTrue="1" operator="greaterThan">
      <formula>$D$29*0.1</formula>
    </cfRule>
  </conditionalFormatting>
  <conditionalFormatting sqref="D29">
    <cfRule type="cellIs" dxfId="21" priority="16" stopIfTrue="1" operator="greaterThan">
      <formula>$D$31</formula>
    </cfRule>
  </conditionalFormatting>
  <conditionalFormatting sqref="D30">
    <cfRule type="cellIs" dxfId="20" priority="2" stopIfTrue="1" operator="lessThan">
      <formula>0</formula>
    </cfRule>
  </conditionalFormatting>
  <conditionalFormatting sqref="D45">
    <cfRule type="cellIs" dxfId="19" priority="4" stopIfTrue="1" operator="greaterThan">
      <formula>$D$47*0.1</formula>
    </cfRule>
  </conditionalFormatting>
  <conditionalFormatting sqref="D58">
    <cfRule type="cellIs" dxfId="18" priority="13" stopIfTrue="1" operator="greaterThan">
      <formula>$D$60*0.1</formula>
    </cfRule>
  </conditionalFormatting>
  <conditionalFormatting sqref="D60">
    <cfRule type="cellIs" dxfId="17" priority="20" stopIfTrue="1" operator="greaterThan">
      <formula>$D$62</formula>
    </cfRule>
  </conditionalFormatting>
  <conditionalFormatting sqref="D61">
    <cfRule type="cellIs" dxfId="16" priority="1" stopIfTrue="1" operator="lessThan">
      <formula>0</formula>
    </cfRule>
  </conditionalFormatting>
  <conditionalFormatting sqref="E13">
    <cfRule type="cellIs" dxfId="15" priority="8" stopIfTrue="1" operator="greaterThan">
      <formula>$E$15*0.1</formula>
    </cfRule>
  </conditionalFormatting>
  <conditionalFormatting sqref="E27">
    <cfRule type="cellIs" dxfId="14" priority="11" stopIfTrue="1" operator="greaterThan">
      <formula>$E$29*0.1</formula>
    </cfRule>
  </conditionalFormatting>
  <conditionalFormatting sqref="E45">
    <cfRule type="cellIs" dxfId="13" priority="5" stopIfTrue="1" operator="greaterThan">
      <formula>$E$47*0.1</formula>
    </cfRule>
  </conditionalFormatting>
  <conditionalFormatting sqref="E58">
    <cfRule type="cellIs" dxfId="12" priority="14" stopIfTrue="1" operator="greaterThan">
      <formula>$E$60*0.1</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B1:E57"/>
  <sheetViews>
    <sheetView workbookViewId="0">
      <selection activeCell="B3" sqref="B3"/>
    </sheetView>
  </sheetViews>
  <sheetFormatPr defaultColWidth="8.88671875" defaultRowHeight="15"/>
  <cols>
    <col min="1" max="1" width="2.44140625" style="74" customWidth="1"/>
    <col min="2" max="2" width="31.109375" style="74" customWidth="1"/>
    <col min="3" max="4" width="15.77734375" style="74" customWidth="1"/>
    <col min="5" max="5" width="16.109375" style="74" customWidth="1"/>
    <col min="6" max="16384" width="8.88671875" style="74"/>
  </cols>
  <sheetData>
    <row r="1" spans="2:5" ht="15.75">
      <c r="B1" s="75">
        <f>(inputPrYr!D3)</f>
        <v>0</v>
      </c>
      <c r="C1" s="36"/>
      <c r="D1" s="36"/>
      <c r="E1" s="91">
        <f>inputPrYr!$C$6</f>
        <v>2025</v>
      </c>
    </row>
    <row r="2" spans="2:5" ht="15.75">
      <c r="B2" s="36"/>
      <c r="C2" s="36"/>
      <c r="D2" s="36"/>
      <c r="E2" s="555"/>
    </row>
    <row r="3" spans="2:5" ht="15.75">
      <c r="B3" s="45" t="s">
        <v>401</v>
      </c>
      <c r="C3" s="224"/>
      <c r="D3" s="224"/>
      <c r="E3" s="225"/>
    </row>
    <row r="4" spans="2:5" ht="15.75">
      <c r="B4" s="39" t="s">
        <v>161</v>
      </c>
      <c r="C4" s="433" t="s">
        <v>340</v>
      </c>
      <c r="D4" s="434" t="s">
        <v>341</v>
      </c>
      <c r="E4" s="103" t="s">
        <v>342</v>
      </c>
    </row>
    <row r="5" spans="2:5" ht="15.75">
      <c r="B5" s="298">
        <f>(inputPrYr!B36)</f>
        <v>0</v>
      </c>
      <c r="C5" s="149" t="str">
        <f>CONCATENATE("Actual for ",$E$1-2,"")</f>
        <v>Actual for 2023</v>
      </c>
      <c r="D5" s="560" t="str">
        <f>CONCATENATE("Estimate for ",$E$1-1,"")</f>
        <v>Estimate for 2024</v>
      </c>
      <c r="E5" s="134" t="str">
        <f>CONCATENATE("Year for ",$E$1,"")</f>
        <v>Year for 2025</v>
      </c>
    </row>
    <row r="6" spans="2:5" ht="15.75">
      <c r="B6" s="558" t="s">
        <v>343</v>
      </c>
      <c r="C6" s="47">
        <v>0</v>
      </c>
      <c r="D6" s="113">
        <f>C50</f>
        <v>0</v>
      </c>
      <c r="E6" s="113">
        <f>D50</f>
        <v>0</v>
      </c>
    </row>
    <row r="7" spans="2:5" ht="15.75">
      <c r="B7" s="179" t="s">
        <v>344</v>
      </c>
      <c r="C7" s="62"/>
      <c r="D7" s="62"/>
      <c r="E7" s="62"/>
    </row>
    <row r="8" spans="2:5" ht="15.75">
      <c r="B8" s="193"/>
      <c r="C8" s="227"/>
      <c r="D8" s="227"/>
      <c r="E8" s="227"/>
    </row>
    <row r="9" spans="2:5" ht="15.75">
      <c r="B9" s="193"/>
      <c r="C9" s="227"/>
      <c r="D9" s="227"/>
      <c r="E9" s="227"/>
    </row>
    <row r="10" spans="2:5" ht="15.75">
      <c r="B10" s="193"/>
      <c r="C10" s="227"/>
      <c r="D10" s="227"/>
      <c r="E10" s="227"/>
    </row>
    <row r="11" spans="2:5" ht="15.75">
      <c r="B11" s="193"/>
      <c r="C11" s="227"/>
      <c r="D11" s="227"/>
      <c r="E11" s="227"/>
    </row>
    <row r="12" spans="2:5" ht="15.75">
      <c r="B12" s="193"/>
      <c r="C12" s="227"/>
      <c r="D12" s="227"/>
      <c r="E12" s="227"/>
    </row>
    <row r="13" spans="2:5" ht="15.75">
      <c r="B13" s="193"/>
      <c r="C13" s="227"/>
      <c r="D13" s="227"/>
      <c r="E13" s="227"/>
    </row>
    <row r="14" spans="2:5" ht="15.75">
      <c r="B14" s="228"/>
      <c r="C14" s="78"/>
      <c r="D14" s="78"/>
      <c r="E14" s="78"/>
    </row>
    <row r="15" spans="2:5" ht="15.75">
      <c r="B15" s="193"/>
      <c r="C15" s="227"/>
      <c r="D15" s="227"/>
      <c r="E15" s="227"/>
    </row>
    <row r="16" spans="2:5" ht="15.75">
      <c r="B16" s="193"/>
      <c r="C16" s="227"/>
      <c r="D16" s="227"/>
      <c r="E16" s="227"/>
    </row>
    <row r="17" spans="2:5" ht="15.75">
      <c r="B17" s="193"/>
      <c r="C17" s="227"/>
      <c r="D17" s="227"/>
      <c r="E17" s="227"/>
    </row>
    <row r="18" spans="2:5" ht="15.75">
      <c r="B18" s="229" t="s">
        <v>361</v>
      </c>
      <c r="C18" s="227"/>
      <c r="D18" s="227"/>
      <c r="E18" s="227"/>
    </row>
    <row r="19" spans="2:5" ht="15.75">
      <c r="B19" s="558" t="s">
        <v>363</v>
      </c>
      <c r="C19" s="227"/>
      <c r="D19" s="227"/>
      <c r="E19" s="227"/>
    </row>
    <row r="20" spans="2:5" ht="15.75">
      <c r="B20" s="558" t="s">
        <v>408</v>
      </c>
      <c r="C20" s="299" t="str">
        <f>IF(C21*0.1&lt;C19,"Exceed 10% Rule","")</f>
        <v/>
      </c>
      <c r="D20" s="230" t="str">
        <f>IF(D21*0.1&lt;D19,"Exceed 10% Rule","")</f>
        <v/>
      </c>
      <c r="E20" s="230" t="str">
        <f>IF(E21*0.1&lt;E19,"Exceed 10% Rule","")</f>
        <v/>
      </c>
    </row>
    <row r="21" spans="2:5" ht="15.75">
      <c r="B21" s="190" t="s">
        <v>365</v>
      </c>
      <c r="C21" s="232">
        <f>SUM(C8:C19)</f>
        <v>0</v>
      </c>
      <c r="D21" s="232">
        <f>SUM(D8:D19)</f>
        <v>0</v>
      </c>
      <c r="E21" s="232">
        <f>SUM(E8:E19)</f>
        <v>0</v>
      </c>
    </row>
    <row r="22" spans="2:5" ht="15.75">
      <c r="B22" s="190" t="s">
        <v>366</v>
      </c>
      <c r="C22" s="232">
        <f>C6+C21</f>
        <v>0</v>
      </c>
      <c r="D22" s="232">
        <f>D6+D21</f>
        <v>0</v>
      </c>
      <c r="E22" s="232">
        <f>E6+E21</f>
        <v>0</v>
      </c>
    </row>
    <row r="23" spans="2:5" ht="15.75">
      <c r="B23" s="558" t="s">
        <v>367</v>
      </c>
      <c r="C23" s="62"/>
      <c r="D23" s="62"/>
      <c r="E23" s="62"/>
    </row>
    <row r="24" spans="2:5" ht="15.75">
      <c r="B24" s="193"/>
      <c r="C24" s="227"/>
      <c r="D24" s="227"/>
      <c r="E24" s="227"/>
    </row>
    <row r="25" spans="2:5" ht="15.75">
      <c r="B25" s="193"/>
      <c r="C25" s="227"/>
      <c r="D25" s="227"/>
      <c r="E25" s="227"/>
    </row>
    <row r="26" spans="2:5" ht="15.75">
      <c r="B26" s="193"/>
      <c r="C26" s="78"/>
      <c r="D26" s="78"/>
      <c r="E26" s="78"/>
    </row>
    <row r="27" spans="2:5" ht="15.75">
      <c r="B27" s="193"/>
      <c r="C27" s="78"/>
      <c r="D27" s="78"/>
      <c r="E27" s="78"/>
    </row>
    <row r="28" spans="2:5" ht="15.75">
      <c r="B28" s="193"/>
      <c r="C28" s="78"/>
      <c r="D28" s="78"/>
      <c r="E28" s="78"/>
    </row>
    <row r="29" spans="2:5" ht="15.75">
      <c r="B29" s="193"/>
      <c r="C29" s="78"/>
      <c r="D29" s="78"/>
      <c r="E29" s="78"/>
    </row>
    <row r="30" spans="2:5" ht="15.75">
      <c r="B30" s="193"/>
      <c r="C30" s="78"/>
      <c r="D30" s="78"/>
      <c r="E30" s="78"/>
    </row>
    <row r="31" spans="2:5" ht="15.75">
      <c r="B31" s="193"/>
      <c r="C31" s="78"/>
      <c r="D31" s="78"/>
      <c r="E31" s="78"/>
    </row>
    <row r="32" spans="2:5" ht="15.75">
      <c r="B32" s="193"/>
      <c r="C32" s="78"/>
      <c r="D32" s="78"/>
      <c r="E32" s="78"/>
    </row>
    <row r="33" spans="2:5" ht="15.75">
      <c r="B33" s="193"/>
      <c r="C33" s="78"/>
      <c r="D33" s="78"/>
      <c r="E33" s="78"/>
    </row>
    <row r="34" spans="2:5" ht="15.75">
      <c r="B34" s="193"/>
      <c r="C34" s="78"/>
      <c r="D34" s="78"/>
      <c r="E34" s="78"/>
    </row>
    <row r="35" spans="2:5" ht="15.75">
      <c r="B35" s="193"/>
      <c r="C35" s="78"/>
      <c r="D35" s="78"/>
      <c r="E35" s="78"/>
    </row>
    <row r="36" spans="2:5" ht="15.75">
      <c r="B36" s="193"/>
      <c r="C36" s="78"/>
      <c r="D36" s="78"/>
      <c r="E36" s="78"/>
    </row>
    <row r="37" spans="2:5" ht="15.75">
      <c r="B37" s="193"/>
      <c r="C37" s="227"/>
      <c r="D37" s="227"/>
      <c r="E37" s="227"/>
    </row>
    <row r="38" spans="2:5" ht="15.75">
      <c r="B38" s="193"/>
      <c r="C38" s="227"/>
      <c r="D38" s="227"/>
      <c r="E38" s="227"/>
    </row>
    <row r="39" spans="2:5" ht="15.75">
      <c r="B39" s="193"/>
      <c r="C39" s="227"/>
      <c r="D39" s="227"/>
      <c r="E39" s="227"/>
    </row>
    <row r="40" spans="2:5" ht="15.75">
      <c r="B40" s="193"/>
      <c r="C40" s="227"/>
      <c r="D40" s="227"/>
      <c r="E40" s="227"/>
    </row>
    <row r="41" spans="2:5" ht="15.75">
      <c r="B41" s="193"/>
      <c r="C41" s="227"/>
      <c r="D41" s="227"/>
      <c r="E41" s="227"/>
    </row>
    <row r="42" spans="2:5" ht="15.75">
      <c r="B42" s="193"/>
      <c r="C42" s="227"/>
      <c r="D42" s="227"/>
      <c r="E42" s="227"/>
    </row>
    <row r="43" spans="2:5" ht="15.75">
      <c r="B43" s="193"/>
      <c r="C43" s="227"/>
      <c r="D43" s="227"/>
      <c r="E43" s="227"/>
    </row>
    <row r="44" spans="2:5" ht="15.75">
      <c r="B44" s="193"/>
      <c r="C44" s="227"/>
      <c r="D44" s="227"/>
      <c r="E44" s="227"/>
    </row>
    <row r="45" spans="2:5" ht="15.75">
      <c r="B45" s="193"/>
      <c r="C45" s="227"/>
      <c r="D45" s="227"/>
      <c r="E45" s="227"/>
    </row>
    <row r="46" spans="2:5" ht="15.75">
      <c r="B46" s="477" t="str">
        <f>CONCATENATE("Cash Reserve (",E1," column)")</f>
        <v>Cash Reserve (2025 column)</v>
      </c>
      <c r="C46" s="227"/>
      <c r="D46" s="227"/>
      <c r="E46" s="227"/>
    </row>
    <row r="47" spans="2:5" ht="15.75">
      <c r="B47" s="115" t="s">
        <v>363</v>
      </c>
      <c r="C47" s="227"/>
      <c r="D47" s="227"/>
      <c r="E47" s="227"/>
    </row>
    <row r="48" spans="2:5" ht="15.75">
      <c r="B48" s="115" t="s">
        <v>409</v>
      </c>
      <c r="C48" s="299" t="str">
        <f>IF(C49*0.1&lt;C47,"Exceed 10% Rule","")</f>
        <v/>
      </c>
      <c r="D48" s="230" t="str">
        <f>IF(D49*0.1&lt;D47,"Exceed 10% Rule","")</f>
        <v/>
      </c>
      <c r="E48" s="230" t="str">
        <f>IF(E49*0.1&lt;E47,"Exceed 10% Rule","")</f>
        <v/>
      </c>
    </row>
    <row r="49" spans="2:5" ht="15.75">
      <c r="B49" s="190" t="s">
        <v>375</v>
      </c>
      <c r="C49" s="232">
        <f>SUM(C24:C47)</f>
        <v>0</v>
      </c>
      <c r="D49" s="232">
        <f>SUM(D24:D47)</f>
        <v>0</v>
      </c>
      <c r="E49" s="232">
        <f>SUM(E24:E47)</f>
        <v>0</v>
      </c>
    </row>
    <row r="50" spans="2:5" ht="15.75">
      <c r="B50" s="558" t="s">
        <v>376</v>
      </c>
      <c r="C50" s="54">
        <f>C22-C49</f>
        <v>0</v>
      </c>
      <c r="D50" s="54">
        <f>D22-D49</f>
        <v>0</v>
      </c>
      <c r="E50" s="54">
        <f>E22-E49</f>
        <v>0</v>
      </c>
    </row>
    <row r="51" spans="2:5" ht="15.75">
      <c r="B51" s="120" t="str">
        <f>CONCATENATE("",E1-2,"/",E1-1,"/",E1," Budget Authority Amount:")</f>
        <v>2023/2024/2025 Budget Authority Amount:</v>
      </c>
      <c r="C51" s="280">
        <f>inputOth!B72</f>
        <v>0</v>
      </c>
      <c r="D51" s="280">
        <f>inputPrYr!D36</f>
        <v>0</v>
      </c>
      <c r="E51" s="280">
        <f>E49</f>
        <v>0</v>
      </c>
    </row>
    <row r="52" spans="2:5" ht="15.75">
      <c r="B52" s="564"/>
      <c r="C52" s="195" t="str">
        <f>IF(C49&gt;C51,"See Tab A","")</f>
        <v/>
      </c>
      <c r="D52" s="195" t="str">
        <f>IF(D49&gt;D51,"See Tab C","")</f>
        <v/>
      </c>
      <c r="E52" s="458" t="str">
        <f>IF(E50&lt;0,"See Tab E","")</f>
        <v/>
      </c>
    </row>
    <row r="53" spans="2:5" ht="15.75" customHeight="1">
      <c r="B53" s="723" t="s">
        <v>383</v>
      </c>
      <c r="C53" s="724"/>
      <c r="D53" s="724"/>
      <c r="E53" s="725"/>
    </row>
    <row r="54" spans="2:5" ht="15.75" customHeight="1">
      <c r="B54" s="726"/>
      <c r="C54" s="727"/>
      <c r="D54" s="727"/>
      <c r="E54" s="728"/>
    </row>
    <row r="55" spans="2:5" ht="15.75" customHeight="1">
      <c r="B55" s="729"/>
      <c r="C55" s="730"/>
      <c r="D55" s="730"/>
      <c r="E55" s="731"/>
    </row>
    <row r="56" spans="2:5">
      <c r="B56" s="76"/>
      <c r="C56" s="76"/>
      <c r="D56" s="76"/>
      <c r="E56" s="76"/>
    </row>
    <row r="57" spans="2:5" ht="15.75">
      <c r="B57" s="555" t="s">
        <v>384</v>
      </c>
      <c r="C57" s="473"/>
      <c r="D57" s="76"/>
      <c r="E57" s="76"/>
    </row>
  </sheetData>
  <sheetProtection sheet="1" objects="1" scenarios="1"/>
  <mergeCells count="1">
    <mergeCell ref="B53:E55"/>
  </mergeCells>
  <phoneticPr fontId="9" type="noConversion"/>
  <conditionalFormatting sqref="C19">
    <cfRule type="cellIs" dxfId="11" priority="2" stopIfTrue="1" operator="greaterThan">
      <formula>$C$21*0.1</formula>
    </cfRule>
  </conditionalFormatting>
  <conditionalFormatting sqref="C47">
    <cfRule type="cellIs" dxfId="10" priority="5" stopIfTrue="1" operator="greaterThan">
      <formula>$C$49*0.1</formula>
    </cfRule>
  </conditionalFormatting>
  <conditionalFormatting sqref="C49">
    <cfRule type="cellIs" dxfId="9" priority="10" stopIfTrue="1" operator="greaterThan">
      <formula>$C$51</formula>
    </cfRule>
  </conditionalFormatting>
  <conditionalFormatting sqref="C50 E50">
    <cfRule type="cellIs" dxfId="8" priority="8" stopIfTrue="1" operator="lessThan">
      <formula>0</formula>
    </cfRule>
  </conditionalFormatting>
  <conditionalFormatting sqref="D19">
    <cfRule type="cellIs" dxfId="7" priority="3" stopIfTrue="1" operator="greaterThan">
      <formula>$D$21*0.1</formula>
    </cfRule>
  </conditionalFormatting>
  <conditionalFormatting sqref="D47">
    <cfRule type="cellIs" dxfId="6" priority="6" stopIfTrue="1" operator="greaterThan">
      <formula>$D$49*0.1</formula>
    </cfRule>
  </conditionalFormatting>
  <conditionalFormatting sqref="D49">
    <cfRule type="cellIs" dxfId="5" priority="9" stopIfTrue="1" operator="greaterThan">
      <formula>$D$51</formula>
    </cfRule>
  </conditionalFormatting>
  <conditionalFormatting sqref="D50">
    <cfRule type="cellIs" dxfId="4" priority="1" stopIfTrue="1" operator="lessThan">
      <formula>0</formula>
    </cfRule>
  </conditionalFormatting>
  <conditionalFormatting sqref="E19">
    <cfRule type="cellIs" dxfId="3" priority="4" stopIfTrue="1" operator="greaterThan">
      <formula>$E$21*0.1</formula>
    </cfRule>
  </conditionalFormatting>
  <conditionalFormatting sqref="E47">
    <cfRule type="cellIs" dxfId="2" priority="7" stopIfTrue="1" operator="greaterThan">
      <formula>$E$49*0.1</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A1:L45"/>
  <sheetViews>
    <sheetView workbookViewId="0">
      <selection activeCell="B7" sqref="B7"/>
    </sheetView>
  </sheetViews>
  <sheetFormatPr defaultColWidth="8.88671875" defaultRowHeight="15.75"/>
  <cols>
    <col min="1" max="1" width="11.5546875" style="31" customWidth="1"/>
    <col min="2" max="2" width="7.44140625" style="31" customWidth="1"/>
    <col min="3" max="3" width="11.5546875" style="31" customWidth="1"/>
    <col min="4" max="4" width="7.44140625" style="31" customWidth="1"/>
    <col min="5" max="5" width="11.5546875" style="31" customWidth="1"/>
    <col min="6" max="6" width="7.44140625" style="31" customWidth="1"/>
    <col min="7" max="7" width="11.5546875" style="31" customWidth="1"/>
    <col min="8" max="8" width="7.44140625" style="31" customWidth="1"/>
    <col min="9" max="9" width="11.5546875" style="31" customWidth="1"/>
    <col min="10" max="16384" width="8.88671875" style="31"/>
  </cols>
  <sheetData>
    <row r="1" spans="1:11">
      <c r="A1" s="75">
        <f>inputPrYr!$D$3</f>
        <v>0</v>
      </c>
      <c r="B1" s="567"/>
      <c r="C1" s="36"/>
      <c r="D1" s="36"/>
      <c r="E1" s="36"/>
      <c r="F1" s="122" t="s">
        <v>410</v>
      </c>
      <c r="G1" s="36"/>
      <c r="H1" s="36"/>
      <c r="I1" s="36"/>
      <c r="J1" s="36"/>
      <c r="K1" s="36">
        <f>inputPrYr!$C$6</f>
        <v>2025</v>
      </c>
    </row>
    <row r="2" spans="1:11">
      <c r="A2" s="742" t="str">
        <f>CONCATENATE("(Only the actual budget year for ",K1-2," is reported)")</f>
        <v>(Only the actual budget year for 2023 is reported)</v>
      </c>
      <c r="B2" s="742"/>
      <c r="C2" s="742"/>
      <c r="D2" s="742"/>
      <c r="E2" s="742"/>
      <c r="F2" s="742"/>
      <c r="G2" s="742"/>
      <c r="H2" s="742"/>
      <c r="I2" s="742"/>
      <c r="J2" s="742"/>
      <c r="K2" s="742"/>
    </row>
    <row r="3" spans="1:11">
      <c r="A3" s="36" t="s">
        <v>411</v>
      </c>
      <c r="B3" s="36"/>
      <c r="C3" s="36"/>
      <c r="D3" s="36"/>
      <c r="E3" s="36"/>
      <c r="F3" s="567"/>
      <c r="G3" s="36"/>
      <c r="H3" s="36"/>
      <c r="I3" s="36"/>
      <c r="J3" s="36"/>
      <c r="K3" s="36"/>
    </row>
    <row r="4" spans="1:11">
      <c r="A4" s="36" t="s">
        <v>412</v>
      </c>
      <c r="B4" s="36"/>
      <c r="C4" s="36" t="s">
        <v>413</v>
      </c>
      <c r="D4" s="36"/>
      <c r="E4" s="36" t="s">
        <v>414</v>
      </c>
      <c r="F4" s="567"/>
      <c r="G4" s="36" t="s">
        <v>415</v>
      </c>
      <c r="H4" s="36"/>
      <c r="I4" s="36" t="s">
        <v>416</v>
      </c>
      <c r="J4" s="36"/>
      <c r="K4" s="36"/>
    </row>
    <row r="5" spans="1:11">
      <c r="A5" s="743">
        <f>inputPrYr!B39</f>
        <v>0</v>
      </c>
      <c r="B5" s="744"/>
      <c r="C5" s="743">
        <f>inputPrYr!B40</f>
        <v>0</v>
      </c>
      <c r="D5" s="744"/>
      <c r="E5" s="743">
        <f>inputPrYr!B41</f>
        <v>0</v>
      </c>
      <c r="F5" s="744"/>
      <c r="G5" s="743">
        <f>inputPrYr!B42</f>
        <v>0</v>
      </c>
      <c r="H5" s="744"/>
      <c r="I5" s="743">
        <f>inputPrYr!B43</f>
        <v>0</v>
      </c>
      <c r="J5" s="744"/>
      <c r="K5" s="52"/>
    </row>
    <row r="6" spans="1:11">
      <c r="A6" s="198" t="s">
        <v>417</v>
      </c>
      <c r="B6" s="199"/>
      <c r="C6" s="200" t="s">
        <v>417</v>
      </c>
      <c r="D6" s="201"/>
      <c r="E6" s="200" t="s">
        <v>417</v>
      </c>
      <c r="F6" s="202"/>
      <c r="G6" s="200" t="s">
        <v>417</v>
      </c>
      <c r="H6" s="67"/>
      <c r="I6" s="200" t="s">
        <v>417</v>
      </c>
      <c r="J6" s="36"/>
      <c r="K6" s="569" t="s">
        <v>103</v>
      </c>
    </row>
    <row r="7" spans="1:11">
      <c r="A7" s="203" t="s">
        <v>418</v>
      </c>
      <c r="B7" s="204"/>
      <c r="C7" s="205" t="s">
        <v>418</v>
      </c>
      <c r="D7" s="204"/>
      <c r="E7" s="205" t="s">
        <v>418</v>
      </c>
      <c r="F7" s="204"/>
      <c r="G7" s="205" t="s">
        <v>418</v>
      </c>
      <c r="H7" s="204"/>
      <c r="I7" s="205" t="s">
        <v>418</v>
      </c>
      <c r="J7" s="204"/>
      <c r="K7" s="206">
        <f>SUM(B7+D7+F7+H7+J7)</f>
        <v>0</v>
      </c>
    </row>
    <row r="8" spans="1:11">
      <c r="A8" s="207" t="s">
        <v>344</v>
      </c>
      <c r="B8" s="208"/>
      <c r="C8" s="207" t="s">
        <v>344</v>
      </c>
      <c r="D8" s="209"/>
      <c r="E8" s="207" t="s">
        <v>344</v>
      </c>
      <c r="F8" s="567"/>
      <c r="G8" s="207" t="s">
        <v>344</v>
      </c>
      <c r="H8" s="36"/>
      <c r="I8" s="207" t="s">
        <v>344</v>
      </c>
      <c r="J8" s="36"/>
      <c r="K8" s="567"/>
    </row>
    <row r="9" spans="1:11">
      <c r="A9" s="210"/>
      <c r="B9" s="204"/>
      <c r="C9" s="210"/>
      <c r="D9" s="204"/>
      <c r="E9" s="210"/>
      <c r="F9" s="204"/>
      <c r="G9" s="210"/>
      <c r="H9" s="204"/>
      <c r="I9" s="210"/>
      <c r="J9" s="204"/>
      <c r="K9" s="567"/>
    </row>
    <row r="10" spans="1:11">
      <c r="A10" s="210"/>
      <c r="B10" s="204"/>
      <c r="C10" s="210"/>
      <c r="D10" s="204"/>
      <c r="E10" s="210"/>
      <c r="F10" s="204"/>
      <c r="G10" s="210"/>
      <c r="H10" s="204"/>
      <c r="I10" s="210"/>
      <c r="J10" s="204"/>
      <c r="K10" s="567"/>
    </row>
    <row r="11" spans="1:11">
      <c r="A11" s="210"/>
      <c r="B11" s="204"/>
      <c r="C11" s="211"/>
      <c r="D11" s="212"/>
      <c r="E11" s="211"/>
      <c r="F11" s="204"/>
      <c r="G11" s="211"/>
      <c r="H11" s="204"/>
      <c r="I11" s="213"/>
      <c r="J11" s="204"/>
      <c r="K11" s="567"/>
    </row>
    <row r="12" spans="1:11">
      <c r="A12" s="210"/>
      <c r="B12" s="214"/>
      <c r="C12" s="210"/>
      <c r="D12" s="215"/>
      <c r="E12" s="216"/>
      <c r="F12" s="204"/>
      <c r="G12" s="216"/>
      <c r="H12" s="204"/>
      <c r="I12" s="216"/>
      <c r="J12" s="204"/>
      <c r="K12" s="567"/>
    </row>
    <row r="13" spans="1:11">
      <c r="A13" s="217"/>
      <c r="B13" s="218"/>
      <c r="C13" s="219"/>
      <c r="D13" s="215"/>
      <c r="E13" s="219"/>
      <c r="F13" s="204"/>
      <c r="G13" s="219"/>
      <c r="H13" s="204"/>
      <c r="I13" s="213"/>
      <c r="J13" s="204"/>
      <c r="K13" s="567"/>
    </row>
    <row r="14" spans="1:11">
      <c r="A14" s="210"/>
      <c r="B14" s="204"/>
      <c r="C14" s="216"/>
      <c r="D14" s="215"/>
      <c r="E14" s="216"/>
      <c r="F14" s="204"/>
      <c r="G14" s="216"/>
      <c r="H14" s="204"/>
      <c r="I14" s="216"/>
      <c r="J14" s="204"/>
      <c r="K14" s="567"/>
    </row>
    <row r="15" spans="1:11">
      <c r="A15" s="210"/>
      <c r="B15" s="204"/>
      <c r="C15" s="216"/>
      <c r="D15" s="215"/>
      <c r="E15" s="216"/>
      <c r="F15" s="204"/>
      <c r="G15" s="216"/>
      <c r="H15" s="204"/>
      <c r="I15" s="216"/>
      <c r="J15" s="204"/>
      <c r="K15" s="567"/>
    </row>
    <row r="16" spans="1:11">
      <c r="A16" s="210"/>
      <c r="B16" s="218"/>
      <c r="C16" s="210"/>
      <c r="D16" s="215"/>
      <c r="E16" s="210"/>
      <c r="F16" s="204"/>
      <c r="G16" s="216"/>
      <c r="H16" s="204"/>
      <c r="I16" s="210"/>
      <c r="J16" s="204"/>
      <c r="K16" s="567"/>
    </row>
    <row r="17" spans="1:12">
      <c r="A17" s="207" t="s">
        <v>365</v>
      </c>
      <c r="B17" s="206">
        <f>SUM(B9:B16)</f>
        <v>0</v>
      </c>
      <c r="C17" s="207" t="s">
        <v>365</v>
      </c>
      <c r="D17" s="206">
        <f>SUM(D9:D16)</f>
        <v>0</v>
      </c>
      <c r="E17" s="207" t="s">
        <v>365</v>
      </c>
      <c r="F17" s="220">
        <f>SUM(F9:F16)</f>
        <v>0</v>
      </c>
      <c r="G17" s="207" t="s">
        <v>365</v>
      </c>
      <c r="H17" s="206">
        <f>SUM(H9:H16)</f>
        <v>0</v>
      </c>
      <c r="I17" s="207" t="s">
        <v>365</v>
      </c>
      <c r="J17" s="206">
        <f>SUM(J9:J16)</f>
        <v>0</v>
      </c>
      <c r="K17" s="206">
        <f>SUM(B17+D17+F17+H17+J17)</f>
        <v>0</v>
      </c>
    </row>
    <row r="18" spans="1:12">
      <c r="A18" s="207" t="s">
        <v>366</v>
      </c>
      <c r="B18" s="206">
        <f>SUM(B7+B17)</f>
        <v>0</v>
      </c>
      <c r="C18" s="207" t="s">
        <v>366</v>
      </c>
      <c r="D18" s="206">
        <f>SUM(D7+D17)</f>
        <v>0</v>
      </c>
      <c r="E18" s="207" t="s">
        <v>366</v>
      </c>
      <c r="F18" s="206">
        <f>SUM(F7+F17)</f>
        <v>0</v>
      </c>
      <c r="G18" s="207" t="s">
        <v>366</v>
      </c>
      <c r="H18" s="206">
        <f>SUM(H7+H17)</f>
        <v>0</v>
      </c>
      <c r="I18" s="207" t="s">
        <v>366</v>
      </c>
      <c r="J18" s="206">
        <f>SUM(J7+J17)</f>
        <v>0</v>
      </c>
      <c r="K18" s="206">
        <f>SUM(B18+D18+F18+H18+J18)</f>
        <v>0</v>
      </c>
    </row>
    <row r="19" spans="1:12">
      <c r="A19" s="207" t="s">
        <v>367</v>
      </c>
      <c r="B19" s="208"/>
      <c r="C19" s="207" t="s">
        <v>367</v>
      </c>
      <c r="D19" s="209"/>
      <c r="E19" s="207" t="s">
        <v>367</v>
      </c>
      <c r="F19" s="567"/>
      <c r="G19" s="207" t="s">
        <v>367</v>
      </c>
      <c r="H19" s="36"/>
      <c r="I19" s="207" t="s">
        <v>367</v>
      </c>
      <c r="J19" s="36"/>
      <c r="K19" s="567"/>
    </row>
    <row r="20" spans="1:12">
      <c r="A20" s="210"/>
      <c r="B20" s="204"/>
      <c r="C20" s="216"/>
      <c r="D20" s="204"/>
      <c r="E20" s="216"/>
      <c r="F20" s="204"/>
      <c r="G20" s="216"/>
      <c r="H20" s="204"/>
      <c r="I20" s="216"/>
      <c r="J20" s="204"/>
      <c r="K20" s="567"/>
    </row>
    <row r="21" spans="1:12">
      <c r="A21" s="210"/>
      <c r="B21" s="204"/>
      <c r="C21" s="216"/>
      <c r="D21" s="204"/>
      <c r="E21" s="216"/>
      <c r="F21" s="204"/>
      <c r="G21" s="216"/>
      <c r="H21" s="204"/>
      <c r="I21" s="216"/>
      <c r="J21" s="204"/>
      <c r="K21" s="567"/>
    </row>
    <row r="22" spans="1:12">
      <c r="A22" s="210"/>
      <c r="B22" s="204"/>
      <c r="C22" s="219"/>
      <c r="D22" s="204"/>
      <c r="E22" s="219"/>
      <c r="F22" s="204"/>
      <c r="G22" s="219"/>
      <c r="H22" s="204"/>
      <c r="I22" s="213"/>
      <c r="J22" s="204"/>
      <c r="K22" s="567"/>
    </row>
    <row r="23" spans="1:12">
      <c r="A23" s="210"/>
      <c r="B23" s="204"/>
      <c r="C23" s="216"/>
      <c r="D23" s="204"/>
      <c r="E23" s="216"/>
      <c r="F23" s="204"/>
      <c r="G23" s="216"/>
      <c r="H23" s="204"/>
      <c r="I23" s="216"/>
      <c r="J23" s="204"/>
      <c r="K23" s="567"/>
    </row>
    <row r="24" spans="1:12">
      <c r="A24" s="210"/>
      <c r="B24" s="204"/>
      <c r="C24" s="219"/>
      <c r="D24" s="204"/>
      <c r="E24" s="219"/>
      <c r="F24" s="204"/>
      <c r="G24" s="219"/>
      <c r="H24" s="204"/>
      <c r="I24" s="213"/>
      <c r="J24" s="204"/>
      <c r="K24" s="567"/>
    </row>
    <row r="25" spans="1:12">
      <c r="A25" s="210"/>
      <c r="B25" s="204"/>
      <c r="C25" s="216"/>
      <c r="D25" s="204"/>
      <c r="E25" s="216"/>
      <c r="F25" s="204"/>
      <c r="G25" s="216"/>
      <c r="H25" s="204"/>
      <c r="I25" s="216"/>
      <c r="J25" s="204"/>
      <c r="K25" s="567"/>
    </row>
    <row r="26" spans="1:12">
      <c r="A26" s="210"/>
      <c r="B26" s="204"/>
      <c r="C26" s="216"/>
      <c r="D26" s="204"/>
      <c r="E26" s="216"/>
      <c r="F26" s="204"/>
      <c r="G26" s="216"/>
      <c r="H26" s="204"/>
      <c r="I26" s="216"/>
      <c r="J26" s="204"/>
      <c r="K26" s="567"/>
    </row>
    <row r="27" spans="1:12">
      <c r="A27" s="210"/>
      <c r="B27" s="204"/>
      <c r="C27" s="210"/>
      <c r="D27" s="204"/>
      <c r="E27" s="210"/>
      <c r="F27" s="204"/>
      <c r="G27" s="216"/>
      <c r="H27" s="204"/>
      <c r="I27" s="216"/>
      <c r="J27" s="204"/>
      <c r="K27" s="567"/>
    </row>
    <row r="28" spans="1:12">
      <c r="A28" s="207" t="s">
        <v>375</v>
      </c>
      <c r="B28" s="206">
        <f>SUM(B20:B27)</f>
        <v>0</v>
      </c>
      <c r="C28" s="207" t="s">
        <v>375</v>
      </c>
      <c r="D28" s="206">
        <f>SUM(D20:D27)</f>
        <v>0</v>
      </c>
      <c r="E28" s="207" t="s">
        <v>375</v>
      </c>
      <c r="F28" s="220">
        <f>SUM(F20:F27)</f>
        <v>0</v>
      </c>
      <c r="G28" s="207" t="s">
        <v>375</v>
      </c>
      <c r="H28" s="220">
        <f>SUM(H20:H27)</f>
        <v>0</v>
      </c>
      <c r="I28" s="207" t="s">
        <v>375</v>
      </c>
      <c r="J28" s="206">
        <f>SUM(J20:J27)</f>
        <v>0</v>
      </c>
      <c r="K28" s="206">
        <f>SUM(B28+D28+F28+H28+J28)</f>
        <v>0</v>
      </c>
    </row>
    <row r="29" spans="1:12">
      <c r="A29" s="207" t="s">
        <v>419</v>
      </c>
      <c r="B29" s="206">
        <f>SUM(B18-B28)</f>
        <v>0</v>
      </c>
      <c r="C29" s="207" t="s">
        <v>419</v>
      </c>
      <c r="D29" s="206">
        <f>SUM(D18-D28)</f>
        <v>0</v>
      </c>
      <c r="E29" s="207" t="s">
        <v>419</v>
      </c>
      <c r="F29" s="206">
        <f>SUM(F18-F28)</f>
        <v>0</v>
      </c>
      <c r="G29" s="207" t="s">
        <v>419</v>
      </c>
      <c r="H29" s="206">
        <f>SUM(H18-H28)</f>
        <v>0</v>
      </c>
      <c r="I29" s="207" t="s">
        <v>419</v>
      </c>
      <c r="J29" s="206">
        <f>SUM(J18-J28)</f>
        <v>0</v>
      </c>
      <c r="K29" s="221">
        <f>SUM(B29+D29+F29+H29+J29)</f>
        <v>0</v>
      </c>
      <c r="L29" s="31" t="s">
        <v>420</v>
      </c>
    </row>
    <row r="30" spans="1:12">
      <c r="A30" s="207"/>
      <c r="B30" s="222" t="str">
        <f>IF(B29&lt;0,"See Tab B","")</f>
        <v/>
      </c>
      <c r="C30" s="207"/>
      <c r="D30" s="222" t="str">
        <f>IF(D29&lt;0,"See Tab B","")</f>
        <v/>
      </c>
      <c r="E30" s="207"/>
      <c r="F30" s="222" t="str">
        <f>IF(F29&lt;0,"See Tab B","")</f>
        <v/>
      </c>
      <c r="G30" s="36"/>
      <c r="H30" s="222" t="str">
        <f>IF(H29&lt;0,"See Tab B","")</f>
        <v/>
      </c>
      <c r="I30" s="36"/>
      <c r="J30" s="222" t="str">
        <f>IF(J29&lt;0,"See Tab B","")</f>
        <v/>
      </c>
      <c r="K30" s="221">
        <f>SUM(K7+K17-K28)</f>
        <v>0</v>
      </c>
      <c r="L30" s="31" t="s">
        <v>420</v>
      </c>
    </row>
    <row r="31" spans="1:12">
      <c r="A31" s="36"/>
      <c r="B31" s="48"/>
      <c r="C31" s="36"/>
      <c r="D31" s="567"/>
      <c r="E31" s="36"/>
      <c r="F31" s="36"/>
      <c r="G31" s="567"/>
      <c r="H31" s="34"/>
      <c r="I31" s="34"/>
      <c r="J31" s="34"/>
      <c r="K31" s="479" t="s">
        <v>421</v>
      </c>
    </row>
    <row r="32" spans="1:12">
      <c r="A32" s="36"/>
      <c r="B32" s="48"/>
      <c r="C32" s="36"/>
      <c r="D32" s="36"/>
      <c r="E32" s="36"/>
      <c r="F32" s="36"/>
      <c r="G32" s="36"/>
      <c r="H32" s="36"/>
      <c r="I32" s="36"/>
      <c r="J32" s="36"/>
      <c r="K32" s="36"/>
    </row>
    <row r="33" spans="1:11">
      <c r="A33" s="723" t="s">
        <v>383</v>
      </c>
      <c r="B33" s="724"/>
      <c r="C33" s="724"/>
      <c r="D33" s="724"/>
      <c r="E33" s="724"/>
      <c r="F33" s="724"/>
      <c r="G33" s="724"/>
      <c r="H33" s="724"/>
      <c r="I33" s="724"/>
      <c r="J33" s="724"/>
      <c r="K33" s="725"/>
    </row>
    <row r="34" spans="1:11">
      <c r="A34" s="726"/>
      <c r="B34" s="727"/>
      <c r="C34" s="727"/>
      <c r="D34" s="727"/>
      <c r="E34" s="727"/>
      <c r="F34" s="727"/>
      <c r="G34" s="727"/>
      <c r="H34" s="727"/>
      <c r="I34" s="727"/>
      <c r="J34" s="727"/>
      <c r="K34" s="728"/>
    </row>
    <row r="35" spans="1:11">
      <c r="A35" s="729"/>
      <c r="B35" s="730"/>
      <c r="C35" s="730"/>
      <c r="D35" s="730"/>
      <c r="E35" s="730"/>
      <c r="F35" s="730"/>
      <c r="G35" s="730"/>
      <c r="H35" s="730"/>
      <c r="I35" s="730"/>
      <c r="J35" s="730"/>
      <c r="K35" s="731"/>
    </row>
    <row r="36" spans="1:11">
      <c r="A36" s="36"/>
      <c r="B36" s="48"/>
      <c r="C36" s="36"/>
      <c r="D36" s="36"/>
      <c r="E36" s="36"/>
      <c r="F36" s="36"/>
      <c r="G36" s="36"/>
      <c r="H36" s="36"/>
      <c r="I36" s="36"/>
      <c r="J36" s="36"/>
      <c r="K36" s="36"/>
    </row>
    <row r="37" spans="1:11">
      <c r="A37" s="36"/>
      <c r="B37" s="48"/>
      <c r="C37" s="36"/>
      <c r="D37" s="36"/>
      <c r="E37" s="564" t="s">
        <v>384</v>
      </c>
      <c r="F37" s="473"/>
      <c r="G37" s="36"/>
      <c r="H37" s="36"/>
      <c r="I37" s="36"/>
      <c r="J37" s="36"/>
      <c r="K37" s="36"/>
    </row>
    <row r="38" spans="1:11">
      <c r="B38" s="223"/>
    </row>
    <row r="39" spans="1:11">
      <c r="B39" s="223"/>
    </row>
    <row r="40" spans="1:11">
      <c r="B40" s="223"/>
    </row>
    <row r="41" spans="1:11">
      <c r="B41" s="223"/>
    </row>
    <row r="42" spans="1:11">
      <c r="B42" s="223"/>
    </row>
    <row r="43" spans="1:11">
      <c r="B43" s="223"/>
    </row>
    <row r="44" spans="1:11">
      <c r="B44" s="223"/>
    </row>
    <row r="45" spans="1:11">
      <c r="B45" s="223"/>
    </row>
  </sheetData>
  <sheetProtection sheet="1" objects="1" scenarios="1"/>
  <mergeCells count="7">
    <mergeCell ref="A2:K2"/>
    <mergeCell ref="A33:K35"/>
    <mergeCell ref="I5:J5"/>
    <mergeCell ref="A5:B5"/>
    <mergeCell ref="C5:D5"/>
    <mergeCell ref="E5:F5"/>
    <mergeCell ref="G5:H5"/>
  </mergeCells>
  <phoneticPr fontId="9" type="noConversion"/>
  <pageMargins left="0.75" right="0.75" top="1" bottom="1" header="0.5" footer="0.5"/>
  <pageSetup scale="81"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66"/>
  <sheetViews>
    <sheetView workbookViewId="0">
      <selection activeCell="A10" sqref="A10"/>
    </sheetView>
  </sheetViews>
  <sheetFormatPr defaultColWidth="8.88671875" defaultRowHeight="15"/>
  <cols>
    <col min="1" max="1" width="70.5546875" style="74" customWidth="1"/>
    <col min="2" max="16384" width="8.88671875" style="74"/>
  </cols>
  <sheetData>
    <row r="1" spans="1:1" ht="18.75">
      <c r="A1" s="243" t="s">
        <v>422</v>
      </c>
    </row>
    <row r="2" spans="1:1" ht="15.75">
      <c r="A2" s="1"/>
    </row>
    <row r="3" spans="1:1" ht="57" customHeight="1">
      <c r="A3" s="580" t="s">
        <v>423</v>
      </c>
    </row>
    <row r="4" spans="1:1" ht="15.75">
      <c r="A4" s="551"/>
    </row>
    <row r="5" spans="1:1" ht="15.75">
      <c r="A5" s="1"/>
    </row>
    <row r="6" spans="1:1" ht="44.25" customHeight="1">
      <c r="A6" s="580" t="s">
        <v>424</v>
      </c>
    </row>
    <row r="7" spans="1:1" ht="15.75">
      <c r="A7" s="1"/>
    </row>
    <row r="8" spans="1:1" ht="15.75">
      <c r="A8" s="551"/>
    </row>
    <row r="9" spans="1:1" ht="46.5" customHeight="1">
      <c r="A9" s="580" t="s">
        <v>425</v>
      </c>
    </row>
    <row r="10" spans="1:1" ht="15.75">
      <c r="A10" s="1"/>
    </row>
    <row r="11" spans="1:1" ht="15.75">
      <c r="A11" s="551"/>
    </row>
    <row r="12" spans="1:1" ht="60" customHeight="1">
      <c r="A12" s="580" t="s">
        <v>426</v>
      </c>
    </row>
    <row r="13" spans="1:1" ht="15.75">
      <c r="A13" s="1"/>
    </row>
    <row r="14" spans="1:1" ht="15.75">
      <c r="A14" s="1"/>
    </row>
    <row r="15" spans="1:1" ht="61.5" customHeight="1">
      <c r="A15" s="580" t="s">
        <v>427</v>
      </c>
    </row>
    <row r="16" spans="1:1" ht="15.75">
      <c r="A16" s="1"/>
    </row>
    <row r="17" spans="1:1" ht="15.75">
      <c r="A17" s="1"/>
    </row>
    <row r="18" spans="1:1" ht="59.25" customHeight="1">
      <c r="A18" s="580" t="s">
        <v>428</v>
      </c>
    </row>
    <row r="19" spans="1:1" ht="15.75">
      <c r="A19" s="1"/>
    </row>
    <row r="20" spans="1:1" ht="15.75">
      <c r="A20" s="1"/>
    </row>
    <row r="21" spans="1:1" ht="61.5" customHeight="1">
      <c r="A21" s="580" t="s">
        <v>429</v>
      </c>
    </row>
    <row r="22" spans="1:1" ht="15.75">
      <c r="A22" s="551"/>
    </row>
    <row r="23" spans="1:1" ht="15.75">
      <c r="A23" s="551"/>
    </row>
    <row r="24" spans="1:1" ht="63" customHeight="1">
      <c r="A24" s="580" t="s">
        <v>430</v>
      </c>
    </row>
    <row r="25" spans="1:1" ht="15.75">
      <c r="A25" s="1"/>
    </row>
    <row r="26" spans="1:1" ht="15.75">
      <c r="A26" s="1"/>
    </row>
    <row r="27" spans="1:1" ht="52.5" customHeight="1">
      <c r="A27" s="336" t="s">
        <v>431</v>
      </c>
    </row>
    <row r="28" spans="1:1" ht="15.75">
      <c r="A28" s="1"/>
    </row>
    <row r="29" spans="1:1" ht="15.75">
      <c r="A29" s="1"/>
    </row>
    <row r="30" spans="1:1" ht="44.25" customHeight="1">
      <c r="A30" s="580" t="s">
        <v>432</v>
      </c>
    </row>
    <row r="31" spans="1:1" ht="15.75">
      <c r="A31" s="1"/>
    </row>
    <row r="32" spans="1:1" ht="15.75">
      <c r="A32" s="1"/>
    </row>
    <row r="33" spans="1:1" ht="42.75" customHeight="1">
      <c r="A33" s="580" t="s">
        <v>433</v>
      </c>
    </row>
    <row r="34" spans="1:1" ht="15.75">
      <c r="A34" s="551"/>
    </row>
    <row r="35" spans="1:1" ht="15.75">
      <c r="A35" s="551"/>
    </row>
    <row r="36" spans="1:1" ht="38.25" customHeight="1">
      <c r="A36" s="580" t="s">
        <v>434</v>
      </c>
    </row>
    <row r="37" spans="1:1" ht="15.75">
      <c r="A37" s="551"/>
    </row>
    <row r="38" spans="1:1" ht="15.75">
      <c r="A38" s="1"/>
    </row>
    <row r="39" spans="1:1" ht="75.75" customHeight="1">
      <c r="A39" s="580" t="s">
        <v>435</v>
      </c>
    </row>
    <row r="40" spans="1:1" ht="15.75">
      <c r="A40" s="1"/>
    </row>
    <row r="41" spans="1:1" ht="15.75">
      <c r="A41" s="1"/>
    </row>
    <row r="42" spans="1:1" ht="57.75" customHeight="1">
      <c r="A42" s="580" t="s">
        <v>436</v>
      </c>
    </row>
    <row r="43" spans="1:1" ht="15.75">
      <c r="A43" s="551"/>
    </row>
    <row r="44" spans="1:1" ht="15.75">
      <c r="A44" s="1"/>
    </row>
    <row r="45" spans="1:1" ht="57.75" customHeight="1">
      <c r="A45" s="580" t="s">
        <v>437</v>
      </c>
    </row>
    <row r="46" spans="1:1" ht="15.75">
      <c r="A46" s="1"/>
    </row>
    <row r="47" spans="1:1" ht="15.75">
      <c r="A47" s="1"/>
    </row>
    <row r="48" spans="1:1" ht="41.25" customHeight="1">
      <c r="A48" s="580" t="s">
        <v>438</v>
      </c>
    </row>
    <row r="49" spans="1:1" ht="15.75">
      <c r="A49" s="1"/>
    </row>
    <row r="50" spans="1:1" ht="15.75">
      <c r="A50" s="1"/>
    </row>
    <row r="51" spans="1:1" ht="75" customHeight="1">
      <c r="A51" s="580" t="s">
        <v>439</v>
      </c>
    </row>
    <row r="52" spans="1:1" ht="15.75">
      <c r="A52" s="551"/>
    </row>
    <row r="53" spans="1:1" ht="15.75">
      <c r="A53" s="551"/>
    </row>
    <row r="54" spans="1:1" ht="57.75" customHeight="1">
      <c r="A54" s="580" t="s">
        <v>440</v>
      </c>
    </row>
    <row r="55" spans="1:1" ht="15.75">
      <c r="A55" s="1"/>
    </row>
    <row r="56" spans="1:1" ht="15.75">
      <c r="A56" s="1"/>
    </row>
    <row r="57" spans="1:1" ht="44.25" customHeight="1">
      <c r="A57" s="580" t="s">
        <v>441</v>
      </c>
    </row>
    <row r="58" spans="1:1" ht="15.75">
      <c r="A58" s="1"/>
    </row>
    <row r="59" spans="1:1" ht="15.75">
      <c r="A59" s="1"/>
    </row>
    <row r="60" spans="1:1" ht="60" customHeight="1">
      <c r="A60" s="580" t="s">
        <v>442</v>
      </c>
    </row>
    <row r="61" spans="1:1" ht="15.75">
      <c r="A61" s="551"/>
    </row>
    <row r="62" spans="1:1" ht="15.75">
      <c r="A62" s="551"/>
    </row>
    <row r="63" spans="1:1" ht="57.75" customHeight="1">
      <c r="A63" s="580" t="s">
        <v>443</v>
      </c>
    </row>
    <row r="64" spans="1:1" ht="15.75">
      <c r="A64" s="1"/>
    </row>
    <row r="65" spans="1:1" ht="15.75">
      <c r="A65" s="1"/>
    </row>
    <row r="66" spans="1:1" ht="60" customHeight="1">
      <c r="A66" s="580" t="s">
        <v>444</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A1:Q170"/>
  <sheetViews>
    <sheetView zoomScale="75" workbookViewId="0">
      <selection activeCell="D52" sqref="D52"/>
    </sheetView>
  </sheetViews>
  <sheetFormatPr defaultColWidth="8.88671875"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6"/>
      <c r="B1" s="6"/>
      <c r="C1" s="6"/>
      <c r="D1" s="6"/>
      <c r="E1" s="6"/>
      <c r="F1" s="6"/>
      <c r="G1" s="6"/>
      <c r="H1" s="15">
        <f>inputPrYr!$C$6</f>
        <v>2025</v>
      </c>
    </row>
    <row r="2" spans="1:8">
      <c r="A2" s="745" t="s">
        <v>445</v>
      </c>
      <c r="B2" s="745"/>
      <c r="C2" s="745"/>
      <c r="D2" s="745"/>
      <c r="E2" s="745"/>
      <c r="F2" s="745"/>
      <c r="G2" s="745"/>
      <c r="H2" s="745"/>
    </row>
    <row r="3" spans="1:8">
      <c r="A3" s="6"/>
      <c r="B3" s="6"/>
      <c r="C3" s="6"/>
      <c r="D3" s="6"/>
      <c r="E3" s="6"/>
      <c r="F3" s="6"/>
      <c r="G3" s="6"/>
      <c r="H3" s="6"/>
    </row>
    <row r="4" spans="1:8">
      <c r="A4" s="746" t="s">
        <v>446</v>
      </c>
      <c r="B4" s="746"/>
      <c r="C4" s="746"/>
      <c r="D4" s="746"/>
      <c r="E4" s="746"/>
      <c r="F4" s="746"/>
      <c r="G4" s="746"/>
      <c r="H4" s="746"/>
    </row>
    <row r="5" spans="1:8">
      <c r="A5" s="747">
        <f>inputPrYr!D3</f>
        <v>0</v>
      </c>
      <c r="B5" s="747"/>
      <c r="C5" s="747"/>
      <c r="D5" s="747"/>
      <c r="E5" s="747"/>
      <c r="F5" s="747"/>
      <c r="G5" s="747"/>
      <c r="H5" s="747"/>
    </row>
    <row r="6" spans="1:8">
      <c r="A6" s="748" t="str">
        <f>CONCATENATE("will meet on ",inputHearing!B18," at ",inputHearing!B20," at ",inputHearing!B22," for the purpose of hearing and")</f>
        <v>will meet on  at  at  for the purpose of hearing and</v>
      </c>
      <c r="B6" s="748"/>
      <c r="C6" s="748"/>
      <c r="D6" s="748"/>
      <c r="E6" s="748"/>
      <c r="F6" s="748"/>
      <c r="G6" s="748"/>
      <c r="H6" s="748"/>
    </row>
    <row r="7" spans="1:8">
      <c r="A7" s="746" t="s">
        <v>447</v>
      </c>
      <c r="B7" s="746"/>
      <c r="C7" s="746"/>
      <c r="D7" s="746"/>
      <c r="E7" s="746"/>
      <c r="F7" s="746"/>
      <c r="G7" s="746"/>
      <c r="H7" s="746"/>
    </row>
    <row r="8" spans="1:8">
      <c r="A8" s="746" t="str">
        <f>CONCATENATE("Detailed budget information is available at ",inputHearing!B24," and will be available at this hearing.")</f>
        <v>Detailed budget information is available at  and will be available at this hearing.</v>
      </c>
      <c r="B8" s="746"/>
      <c r="C8" s="746"/>
      <c r="D8" s="746"/>
      <c r="E8" s="746"/>
      <c r="F8" s="746"/>
      <c r="G8" s="746"/>
      <c r="H8" s="746"/>
    </row>
    <row r="9" spans="1:8">
      <c r="A9" s="745" t="s">
        <v>448</v>
      </c>
      <c r="B9" s="745"/>
      <c r="C9" s="745"/>
      <c r="D9" s="745"/>
      <c r="E9" s="745"/>
      <c r="F9" s="745"/>
      <c r="G9" s="745"/>
      <c r="H9" s="745"/>
    </row>
    <row r="10" spans="1:8" ht="15.75" customHeight="1">
      <c r="A10" s="757" t="str">
        <f>CONCATENATE("Proposed Budget ",H1," Expenditures and Amount of ",D13," Ad Valorem Tax establish the maximum limits of the ",H1," budget.")</f>
        <v>Proposed Budget 2025 Expenditures and Amount of Current Year Estimate for 2024 Ad Valorem Tax establish the maximum limits of the 2025 budget.</v>
      </c>
      <c r="B10" s="757"/>
      <c r="C10" s="757"/>
      <c r="D10" s="757"/>
      <c r="E10" s="757"/>
      <c r="F10" s="757"/>
      <c r="G10" s="757"/>
      <c r="H10" s="757"/>
    </row>
    <row r="11" spans="1:8">
      <c r="A11" s="758" t="s">
        <v>449</v>
      </c>
      <c r="B11" s="758"/>
      <c r="C11" s="758"/>
      <c r="D11" s="758"/>
      <c r="E11" s="758"/>
      <c r="F11" s="758"/>
      <c r="G11" s="758"/>
      <c r="H11" s="758"/>
    </row>
    <row r="12" spans="1:8">
      <c r="A12" s="6"/>
      <c r="B12" s="12"/>
      <c r="C12" s="12"/>
      <c r="D12" s="12"/>
      <c r="E12" s="12"/>
      <c r="F12" s="12"/>
      <c r="G12" s="12"/>
      <c r="H12" s="12"/>
    </row>
    <row r="13" spans="1:8">
      <c r="A13" s="6"/>
      <c r="B13" s="435" t="str">
        <f>CONCATENATE("Prior Year Actual for ",H1-2,"")</f>
        <v>Prior Year Actual for 2023</v>
      </c>
      <c r="C13" s="100"/>
      <c r="D13" s="435" t="str">
        <f>CONCATENATE("Current Year Estimate for ",H1-1,"")</f>
        <v>Current Year Estimate for 2024</v>
      </c>
      <c r="E13" s="100"/>
      <c r="F13" s="436" t="str">
        <f>CONCATENATE("Proposed Budget for ",H1,"")</f>
        <v>Proposed Budget for 2025</v>
      </c>
      <c r="G13" s="437"/>
      <c r="H13" s="100"/>
    </row>
    <row r="14" spans="1:8" ht="22.5" customHeight="1">
      <c r="A14" s="6"/>
      <c r="B14" s="8"/>
      <c r="C14" s="8" t="s">
        <v>209</v>
      </c>
      <c r="D14" s="8"/>
      <c r="E14" s="8" t="s">
        <v>209</v>
      </c>
      <c r="F14" s="8" t="s">
        <v>132</v>
      </c>
      <c r="G14" s="17" t="str">
        <f>CONCATENATE("Amount of ",H1-1,"")</f>
        <v>Amount of 2024</v>
      </c>
      <c r="H14" s="8" t="s">
        <v>450</v>
      </c>
    </row>
    <row r="15" spans="1:8" ht="17.25" customHeight="1">
      <c r="A15" s="13" t="s">
        <v>451</v>
      </c>
      <c r="B15" s="9" t="s">
        <v>88</v>
      </c>
      <c r="C15" s="9" t="s">
        <v>452</v>
      </c>
      <c r="D15" s="9" t="s">
        <v>453</v>
      </c>
      <c r="E15" s="9" t="s">
        <v>452</v>
      </c>
      <c r="F15" s="9" t="s">
        <v>166</v>
      </c>
      <c r="G15" s="11" t="s">
        <v>345</v>
      </c>
      <c r="H15" s="9" t="s">
        <v>452</v>
      </c>
    </row>
    <row r="16" spans="1:8">
      <c r="A16" s="557" t="s">
        <v>90</v>
      </c>
      <c r="B16" s="127" t="str">
        <f>IF((General!$C$59)&lt;&gt;0,General!$C$59,"  ")</f>
        <v xml:space="preserve">  </v>
      </c>
      <c r="C16" s="438" t="str">
        <f>IF(inputPrYr!D49&gt;0,inputPrYr!D49,"  ")</f>
        <v xml:space="preserve">  </v>
      </c>
      <c r="D16" s="127" t="str">
        <f>IF((General!$D$59)&lt;&gt;0,General!$D$59,"  ")</f>
        <v xml:space="preserve">  </v>
      </c>
      <c r="E16" s="438" t="str">
        <f>IF(inputOth!D25&gt;0,inputOth!D25,"  ")</f>
        <v xml:space="preserve">  </v>
      </c>
      <c r="F16" s="127" t="str">
        <f>IF((General!$E$59)&lt;&gt;0,General!$E$59,"  ")</f>
        <v xml:space="preserve">  </v>
      </c>
      <c r="G16" s="127" t="str">
        <f>IF((General!$E$66)&lt;&gt;0,(General!$E$66),"  ")</f>
        <v xml:space="preserve">  </v>
      </c>
      <c r="H16" s="438" t="str">
        <f>IF((General!E66&gt;0),ROUND(G16/$F$36*1000,3),"  ")</f>
        <v xml:space="preserve">  </v>
      </c>
    </row>
    <row r="17" spans="1:13">
      <c r="A17" s="557" t="s">
        <v>92</v>
      </c>
      <c r="B17" s="127" t="str">
        <f>IF(('DebtSvs-Library'!$C$34)&lt;&gt;0,('DebtSvs-Library'!$C$34),"  ")</f>
        <v xml:space="preserve">  </v>
      </c>
      <c r="C17" s="438" t="str">
        <f>IF(inputPrYr!D50&gt;0,inputPrYr!D50,"  ")</f>
        <v xml:space="preserve">  </v>
      </c>
      <c r="D17" s="127" t="str">
        <f>IF(('DebtSvs-Library'!$D$34)&lt;&gt;0,('DebtSvs-Library'!$D$34),"  ")</f>
        <v xml:space="preserve">  </v>
      </c>
      <c r="E17" s="438" t="str">
        <f>IF(inputOth!D26&gt;0,inputOth!D26,"  ")</f>
        <v xml:space="preserve">  </v>
      </c>
      <c r="F17" s="127" t="str">
        <f>IF(('DebtSvs-Library'!$E$34)&lt;&gt;0,('DebtSvs-Library'!$E$34),"  ")</f>
        <v xml:space="preserve">  </v>
      </c>
      <c r="G17" s="127" t="str">
        <f>IF(('DebtSvs-Library'!$E$41)&lt;&gt;0,('DebtSvs-Library'!$E$41),"  ")</f>
        <v xml:space="preserve">  </v>
      </c>
      <c r="H17" s="438" t="str">
        <f>IF(('DebtSvs-Library'!E41&gt;0),ROUND(G17/$F$36*1000,3),"  ")</f>
        <v xml:space="preserve">  </v>
      </c>
    </row>
    <row r="18" spans="1:13">
      <c r="A18" s="62" t="str">
        <f>IF((inputPrYr!$B20&gt;"  "),(inputPrYr!$B20),"  ")</f>
        <v>Library</v>
      </c>
      <c r="B18" s="127" t="str">
        <f>IF(('DebtSvs-Library'!$C$75)&lt;&gt;0,('DebtSvs-Library'!$C$75),"  ")</f>
        <v xml:space="preserve">  </v>
      </c>
      <c r="C18" s="438" t="str">
        <f>IF(inputPrYr!D51&gt;0,inputPrYr!D51,"  ")</f>
        <v xml:space="preserve">  </v>
      </c>
      <c r="D18" s="127" t="str">
        <f>IF(('DebtSvs-Library'!$D$75)&lt;&gt;0,('DebtSvs-Library'!$D$75),"  ")</f>
        <v xml:space="preserve">  </v>
      </c>
      <c r="E18" s="438" t="str">
        <f>IF(inputOth!D27&gt;0,inputOth!D27,"  ")</f>
        <v xml:space="preserve">  </v>
      </c>
      <c r="F18" s="127" t="str">
        <f>IF(('DebtSvs-Library'!$E$75)&lt;&gt;0,('DebtSvs-Library'!$E$75),"  ")</f>
        <v xml:space="preserve">  </v>
      </c>
      <c r="G18" s="127" t="str">
        <f>IF(('DebtSvs-Library'!$E$82)&lt;&gt;0,('DebtSvs-Library'!$E$82),"  ")</f>
        <v xml:space="preserve">  </v>
      </c>
      <c r="H18" s="438" t="str">
        <f>IF(('DebtSvs-Library'!E82&gt;0),ROUND(G18/$F$36*1000,3),"")</f>
        <v/>
      </c>
    </row>
    <row r="19" spans="1:13">
      <c r="A19" s="62" t="str">
        <f>IF((inputPrYr!$B22&gt;"  "),(inputPrYr!$B22),"  ")</f>
        <v xml:space="preserve">  </v>
      </c>
      <c r="B19" s="127" t="str">
        <f>IF(('Levy Page 9'!$C$34)&lt;&gt;0,('Levy Page 9'!$C$34),"  ")</f>
        <v xml:space="preserve">  </v>
      </c>
      <c r="C19" s="438" t="str">
        <f>IF(inputPrYr!D52&gt;0,inputPrYr!D52,"  ")</f>
        <v xml:space="preserve">  </v>
      </c>
      <c r="D19" s="127" t="str">
        <f>IF(('Levy Page 9'!$D$34)&lt;&gt;0,('Levy Page 9'!$D$34),"  ")</f>
        <v xml:space="preserve">  </v>
      </c>
      <c r="E19" s="438" t="str">
        <f>IF(inputOth!D28&gt;0,inputOth!D28,"  ")</f>
        <v xml:space="preserve">  </v>
      </c>
      <c r="F19" s="127" t="str">
        <f>IF(('Levy Page 9'!$E$34)&lt;&gt;0,('Levy Page 9'!$E$34),"  ")</f>
        <v xml:space="preserve">  </v>
      </c>
      <c r="G19" s="127" t="str">
        <f>IF(('Levy Page 9'!$E$41)&lt;&gt;0,('Levy Page 9'!$E$41),"  ")</f>
        <v xml:space="preserve">  </v>
      </c>
      <c r="H19" s="438" t="str">
        <f>IF('Levy Page 9'!E41&gt;0,ROUND(G19/$F$36*1000,3),"  ")</f>
        <v xml:space="preserve">  </v>
      </c>
    </row>
    <row r="20" spans="1:13">
      <c r="A20" s="62" t="str">
        <f>IF((inputPrYr!$B23&gt;"  "),(inputPrYr!$B23),"  ")</f>
        <v xml:space="preserve">  </v>
      </c>
      <c r="B20" s="127" t="str">
        <f>IF(('Levy Page 9'!$C$75)&lt;&gt;0,('Levy Page 9'!$C$75),"  ")</f>
        <v xml:space="preserve">  </v>
      </c>
      <c r="C20" s="438" t="str">
        <f>IF(inputPrYr!D53&gt;0,inputPrYr!D53,"  ")</f>
        <v xml:space="preserve">  </v>
      </c>
      <c r="D20" s="127" t="str">
        <f>IF(('Levy Page 9'!$D$75)&lt;&gt;0,('Levy Page 9'!$D$75),"  ")</f>
        <v xml:space="preserve">  </v>
      </c>
      <c r="E20" s="438" t="str">
        <f>IF(inputOth!D29&gt;0,inputOth!D29,"  ")</f>
        <v xml:space="preserve">  </v>
      </c>
      <c r="F20" s="127" t="str">
        <f>IF(('Levy Page 9'!$E$75)&lt;&gt;0,('Levy Page 9'!$E$75),"  ")</f>
        <v xml:space="preserve">  </v>
      </c>
      <c r="G20" s="127" t="str">
        <f>IF(('Levy Page 9'!$E$82)&lt;&gt;0,('Levy Page 9'!$E$82),"  ")</f>
        <v xml:space="preserve">  </v>
      </c>
      <c r="H20" s="438" t="str">
        <f>IF('Levy Page 9'!E82&gt;0,ROUND(G20/$F$36*1000,3),"  ")</f>
        <v xml:space="preserve">  </v>
      </c>
      <c r="J20" s="749" t="str">
        <f>CONCATENATE("Estimated Value Of One Mill For ",H1,"")</f>
        <v>Estimated Value Of One Mill For 2025</v>
      </c>
      <c r="K20" s="752"/>
      <c r="L20" s="752"/>
      <c r="M20" s="753"/>
    </row>
    <row r="21" spans="1:13">
      <c r="A21" s="62" t="str">
        <f>IF((inputPrYr!$B24&gt;"  "),(inputPrYr!$B24),"  ")</f>
        <v xml:space="preserve">  </v>
      </c>
      <c r="B21" s="127" t="str">
        <f>IF(('Levy Page 10'!$C$34)&lt;&gt;0,('Levy Page 10'!$C$34),"  ")</f>
        <v xml:space="preserve">  </v>
      </c>
      <c r="C21" s="438" t="str">
        <f>IF(inputPrYr!D54&gt;0,inputPrYr!D54,"  ")</f>
        <v xml:space="preserve">  </v>
      </c>
      <c r="D21" s="127" t="str">
        <f>IF(('Levy Page 10'!$D$34)&lt;&gt;0,('Levy Page 10'!$D$34),"  ")</f>
        <v xml:space="preserve">  </v>
      </c>
      <c r="E21" s="438" t="str">
        <f>IF(inputOth!D30&gt;0,inputOth!D30,"  ")</f>
        <v xml:space="preserve">  </v>
      </c>
      <c r="F21" s="127" t="str">
        <f>IF(('Levy Page 10'!$E$34)&lt;&gt;0,('Levy Page 10'!$E$34),"  ")</f>
        <v xml:space="preserve">  </v>
      </c>
      <c r="G21" s="127" t="str">
        <f>IF(('Levy Page 10'!$E$41)&lt;&gt;0,('Levy Page 10'!$E$41),"  ")</f>
        <v xml:space="preserve">  </v>
      </c>
      <c r="H21" s="438" t="str">
        <f>IF('Levy Page 10'!E41&gt;0,ROUND(G21/$F$36*1000,3),"  ")</f>
        <v xml:space="preserve">  </v>
      </c>
      <c r="J21" s="338"/>
      <c r="K21" s="339"/>
      <c r="L21" s="339"/>
      <c r="M21" s="340"/>
    </row>
    <row r="22" spans="1:13">
      <c r="A22" s="62" t="str">
        <f>IF((inputPrYr!$B25&gt;"  "),(inputPrYr!$B25),"  ")</f>
        <v xml:space="preserve">  </v>
      </c>
      <c r="B22" s="127" t="str">
        <f>IF(('Levy Page 10'!$C$75)&lt;&gt;0,('Levy Page 10'!$C$75),"  ")</f>
        <v xml:space="preserve">  </v>
      </c>
      <c r="C22" s="438" t="str">
        <f>IF(inputPrYr!D55&gt;0,inputPrYr!D55,"  ")</f>
        <v xml:space="preserve">  </v>
      </c>
      <c r="D22" s="127" t="str">
        <f>IF(('Levy Page 10'!$D$75)&lt;&gt;0,('Levy Page 10'!$D$75),"  ")</f>
        <v xml:space="preserve">  </v>
      </c>
      <c r="E22" s="438" t="str">
        <f>IF(inputOth!D31&gt;0,inputOth!D31,"  ")</f>
        <v xml:space="preserve">  </v>
      </c>
      <c r="F22" s="127" t="str">
        <f>IF(('Levy Page 10'!$E$75)&lt;&gt;0,('Levy Page 10'!$E$75),"  ")</f>
        <v xml:space="preserve">  </v>
      </c>
      <c r="G22" s="127" t="str">
        <f>IF(('Levy Page 10'!$E$82)&lt;&gt;0,('Levy Page 10'!$E$82),"  ")</f>
        <v xml:space="preserve">  </v>
      </c>
      <c r="H22" s="438" t="str">
        <f>IF('Levy Page 10'!E82&gt;0,ROUND(G22/$F$36*1000,3),"  ")</f>
        <v xml:space="preserve">  </v>
      </c>
      <c r="J22" s="341" t="s">
        <v>454</v>
      </c>
      <c r="K22" s="342"/>
      <c r="L22" s="342"/>
      <c r="M22" s="474">
        <f>ROUND(F36/1000,0)</f>
        <v>0</v>
      </c>
    </row>
    <row r="23" spans="1:13">
      <c r="A23" s="62" t="str">
        <f>IF((inputPrYr!$B29&gt;"  "),(inputPrYr!$B29),"  ")</f>
        <v>Special Highway</v>
      </c>
      <c r="B23" s="127" t="str">
        <f>IF(('Spec Hwy'!$C$25)&lt;&gt;0,('Spec Hwy'!$C$25),"  ")</f>
        <v xml:space="preserve">  </v>
      </c>
      <c r="C23" s="569"/>
      <c r="D23" s="127" t="str">
        <f>IF(('Spec Hwy'!$D$25)&lt;&gt;0,('Spec Hwy'!$D$25),"  ")</f>
        <v xml:space="preserve">  </v>
      </c>
      <c r="E23" s="569"/>
      <c r="F23" s="127" t="str">
        <f>IF(('Spec Hwy'!$E$25)&lt;&gt;0,('Spec Hwy'!$E$25),"  ")</f>
        <v xml:space="preserve">  </v>
      </c>
      <c r="G23" s="569"/>
      <c r="H23" s="569"/>
    </row>
    <row r="24" spans="1:13">
      <c r="A24" s="62" t="str">
        <f>IF((inputPrYr!$B30&gt;"  "),(inputPrYr!$B30),"  ")</f>
        <v xml:space="preserve">  </v>
      </c>
      <c r="B24" s="127" t="str">
        <f>IF(('Spec Hwy'!$C$59)&lt;&gt;0,('Spec Hwy'!$C$59),"  ")</f>
        <v xml:space="preserve">  </v>
      </c>
      <c r="C24" s="569"/>
      <c r="D24" s="127" t="str">
        <f>IF(('Spec Hwy'!$D$59)&lt;&gt;0,('Spec Hwy'!$D$59),"  ")</f>
        <v xml:space="preserve">  </v>
      </c>
      <c r="E24" s="569"/>
      <c r="F24" s="127" t="str">
        <f>IF(('Spec Hwy'!$E$59)&lt;&gt;0,('Spec Hwy'!$E$59),"  ")</f>
        <v xml:space="preserve">  </v>
      </c>
      <c r="G24" s="569"/>
      <c r="H24" s="569"/>
      <c r="J24" s="749" t="str">
        <f>CONCATENATE("Want The Mill Rate The Same As For ",H1-1,"?")</f>
        <v>Want The Mill Rate The Same As For 2024?</v>
      </c>
      <c r="K24" s="750"/>
      <c r="L24" s="750"/>
      <c r="M24" s="751"/>
    </row>
    <row r="25" spans="1:13">
      <c r="A25" s="62" t="str">
        <f>IF((inputPrYr!$B31&gt;"  "),(inputPrYr!$B31),"  ")</f>
        <v xml:space="preserve">  </v>
      </c>
      <c r="B25" s="127" t="str">
        <f>IF(('No Levy Page 12'!$C$29) &lt;&gt;0,('No Levy Page 12'!$C$29),"")</f>
        <v/>
      </c>
      <c r="C25" s="569"/>
      <c r="D25" s="127" t="str">
        <f>IF(('No Levy Page 12'!$D$29) &lt;&gt;0,('No Levy Page 12'!$D$29),"")</f>
        <v/>
      </c>
      <c r="E25" s="569"/>
      <c r="F25" s="127" t="str">
        <f>IF(('No Levy Page 12'!$E$29) &lt;&gt;0,('No Levy Page 12'!$E$29),"")</f>
        <v/>
      </c>
      <c r="G25" s="569"/>
      <c r="H25" s="569"/>
      <c r="J25" s="344"/>
      <c r="K25" s="339"/>
      <c r="L25" s="339"/>
      <c r="M25" s="345"/>
    </row>
    <row r="26" spans="1:13">
      <c r="A26" s="62" t="str">
        <f>IF((inputPrYr!$B32&gt;"  "),(inputPrYr!$B32),"  ")</f>
        <v xml:space="preserve">  </v>
      </c>
      <c r="B26" s="127" t="str">
        <f>IF(('No Levy Page 12'!$C$60) &lt;&gt;0,('No Levy Page 12'!$C$60),"")</f>
        <v/>
      </c>
      <c r="C26" s="569"/>
      <c r="D26" s="127" t="str">
        <f>IF(('No Levy Page 12'!$D$60) &lt;&gt;0,('No Levy Page 12'!$D$60),"")</f>
        <v/>
      </c>
      <c r="E26" s="569"/>
      <c r="F26" s="127" t="str">
        <f>IF(('No Levy Page 12'!$E$60) &lt;&gt;0,('No Levy Page 12'!$E$60),"")</f>
        <v/>
      </c>
      <c r="G26" s="569"/>
      <c r="H26" s="569"/>
      <c r="J26" s="344" t="str">
        <f>CONCATENATE("",H1-1," Mill Rate Was:")</f>
        <v>2024 Mill Rate Was:</v>
      </c>
      <c r="K26" s="339"/>
      <c r="L26" s="339"/>
      <c r="M26" s="346">
        <f>E31</f>
        <v>0</v>
      </c>
    </row>
    <row r="27" spans="1:13">
      <c r="A27" s="62" t="str">
        <f>IF((inputPrYr!$B33&gt;"  "),(inputPrYr!$B33),"  ")</f>
        <v xml:space="preserve">  </v>
      </c>
      <c r="B27" s="127" t="str">
        <f>IF(('No Levy Page 13'!$C$29) &lt;&gt;0,('No Levy Page 13'!$C$29),"")</f>
        <v/>
      </c>
      <c r="C27" s="569"/>
      <c r="D27" s="127" t="str">
        <f>IF(('No Levy Page 13'!$D$29) &lt;&gt;0,('No Levy Page 13'!$D$29),"")</f>
        <v/>
      </c>
      <c r="E27" s="569"/>
      <c r="F27" s="127" t="str">
        <f>IF(('No Levy Page 13'!$E$29) &lt;&gt;0,('No Levy Page 13'!$E$29),"")</f>
        <v/>
      </c>
      <c r="G27" s="569"/>
      <c r="H27" s="569"/>
      <c r="J27" s="347" t="str">
        <f>CONCATENATE("",H1," Tax Levy Fund Expenditures Must Be ")</f>
        <v xml:space="preserve">2025 Tax Levy Fund Expenditures Must Be </v>
      </c>
      <c r="K27" s="348"/>
      <c r="L27" s="348"/>
      <c r="M27" s="345"/>
    </row>
    <row r="28" spans="1:13">
      <c r="A28" s="62" t="str">
        <f>IF((inputPrYr!$B34&gt;"  "),(inputPrYr!$B34),"  ")</f>
        <v xml:space="preserve">  </v>
      </c>
      <c r="B28" s="127" t="str">
        <f>IF(('No Levy Page 13'!$C$60) &lt;&gt;0,('No Levy Page 13'!$C$60),"")</f>
        <v/>
      </c>
      <c r="C28" s="569"/>
      <c r="D28" s="127" t="str">
        <f>IF(('No Levy Page 13'!$D$60) &lt;&gt;0,('No Levy Page 13'!$D$60),"")</f>
        <v/>
      </c>
      <c r="E28" s="569"/>
      <c r="F28" s="127" t="str">
        <f>IF(('No Levy Page 13'!$E$60) &lt;&gt;0,('No Levy Page 13'!$E$60),"")</f>
        <v/>
      </c>
      <c r="G28" s="569"/>
      <c r="H28" s="569"/>
      <c r="J28" s="347" t="str">
        <f>IF(M35&lt;0,"Increased By:","")</f>
        <v/>
      </c>
      <c r="K28" s="348"/>
      <c r="L28" s="348"/>
      <c r="M28" s="367">
        <f>IF(M35&lt;0,M35*-1,0)</f>
        <v>0</v>
      </c>
    </row>
    <row r="29" spans="1:13">
      <c r="A29" s="62" t="str">
        <f>IF((inputPrYr!$B36&gt;"  "),(inputPrYr!$B36),"  ")</f>
        <v xml:space="preserve">  </v>
      </c>
      <c r="B29" s="127" t="str">
        <f>IF(('Single No Levy Page 14'!$C$49) &lt;&gt;0,('Single No Levy Page 14'!$C$49),"")</f>
        <v/>
      </c>
      <c r="C29" s="569"/>
      <c r="D29" s="127" t="str">
        <f>IF(('Single No Levy Page 14'!$D$49) &lt;&gt;0,('Single No Levy Page 14'!$D$49),"")</f>
        <v/>
      </c>
      <c r="E29" s="569"/>
      <c r="F29" s="127" t="str">
        <f>IF(('Single No Levy Page 14'!$E$49) &lt;&gt;0,('Single No Levy Page 14'!$E$49),"")</f>
        <v/>
      </c>
      <c r="G29" s="569"/>
      <c r="H29" s="569"/>
      <c r="J29" s="349" t="str">
        <f>IF(M35&gt;0,"Reduced By:","")</f>
        <v/>
      </c>
      <c r="K29" s="350"/>
      <c r="L29" s="350"/>
      <c r="M29" s="368">
        <f>IF(M35&gt;0,M35*-1,0)</f>
        <v>0</v>
      </c>
    </row>
    <row r="30" spans="1:13">
      <c r="A30" s="62" t="str">
        <f>IF((inputPrYr!$B39&gt;"  "),('Non-Budgeted Funds'!$A3),"  ")</f>
        <v xml:space="preserve">  </v>
      </c>
      <c r="B30" s="439" t="str">
        <f>IF(('Non-Budgeted Funds'!$K$28)&lt;&gt;0,('Non-Budgeted Funds'!$K$28),"  ")</f>
        <v xml:space="preserve">  </v>
      </c>
      <c r="C30" s="125"/>
      <c r="D30" s="439"/>
      <c r="E30" s="125"/>
      <c r="F30" s="439"/>
      <c r="G30" s="125"/>
      <c r="H30" s="125"/>
      <c r="J30" s="1"/>
      <c r="K30" s="1"/>
      <c r="L30" s="1"/>
      <c r="M30" s="1"/>
    </row>
    <row r="31" spans="1:13" ht="16.5" thickBot="1">
      <c r="A31" s="494" t="s">
        <v>172</v>
      </c>
      <c r="B31" s="444">
        <f>SUM(B16:B30)</f>
        <v>0</v>
      </c>
      <c r="C31" s="495">
        <f>SUM(C16:C22)</f>
        <v>0</v>
      </c>
      <c r="D31" s="444">
        <f>SUM(D16:D30)</f>
        <v>0</v>
      </c>
      <c r="E31" s="495">
        <f>SUM(E16:E22)</f>
        <v>0</v>
      </c>
      <c r="F31" s="444">
        <f>SUM(F16:F30)</f>
        <v>0</v>
      </c>
      <c r="G31" s="444">
        <f>SUM(G16:G22)</f>
        <v>0</v>
      </c>
      <c r="H31" s="495">
        <f>SUM(H16:H30)</f>
        <v>0</v>
      </c>
      <c r="J31" s="749" t="str">
        <f>CONCATENATE("Impact On Keeping The Same Mill Rate As For ",H1-1,"")</f>
        <v>Impact On Keeping The Same Mill Rate As For 2024</v>
      </c>
      <c r="K31" s="752"/>
      <c r="L31" s="752"/>
      <c r="M31" s="753"/>
    </row>
    <row r="32" spans="1:13" ht="16.5" thickTop="1">
      <c r="A32" s="754" t="s">
        <v>455</v>
      </c>
      <c r="B32" s="755"/>
      <c r="C32" s="755"/>
      <c r="D32" s="755"/>
      <c r="E32" s="755"/>
      <c r="F32" s="755"/>
      <c r="G32" s="756"/>
      <c r="H32" s="493">
        <f>inputOth!C20</f>
        <v>0</v>
      </c>
      <c r="I32" s="303"/>
      <c r="J32" s="344"/>
      <c r="K32" s="339"/>
      <c r="L32" s="339"/>
      <c r="M32" s="345"/>
    </row>
    <row r="33" spans="1:13">
      <c r="A33" s="7" t="s">
        <v>456</v>
      </c>
      <c r="B33" s="440">
        <f>Transfers!$C$15</f>
        <v>0</v>
      </c>
      <c r="C33" s="441"/>
      <c r="D33" s="440">
        <f>Transfers!$D$15</f>
        <v>0</v>
      </c>
      <c r="E33" s="442"/>
      <c r="F33" s="440">
        <f>Transfers!$E$15</f>
        <v>0</v>
      </c>
      <c r="G33" s="376"/>
      <c r="H33" s="443"/>
      <c r="J33" s="344" t="str">
        <f>CONCATENATE("",H1," Ad Valorem Tax Revenue:")</f>
        <v>2025 Ad Valorem Tax Revenue:</v>
      </c>
      <c r="K33" s="339"/>
      <c r="L33" s="339"/>
      <c r="M33" s="340">
        <f>G31</f>
        <v>0</v>
      </c>
    </row>
    <row r="34" spans="1:13" ht="16.5" thickBot="1">
      <c r="A34" s="30" t="s">
        <v>457</v>
      </c>
      <c r="B34" s="444">
        <f>B31-B33</f>
        <v>0</v>
      </c>
      <c r="C34" s="36"/>
      <c r="D34" s="444">
        <f>D31-D33</f>
        <v>0</v>
      </c>
      <c r="E34" s="36"/>
      <c r="F34" s="444">
        <f>F31-F33</f>
        <v>0</v>
      </c>
      <c r="G34" s="36"/>
      <c r="H34" s="36"/>
      <c r="J34" s="344" t="str">
        <f>CONCATENATE("",H1-1," Ad Valorem Tax Revenue:")</f>
        <v>2024 Ad Valorem Tax Revenue:</v>
      </c>
      <c r="K34" s="339"/>
      <c r="L34" s="339"/>
      <c r="M34" s="351">
        <f>ROUND(F36*M26/1000,0)</f>
        <v>0</v>
      </c>
    </row>
    <row r="35" spans="1:13" ht="16.5" thickTop="1">
      <c r="A35" s="7" t="s">
        <v>458</v>
      </c>
      <c r="B35" s="440">
        <f>inputPrYr!E58</f>
        <v>0</v>
      </c>
      <c r="C35" s="445"/>
      <c r="D35" s="440">
        <f>inputPrYr!E26</f>
        <v>0</v>
      </c>
      <c r="E35" s="446"/>
      <c r="F35" s="447" t="s">
        <v>173</v>
      </c>
      <c r="G35" s="567"/>
      <c r="H35" s="567"/>
      <c r="J35" s="349" t="s">
        <v>459</v>
      </c>
      <c r="K35" s="350"/>
      <c r="L35" s="350"/>
      <c r="M35" s="343">
        <f>M33-M34</f>
        <v>0</v>
      </c>
    </row>
    <row r="36" spans="1:13">
      <c r="A36" s="7" t="s">
        <v>294</v>
      </c>
      <c r="B36" s="127">
        <f>inputPrYr!E59</f>
        <v>0</v>
      </c>
      <c r="C36" s="147"/>
      <c r="D36" s="127">
        <f>inputOth!E34</f>
        <v>0</v>
      </c>
      <c r="E36" s="126"/>
      <c r="F36" s="127">
        <f>inputOth!E7</f>
        <v>0</v>
      </c>
      <c r="G36" s="567"/>
      <c r="H36" s="567"/>
      <c r="J36" s="1"/>
      <c r="K36" s="1"/>
      <c r="L36" s="1"/>
      <c r="M36" s="1"/>
    </row>
    <row r="37" spans="1:13">
      <c r="A37" s="7"/>
      <c r="B37" s="376"/>
      <c r="C37" s="567"/>
      <c r="D37" s="376"/>
      <c r="E37" s="567"/>
      <c r="F37" s="234"/>
      <c r="G37" s="567"/>
      <c r="H37" s="448"/>
      <c r="J37" s="749" t="s">
        <v>460</v>
      </c>
      <c r="K37" s="750"/>
      <c r="L37" s="750"/>
      <c r="M37" s="751"/>
    </row>
    <row r="38" spans="1:13">
      <c r="A38" s="7" t="s">
        <v>461</v>
      </c>
      <c r="B38" s="376"/>
      <c r="C38" s="567"/>
      <c r="D38" s="376"/>
      <c r="E38" s="567"/>
      <c r="F38" s="376"/>
      <c r="G38" s="567"/>
      <c r="H38" s="567"/>
      <c r="J38" s="491" t="s">
        <v>116</v>
      </c>
      <c r="K38" s="339"/>
      <c r="L38" s="339"/>
      <c r="M38" s="490">
        <f>H32</f>
        <v>0</v>
      </c>
    </row>
    <row r="39" spans="1:13">
      <c r="A39" s="7" t="s">
        <v>462</v>
      </c>
      <c r="B39" s="449">
        <f>$H$1-3</f>
        <v>2022</v>
      </c>
      <c r="C39" s="36"/>
      <c r="D39" s="449">
        <f>$H$1-2</f>
        <v>2023</v>
      </c>
      <c r="E39" s="36"/>
      <c r="F39" s="449">
        <f>$H$1-1</f>
        <v>2024</v>
      </c>
      <c r="G39" s="36"/>
      <c r="H39" s="36"/>
      <c r="J39" s="344" t="str">
        <f>CONCATENATE("Current ",H1," Estimated Mill Rate:")</f>
        <v>Current 2025 Estimated Mill Rate:</v>
      </c>
      <c r="K39" s="339"/>
      <c r="L39" s="339"/>
      <c r="M39" s="346">
        <f>H31</f>
        <v>0</v>
      </c>
    </row>
    <row r="40" spans="1:13">
      <c r="A40" s="7" t="s">
        <v>463</v>
      </c>
      <c r="B40" s="127">
        <f>inputPrYr!D62</f>
        <v>0</v>
      </c>
      <c r="C40" s="36"/>
      <c r="D40" s="127">
        <f>inputPrYr!E62</f>
        <v>0</v>
      </c>
      <c r="E40" s="36"/>
      <c r="F40" s="127">
        <f>Debt!G15</f>
        <v>0</v>
      </c>
      <c r="G40" s="36"/>
      <c r="H40" s="36"/>
      <c r="J40" s="344" t="str">
        <f>CONCATENATE("Desired ",H1," Mill Rate:")</f>
        <v>Desired 2025 Mill Rate:</v>
      </c>
      <c r="K40" s="339"/>
      <c r="L40" s="339"/>
      <c r="M40" s="337">
        <v>0</v>
      </c>
    </row>
    <row r="41" spans="1:13">
      <c r="A41" s="7" t="s">
        <v>464</v>
      </c>
      <c r="B41" s="127">
        <f>inputPrYr!D63</f>
        <v>0</v>
      </c>
      <c r="C41" s="36"/>
      <c r="D41" s="127">
        <f>inputPrYr!E63</f>
        <v>0</v>
      </c>
      <c r="E41" s="36"/>
      <c r="F41" s="127">
        <f>Debt!G22</f>
        <v>0</v>
      </c>
      <c r="G41" s="36"/>
      <c r="H41" s="36"/>
      <c r="J41" s="344" t="str">
        <f>CONCATENATE("",H1," Ad Valorem Tax:")</f>
        <v>2025 Ad Valorem Tax:</v>
      </c>
      <c r="K41" s="339"/>
      <c r="L41" s="339"/>
      <c r="M41" s="351">
        <f>ROUND(F36*M40/1000,0)</f>
        <v>0</v>
      </c>
    </row>
    <row r="42" spans="1:13">
      <c r="A42" s="14" t="s">
        <v>465</v>
      </c>
      <c r="B42" s="127">
        <f>inputPrYr!D64</f>
        <v>0</v>
      </c>
      <c r="C42" s="36"/>
      <c r="D42" s="127">
        <f>inputPrYr!E64</f>
        <v>0</v>
      </c>
      <c r="E42" s="36"/>
      <c r="F42" s="450">
        <f>Debt!G30</f>
        <v>0</v>
      </c>
      <c r="G42" s="36"/>
      <c r="H42" s="36"/>
      <c r="J42" s="349" t="str">
        <f>CONCATENATE("",H1," Tax Levy Fund Exp. Changed By:")</f>
        <v>2025 Tax Levy Fund Exp. Changed By:</v>
      </c>
      <c r="K42" s="350"/>
      <c r="L42" s="350"/>
      <c r="M42" s="343">
        <f>IF(M40=0,0,(M41-G31))</f>
        <v>0</v>
      </c>
    </row>
    <row r="43" spans="1:13">
      <c r="A43" s="7" t="s">
        <v>466</v>
      </c>
      <c r="B43" s="127">
        <f>inputPrYr!D65</f>
        <v>0</v>
      </c>
      <c r="C43" s="36"/>
      <c r="D43" s="127">
        <f>inputPrYr!E65</f>
        <v>0</v>
      </c>
      <c r="E43" s="36"/>
      <c r="F43" s="127">
        <f>'LP Form'!G20</f>
        <v>0</v>
      </c>
      <c r="G43" s="36"/>
      <c r="H43" s="36"/>
    </row>
    <row r="44" spans="1:13" ht="16.5" thickBot="1">
      <c r="A44" s="7" t="s">
        <v>467</v>
      </c>
      <c r="B44" s="444">
        <f>SUM(B40:B43)</f>
        <v>0</v>
      </c>
      <c r="C44" s="36"/>
      <c r="D44" s="444">
        <f>SUM(D40:D43)</f>
        <v>0</v>
      </c>
      <c r="E44" s="36"/>
      <c r="F44" s="444">
        <f>SUM(F40:F43)</f>
        <v>0</v>
      </c>
      <c r="G44" s="36"/>
      <c r="H44" s="36"/>
      <c r="J44" s="759" t="s">
        <v>468</v>
      </c>
      <c r="K44" s="760"/>
      <c r="L44" s="760"/>
      <c r="M44" s="763" t="str">
        <f>IF(H31&gt;H32, "Yes", "No")</f>
        <v>No</v>
      </c>
    </row>
    <row r="45" spans="1:13" ht="16.5" thickTop="1">
      <c r="A45" s="7" t="s">
        <v>469</v>
      </c>
      <c r="B45" s="6"/>
      <c r="C45" s="6"/>
      <c r="D45" s="6"/>
      <c r="E45" s="6"/>
      <c r="F45" s="6"/>
      <c r="G45" s="6"/>
      <c r="H45" s="6"/>
      <c r="J45" s="761"/>
      <c r="K45" s="762"/>
      <c r="L45" s="762"/>
      <c r="M45" s="764"/>
    </row>
    <row r="46" spans="1:13">
      <c r="A46" s="480" t="s">
        <v>470</v>
      </c>
      <c r="B46" s="6"/>
      <c r="C46" s="6"/>
      <c r="D46" s="6"/>
      <c r="E46" s="6"/>
      <c r="F46" s="6"/>
      <c r="G46" s="6"/>
      <c r="H46" s="6"/>
      <c r="J46" s="675" t="str">
        <f>IF(M44="Yes", "Follow procedure prescirbed by KSA 79-2988 to exceed the Revenue Neutral Rate.", " ")</f>
        <v xml:space="preserve"> </v>
      </c>
      <c r="K46" s="675"/>
      <c r="L46" s="675"/>
      <c r="M46" s="675"/>
    </row>
    <row r="47" spans="1:13">
      <c r="A47" s="6"/>
      <c r="B47" s="6"/>
      <c r="C47" s="6"/>
      <c r="D47" s="6"/>
      <c r="E47" s="6"/>
      <c r="F47" s="6"/>
      <c r="G47" s="6"/>
      <c r="H47" s="6"/>
      <c r="J47" s="676"/>
      <c r="K47" s="676"/>
      <c r="L47" s="676"/>
      <c r="M47" s="676"/>
    </row>
    <row r="48" spans="1:13">
      <c r="A48" s="765">
        <f>inputHearing!B14</f>
        <v>0</v>
      </c>
      <c r="B48" s="766"/>
      <c r="C48" s="328"/>
      <c r="D48" s="6"/>
      <c r="E48" s="6"/>
      <c r="F48" s="6"/>
      <c r="G48" s="6"/>
      <c r="H48" s="6"/>
      <c r="J48" s="676"/>
      <c r="K48" s="676"/>
      <c r="L48" s="676"/>
      <c r="M48" s="676"/>
    </row>
    <row r="49" spans="1:13">
      <c r="A49" s="39" t="str">
        <f>CONCATENATE("City Official Title: ",inputHearing!B16,"")</f>
        <v xml:space="preserve">City Official Title: </v>
      </c>
      <c r="B49" s="327"/>
      <c r="C49" s="326"/>
      <c r="D49" s="6"/>
      <c r="E49" s="6"/>
      <c r="F49" s="6"/>
      <c r="G49" s="6"/>
      <c r="H49" s="6"/>
    </row>
    <row r="50" spans="1:13">
      <c r="A50" s="565"/>
      <c r="B50" s="566"/>
      <c r="C50" s="16"/>
      <c r="D50" s="6"/>
      <c r="E50" s="6"/>
      <c r="F50" s="6"/>
      <c r="G50" s="6"/>
      <c r="H50" s="6"/>
    </row>
    <row r="51" spans="1:13" ht="15.75" customHeight="1">
      <c r="A51" s="6"/>
      <c r="B51" s="6"/>
      <c r="C51" s="6"/>
      <c r="D51" s="6"/>
      <c r="E51" s="6"/>
      <c r="F51" s="6"/>
      <c r="G51" s="6"/>
      <c r="H51" s="6"/>
    </row>
    <row r="52" spans="1:13">
      <c r="A52" s="6"/>
      <c r="B52" s="6"/>
      <c r="C52" s="564" t="s">
        <v>300</v>
      </c>
      <c r="D52" s="473"/>
      <c r="E52" s="6"/>
      <c r="F52" s="6"/>
      <c r="G52" s="6"/>
      <c r="H52" s="6"/>
    </row>
    <row r="53" spans="1:13">
      <c r="A53" s="1"/>
      <c r="B53" s="1"/>
      <c r="C53" s="1"/>
      <c r="D53" s="1"/>
      <c r="E53" s="1"/>
      <c r="F53" s="1"/>
      <c r="G53" s="1"/>
      <c r="H53" s="1"/>
      <c r="I53" s="1"/>
      <c r="J53" s="1"/>
      <c r="K53" s="1"/>
      <c r="L53" s="1"/>
      <c r="M53" s="1"/>
    </row>
    <row r="57" spans="1:13">
      <c r="K57" s="422"/>
    </row>
    <row r="93" spans="1:9">
      <c r="A93" s="1"/>
      <c r="B93" s="1"/>
      <c r="C93" s="1"/>
      <c r="D93" s="1"/>
      <c r="E93" s="1"/>
      <c r="F93" s="1"/>
      <c r="G93" s="1"/>
      <c r="H93" s="1"/>
      <c r="I93" s="1"/>
    </row>
    <row r="104" spans="1:8">
      <c r="A104" s="1"/>
      <c r="B104" s="1"/>
      <c r="C104" s="1"/>
      <c r="D104" s="1"/>
      <c r="E104" s="1"/>
      <c r="F104" s="1"/>
      <c r="G104" s="1"/>
      <c r="H104" s="1"/>
    </row>
    <row r="125" spans="1:15">
      <c r="I125" s="1"/>
      <c r="J125" s="1"/>
      <c r="K125" s="1"/>
      <c r="L125" s="1"/>
      <c r="M125" s="1"/>
      <c r="N125" s="1"/>
      <c r="O125" s="1"/>
    </row>
    <row r="126" spans="1:15">
      <c r="A126" s="1"/>
      <c r="B126" s="1"/>
      <c r="C126" s="1"/>
      <c r="D126" s="1"/>
      <c r="E126" s="1"/>
      <c r="F126" s="1"/>
      <c r="G126" s="1"/>
      <c r="H126" s="1"/>
    </row>
    <row r="169" spans="1:17">
      <c r="I169" s="1"/>
      <c r="J169" s="1"/>
      <c r="K169" s="1"/>
      <c r="L169" s="1"/>
      <c r="M169" s="1"/>
      <c r="N169" s="1"/>
      <c r="O169" s="1"/>
      <c r="P169" s="1"/>
      <c r="Q169" s="1"/>
    </row>
    <row r="170" spans="1:17">
      <c r="A170" s="1"/>
      <c r="B170" s="1"/>
      <c r="C170" s="1"/>
      <c r="D170" s="1"/>
      <c r="E170" s="1"/>
      <c r="F170" s="1"/>
      <c r="G170" s="1"/>
      <c r="H170" s="1"/>
    </row>
  </sheetData>
  <sheetProtection sheet="1" objects="1" scenarios="1"/>
  <mergeCells count="18">
    <mergeCell ref="J44:L45"/>
    <mergeCell ref="M44:M45"/>
    <mergeCell ref="J46:M48"/>
    <mergeCell ref="A48:B48"/>
    <mergeCell ref="A2:H2"/>
    <mergeCell ref="A4:H4"/>
    <mergeCell ref="A5:H5"/>
    <mergeCell ref="A6:H6"/>
    <mergeCell ref="J37:M37"/>
    <mergeCell ref="J20:M20"/>
    <mergeCell ref="J31:M31"/>
    <mergeCell ref="J24:M24"/>
    <mergeCell ref="A32:G32"/>
    <mergeCell ref="A7:H7"/>
    <mergeCell ref="A8:H8"/>
    <mergeCell ref="A9:H9"/>
    <mergeCell ref="A10:H10"/>
    <mergeCell ref="A11:H11"/>
  </mergeCells>
  <phoneticPr fontId="0" type="noConversion"/>
  <conditionalFormatting sqref="M44:M45">
    <cfRule type="containsText" dxfId="1" priority="1" operator="containsText" text="Yes">
      <formula>NOT(ISERROR(SEARCH("Yes",M44)))</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A059-D191-47EE-8E55-3A235F3299B2}">
  <sheetPr codeName="Sheet34">
    <tabColor rgb="FF00B0F0"/>
    <pageSetUpPr fitToPage="1"/>
  </sheetPr>
  <dimension ref="A1:Q170"/>
  <sheetViews>
    <sheetView zoomScale="75" workbookViewId="0">
      <selection activeCell="D52" sqref="D52"/>
    </sheetView>
  </sheetViews>
  <sheetFormatPr defaultColWidth="8.88671875"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 width="8.88671875" style="2"/>
    <col min="17" max="17" width="0" style="503" hidden="1" customWidth="1"/>
    <col min="18" max="16384" width="8.88671875" style="2"/>
  </cols>
  <sheetData>
    <row r="1" spans="1:17">
      <c r="A1" s="6"/>
      <c r="B1" s="6"/>
      <c r="C1" s="6"/>
      <c r="D1" s="6"/>
      <c r="E1" s="6"/>
      <c r="F1" s="6"/>
      <c r="G1" s="6"/>
      <c r="H1" s="15">
        <f>inputPrYr!$C$6</f>
        <v>2025</v>
      </c>
    </row>
    <row r="2" spans="1:17">
      <c r="A2" s="745" t="s">
        <v>471</v>
      </c>
      <c r="B2" s="745"/>
      <c r="C2" s="745"/>
      <c r="D2" s="745"/>
      <c r="E2" s="745"/>
      <c r="F2" s="745"/>
      <c r="G2" s="745"/>
      <c r="H2" s="745"/>
      <c r="Q2" s="503" t="s">
        <v>472</v>
      </c>
    </row>
    <row r="3" spans="1:17">
      <c r="A3" s="6"/>
      <c r="B3" s="6"/>
      <c r="C3" s="6"/>
      <c r="D3" s="6"/>
      <c r="E3" s="6"/>
      <c r="F3" s="6"/>
      <c r="G3" s="6"/>
      <c r="H3" s="6"/>
      <c r="Q3" s="503" t="s">
        <v>473</v>
      </c>
    </row>
    <row r="4" spans="1:17">
      <c r="A4" s="746" t="s">
        <v>446</v>
      </c>
      <c r="B4" s="746"/>
      <c r="C4" s="746"/>
      <c r="D4" s="746"/>
      <c r="E4" s="746"/>
      <c r="F4" s="746"/>
      <c r="G4" s="746"/>
      <c r="H4" s="746"/>
      <c r="Q4" s="504">
        <f>inputHearing!B32</f>
        <v>0</v>
      </c>
    </row>
    <row r="5" spans="1:17">
      <c r="A5" s="747">
        <f>inputPrYr!D3</f>
        <v>0</v>
      </c>
      <c r="B5" s="747"/>
      <c r="C5" s="747"/>
      <c r="D5" s="747"/>
      <c r="E5" s="747"/>
      <c r="F5" s="747"/>
      <c r="G5" s="747"/>
      <c r="H5" s="747"/>
      <c r="Q5" s="503" t="s">
        <v>474</v>
      </c>
    </row>
    <row r="6" spans="1:17">
      <c r="A6" s="767" t="str">
        <f>CONCATENATE("will meet on ",inputHearing!B32," at ",inputHearing!B34," at ",inputHearing!B36," for the purpose of hearing and")</f>
        <v>will meet on  at  at  for the purpose of hearing and</v>
      </c>
      <c r="B6" s="767"/>
      <c r="C6" s="767"/>
      <c r="D6" s="767"/>
      <c r="E6" s="767"/>
      <c r="F6" s="767"/>
      <c r="G6" s="767"/>
      <c r="H6" s="767"/>
      <c r="I6" s="503"/>
      <c r="J6" s="503"/>
      <c r="Q6" s="504">
        <f>inputHearing!B34</f>
        <v>0</v>
      </c>
    </row>
    <row r="7" spans="1:17">
      <c r="A7" s="746" t="s">
        <v>475</v>
      </c>
      <c r="B7" s="746"/>
      <c r="C7" s="746"/>
      <c r="D7" s="746"/>
      <c r="E7" s="746"/>
      <c r="F7" s="746"/>
      <c r="G7" s="746"/>
      <c r="H7" s="746"/>
      <c r="Q7" s="503" t="s">
        <v>474</v>
      </c>
    </row>
    <row r="8" spans="1:17">
      <c r="A8" s="746" t="str">
        <f>CONCATENATE("Detailed budget information is available at ",inputHearing!B38," and will be available at this hearing.")</f>
        <v>Detailed budget information is available at  and will be available at this hearing.</v>
      </c>
      <c r="B8" s="746"/>
      <c r="C8" s="746"/>
      <c r="D8" s="746"/>
      <c r="E8" s="746"/>
      <c r="F8" s="746"/>
      <c r="G8" s="746"/>
      <c r="H8" s="746"/>
      <c r="Q8" s="503">
        <f>inputHearing!B36</f>
        <v>0</v>
      </c>
    </row>
    <row r="9" spans="1:17">
      <c r="A9" s="745" t="s">
        <v>448</v>
      </c>
      <c r="B9" s="745"/>
      <c r="C9" s="745"/>
      <c r="D9" s="745"/>
      <c r="E9" s="745"/>
      <c r="F9" s="745"/>
      <c r="G9" s="745"/>
      <c r="H9" s="745"/>
      <c r="Q9" s="503" t="s">
        <v>476</v>
      </c>
    </row>
    <row r="10" spans="1:17" ht="15.75" customHeight="1">
      <c r="A10" s="757" t="str">
        <f>CONCATENATE("Proposed Budget ",H1," Expenditures and Amount of ",D13," Ad Valorem Tax establish the maximum limits of the ",H1," budget.")</f>
        <v>Proposed Budget 2025 Expenditures and Amount of Current Year Estimate for 2024 Ad Valorem Tax establish the maximum limits of the 2025 budget.</v>
      </c>
      <c r="B10" s="757"/>
      <c r="C10" s="757"/>
      <c r="D10" s="757"/>
      <c r="E10" s="757"/>
      <c r="F10" s="757"/>
      <c r="G10" s="757"/>
      <c r="H10" s="757"/>
    </row>
    <row r="11" spans="1:17">
      <c r="A11" s="758" t="s">
        <v>449</v>
      </c>
      <c r="B11" s="758"/>
      <c r="C11" s="758"/>
      <c r="D11" s="758"/>
      <c r="E11" s="758"/>
      <c r="F11" s="758"/>
      <c r="G11" s="758"/>
      <c r="H11" s="758"/>
    </row>
    <row r="12" spans="1:17">
      <c r="A12" s="6"/>
      <c r="B12" s="12"/>
      <c r="C12" s="12"/>
      <c r="D12" s="12"/>
      <c r="E12" s="12"/>
      <c r="F12" s="12"/>
      <c r="G12" s="12"/>
      <c r="H12" s="12"/>
    </row>
    <row r="13" spans="1:17">
      <c r="A13" s="6"/>
      <c r="B13" s="435" t="str">
        <f>CONCATENATE("Prior Year Actual for ",H1-2,"")</f>
        <v>Prior Year Actual for 2023</v>
      </c>
      <c r="C13" s="100"/>
      <c r="D13" s="435" t="str">
        <f>CONCATENATE("Current Year Estimate for ",H1-1,"")</f>
        <v>Current Year Estimate for 2024</v>
      </c>
      <c r="E13" s="100"/>
      <c r="F13" s="436" t="str">
        <f>CONCATENATE("Proposed Budget for ",H1,"")</f>
        <v>Proposed Budget for 2025</v>
      </c>
      <c r="G13" s="437"/>
      <c r="H13" s="100"/>
    </row>
    <row r="14" spans="1:17" ht="31.5" customHeight="1">
      <c r="A14" s="6"/>
      <c r="B14" s="8"/>
      <c r="C14" s="8" t="s">
        <v>209</v>
      </c>
      <c r="D14" s="8"/>
      <c r="E14" s="8" t="s">
        <v>209</v>
      </c>
      <c r="F14" s="8" t="s">
        <v>132</v>
      </c>
      <c r="G14" s="17" t="str">
        <f>CONCATENATE("Amount of ",H1-1,"")</f>
        <v>Amount of 2024</v>
      </c>
      <c r="H14" s="492" t="s">
        <v>477</v>
      </c>
    </row>
    <row r="15" spans="1:17" ht="17.25" customHeight="1">
      <c r="A15" s="13" t="s">
        <v>451</v>
      </c>
      <c r="B15" s="9" t="s">
        <v>88</v>
      </c>
      <c r="C15" s="9" t="s">
        <v>452</v>
      </c>
      <c r="D15" s="9" t="s">
        <v>453</v>
      </c>
      <c r="E15" s="9" t="s">
        <v>452</v>
      </c>
      <c r="F15" s="9" t="s">
        <v>166</v>
      </c>
      <c r="G15" s="11" t="s">
        <v>345</v>
      </c>
      <c r="H15" s="9" t="s">
        <v>452</v>
      </c>
    </row>
    <row r="16" spans="1:17">
      <c r="A16" s="557" t="s">
        <v>90</v>
      </c>
      <c r="B16" s="127" t="str">
        <f>IF((General!$C$59)&lt;&gt;0,General!$C$59,"  ")</f>
        <v xml:space="preserve">  </v>
      </c>
      <c r="C16" s="438" t="str">
        <f>IF(inputPrYr!D49&gt;0,inputPrYr!D49,"  ")</f>
        <v xml:space="preserve">  </v>
      </c>
      <c r="D16" s="127" t="str">
        <f>IF((General!$D$59)&lt;&gt;0,General!$D$59,"  ")</f>
        <v xml:space="preserve">  </v>
      </c>
      <c r="E16" s="438" t="str">
        <f>IF(inputOth!D25&gt;0,inputOth!D25,"  ")</f>
        <v xml:space="preserve">  </v>
      </c>
      <c r="F16" s="127" t="str">
        <f>IF((General!$E$59)&lt;&gt;0,General!$E$59,"  ")</f>
        <v xml:space="preserve">  </v>
      </c>
      <c r="G16" s="127" t="str">
        <f>IF((General!$E$66)&lt;&gt;0,(General!$E$66),"  ")</f>
        <v xml:space="preserve">  </v>
      </c>
      <c r="H16" s="438" t="str">
        <f>IF((General!E66&gt;0),ROUND(G16/$F$36*1000,3),"  ")</f>
        <v xml:space="preserve">  </v>
      </c>
    </row>
    <row r="17" spans="1:13">
      <c r="A17" s="557" t="s">
        <v>92</v>
      </c>
      <c r="B17" s="127" t="str">
        <f>IF(('DebtSvs-Library'!$C$34)&lt;&gt;0,('DebtSvs-Library'!$C$34),"  ")</f>
        <v xml:space="preserve">  </v>
      </c>
      <c r="C17" s="438" t="str">
        <f>IF(inputPrYr!D50&gt;0,inputPrYr!D50,"  ")</f>
        <v xml:space="preserve">  </v>
      </c>
      <c r="D17" s="127" t="str">
        <f>IF(('DebtSvs-Library'!$D$34)&lt;&gt;0,('DebtSvs-Library'!$D$34),"  ")</f>
        <v xml:space="preserve">  </v>
      </c>
      <c r="E17" s="438" t="str">
        <f>IF(inputOth!D26&gt;0,inputOth!D26,"  ")</f>
        <v xml:space="preserve">  </v>
      </c>
      <c r="F17" s="127" t="str">
        <f>IF(('DebtSvs-Library'!$E$34)&lt;&gt;0,('DebtSvs-Library'!$E$34),"  ")</f>
        <v xml:space="preserve">  </v>
      </c>
      <c r="G17" s="127" t="str">
        <f>IF(('DebtSvs-Library'!$E$41)&lt;&gt;0,('DebtSvs-Library'!$E$41),"  ")</f>
        <v xml:space="preserve">  </v>
      </c>
      <c r="H17" s="438" t="str">
        <f>IF(('DebtSvs-Library'!E41&gt;0),ROUND(G17/$F$36*1000,3),"  ")</f>
        <v xml:space="preserve">  </v>
      </c>
    </row>
    <row r="18" spans="1:13">
      <c r="A18" s="62" t="str">
        <f>IF((inputPrYr!$B20&gt;"  "),(inputPrYr!$B20),"  ")</f>
        <v>Library</v>
      </c>
      <c r="B18" s="127" t="str">
        <f>IF(('DebtSvs-Library'!$C$75)&lt;&gt;0,('DebtSvs-Library'!$C$75),"  ")</f>
        <v xml:space="preserve">  </v>
      </c>
      <c r="C18" s="438" t="str">
        <f>IF(inputPrYr!D51&gt;0,inputPrYr!D51,"  ")</f>
        <v xml:space="preserve">  </v>
      </c>
      <c r="D18" s="127" t="str">
        <f>IF(('DebtSvs-Library'!$D$75)&lt;&gt;0,('DebtSvs-Library'!$D$75),"  ")</f>
        <v xml:space="preserve">  </v>
      </c>
      <c r="E18" s="438" t="str">
        <f>IF(inputOth!D27&gt;0,inputOth!D27,"  ")</f>
        <v xml:space="preserve">  </v>
      </c>
      <c r="F18" s="127" t="str">
        <f>IF(('DebtSvs-Library'!$E$75)&lt;&gt;0,('DebtSvs-Library'!$E$75),"  ")</f>
        <v xml:space="preserve">  </v>
      </c>
      <c r="G18" s="127" t="str">
        <f>IF(('DebtSvs-Library'!$E$82)&lt;&gt;0,('DebtSvs-Library'!$E$82),"  ")</f>
        <v xml:space="preserve">  </v>
      </c>
      <c r="H18" s="438" t="str">
        <f>IF(('DebtSvs-Library'!E82&gt;0),ROUND(G18/$F$36*1000,3),"")</f>
        <v/>
      </c>
    </row>
    <row r="19" spans="1:13">
      <c r="A19" s="62" t="str">
        <f>IF((inputPrYr!$B22&gt;"  "),(inputPrYr!$B22),"  ")</f>
        <v xml:space="preserve">  </v>
      </c>
      <c r="B19" s="127" t="str">
        <f>IF(('Levy Page 9'!$C$34)&lt;&gt;0,('Levy Page 9'!$C$34),"  ")</f>
        <v xml:space="preserve">  </v>
      </c>
      <c r="C19" s="438" t="str">
        <f>IF(inputPrYr!D52&gt;0,inputPrYr!D52,"  ")</f>
        <v xml:space="preserve">  </v>
      </c>
      <c r="D19" s="127" t="str">
        <f>IF(('Levy Page 9'!$D$34)&lt;&gt;0,('Levy Page 9'!$D$34),"  ")</f>
        <v xml:space="preserve">  </v>
      </c>
      <c r="E19" s="438" t="str">
        <f>IF(inputOth!D28&gt;0,inputOth!D28,"  ")</f>
        <v xml:space="preserve">  </v>
      </c>
      <c r="F19" s="127" t="str">
        <f>IF(('Levy Page 9'!$E$34)&lt;&gt;0,('Levy Page 9'!$E$34),"  ")</f>
        <v xml:space="preserve">  </v>
      </c>
      <c r="G19" s="127" t="str">
        <f>IF(('Levy Page 9'!$E$41)&lt;&gt;0,('Levy Page 9'!$E$41),"  ")</f>
        <v xml:space="preserve">  </v>
      </c>
      <c r="H19" s="438" t="str">
        <f>IF('Levy Page 9'!E41&gt;0,ROUND(G19/$F$36*1000,3),"  ")</f>
        <v xml:space="preserve">  </v>
      </c>
    </row>
    <row r="20" spans="1:13">
      <c r="A20" s="62" t="str">
        <f>IF((inputPrYr!$B23&gt;"  "),(inputPrYr!$B23),"  ")</f>
        <v xml:space="preserve">  </v>
      </c>
      <c r="B20" s="127" t="str">
        <f>IF(('Levy Page 9'!$C$75)&lt;&gt;0,('Levy Page 9'!$C$75),"  ")</f>
        <v xml:space="preserve">  </v>
      </c>
      <c r="C20" s="438" t="str">
        <f>IF(inputPrYr!D53&gt;0,inputPrYr!D53,"  ")</f>
        <v xml:space="preserve">  </v>
      </c>
      <c r="D20" s="127" t="str">
        <f>IF(('Levy Page 9'!$D$75)&lt;&gt;0,('Levy Page 9'!$D$75),"  ")</f>
        <v xml:space="preserve">  </v>
      </c>
      <c r="E20" s="438" t="str">
        <f>IF(inputOth!D29&gt;0,inputOth!D29,"  ")</f>
        <v xml:space="preserve">  </v>
      </c>
      <c r="F20" s="127" t="str">
        <f>IF(('Levy Page 9'!$E$75)&lt;&gt;0,('Levy Page 9'!$E$75),"  ")</f>
        <v xml:space="preserve">  </v>
      </c>
      <c r="G20" s="127" t="str">
        <f>IF(('Levy Page 9'!$E$82)&lt;&gt;0,('Levy Page 9'!$E$82),"  ")</f>
        <v xml:space="preserve">  </v>
      </c>
      <c r="H20" s="438" t="str">
        <f>IF('Levy Page 9'!E82&gt;0,ROUND(G20/$F$36*1000,3),"  ")</f>
        <v xml:space="preserve">  </v>
      </c>
      <c r="J20" s="749" t="str">
        <f>CONCATENATE("Estimated Value Of One Mill For ",H1,"")</f>
        <v>Estimated Value Of One Mill For 2025</v>
      </c>
      <c r="K20" s="752"/>
      <c r="L20" s="752"/>
      <c r="M20" s="753"/>
    </row>
    <row r="21" spans="1:13">
      <c r="A21" s="62" t="str">
        <f>IF((inputPrYr!$B24&gt;"  "),(inputPrYr!$B24),"  ")</f>
        <v xml:space="preserve">  </v>
      </c>
      <c r="B21" s="127" t="str">
        <f>IF(('Levy Page 10'!$C$34)&lt;&gt;0,('Levy Page 10'!$C$34),"  ")</f>
        <v xml:space="preserve">  </v>
      </c>
      <c r="C21" s="438" t="str">
        <f>IF(inputPrYr!D54&gt;0,inputPrYr!D54,"  ")</f>
        <v xml:space="preserve">  </v>
      </c>
      <c r="D21" s="127" t="str">
        <f>IF(('Levy Page 10'!$D$34)&lt;&gt;0,('Levy Page 10'!$D$34),"  ")</f>
        <v xml:space="preserve">  </v>
      </c>
      <c r="E21" s="438" t="str">
        <f>IF(inputOth!D30&gt;0,inputOth!D30,"  ")</f>
        <v xml:space="preserve">  </v>
      </c>
      <c r="F21" s="127" t="str">
        <f>IF(('Levy Page 10'!$E$34)&lt;&gt;0,('Levy Page 10'!$E$34),"  ")</f>
        <v xml:space="preserve">  </v>
      </c>
      <c r="G21" s="127" t="str">
        <f>IF(('Levy Page 10'!$E$41)&lt;&gt;0,('Levy Page 10'!$E$41),"  ")</f>
        <v xml:space="preserve">  </v>
      </c>
      <c r="H21" s="438" t="str">
        <f>IF('Levy Page 10'!E41&gt;0,ROUND(G21/$F$36*1000,3),"  ")</f>
        <v xml:space="preserve">  </v>
      </c>
      <c r="J21" s="338"/>
      <c r="K21" s="339"/>
      <c r="L21" s="339"/>
      <c r="M21" s="340"/>
    </row>
    <row r="22" spans="1:13">
      <c r="A22" s="62" t="str">
        <f>IF((inputPrYr!$B25&gt;"  "),(inputPrYr!$B25),"  ")</f>
        <v xml:space="preserve">  </v>
      </c>
      <c r="B22" s="127" t="str">
        <f>IF(('Levy Page 10'!$C$75)&lt;&gt;0,('Levy Page 10'!$C$75),"  ")</f>
        <v xml:space="preserve">  </v>
      </c>
      <c r="C22" s="438" t="str">
        <f>IF(inputPrYr!D55&gt;0,inputPrYr!D55,"  ")</f>
        <v xml:space="preserve">  </v>
      </c>
      <c r="D22" s="127" t="str">
        <f>IF(('Levy Page 10'!$D$75)&lt;&gt;0,('Levy Page 10'!$D$75),"  ")</f>
        <v xml:space="preserve">  </v>
      </c>
      <c r="E22" s="438" t="str">
        <f>IF(inputOth!D31&gt;0,inputOth!D31,"  ")</f>
        <v xml:space="preserve">  </v>
      </c>
      <c r="F22" s="127" t="str">
        <f>IF(('Levy Page 10'!$E$75)&lt;&gt;0,('Levy Page 10'!$E$75),"  ")</f>
        <v xml:space="preserve">  </v>
      </c>
      <c r="G22" s="127" t="str">
        <f>IF(('Levy Page 10'!$E$82)&lt;&gt;0,('Levy Page 10'!$E$82),"  ")</f>
        <v xml:space="preserve">  </v>
      </c>
      <c r="H22" s="438" t="str">
        <f>IF('Levy Page 10'!E82&gt;0,ROUND(G22/$F$36*1000,3),"  ")</f>
        <v xml:space="preserve">  </v>
      </c>
      <c r="J22" s="341" t="s">
        <v>454</v>
      </c>
      <c r="K22" s="342"/>
      <c r="L22" s="342"/>
      <c r="M22" s="474">
        <f>ROUND(F36/1000,0)</f>
        <v>0</v>
      </c>
    </row>
    <row r="23" spans="1:13">
      <c r="A23" s="62" t="str">
        <f>IF((inputPrYr!$B29&gt;"  "),(inputPrYr!$B29),"  ")</f>
        <v>Special Highway</v>
      </c>
      <c r="B23" s="127" t="str">
        <f>IF(('Spec Hwy'!$C$25)&lt;&gt;0,('Spec Hwy'!$C$25),"  ")</f>
        <v xml:space="preserve">  </v>
      </c>
      <c r="C23" s="569"/>
      <c r="D23" s="127" t="str">
        <f>IF(('Spec Hwy'!$D$25)&lt;&gt;0,('Spec Hwy'!$D$25),"  ")</f>
        <v xml:space="preserve">  </v>
      </c>
      <c r="E23" s="569"/>
      <c r="F23" s="127" t="str">
        <f>IF(('Spec Hwy'!$E$25)&lt;&gt;0,('Spec Hwy'!$E$25),"  ")</f>
        <v xml:space="preserve">  </v>
      </c>
      <c r="G23" s="569"/>
      <c r="H23" s="569"/>
    </row>
    <row r="24" spans="1:13">
      <c r="A24" s="62" t="str">
        <f>IF((inputPrYr!$B30&gt;"  "),(inputPrYr!$B30),"  ")</f>
        <v xml:space="preserve">  </v>
      </c>
      <c r="B24" s="127" t="str">
        <f>IF(('Spec Hwy'!$C$59)&lt;&gt;0,('Spec Hwy'!$C$59),"  ")</f>
        <v xml:space="preserve">  </v>
      </c>
      <c r="C24" s="569"/>
      <c r="D24" s="127" t="str">
        <f>IF(('Spec Hwy'!$D$59)&lt;&gt;0,('Spec Hwy'!$D$59),"  ")</f>
        <v xml:space="preserve">  </v>
      </c>
      <c r="E24" s="569"/>
      <c r="F24" s="127" t="str">
        <f>IF(('Spec Hwy'!$E$59)&lt;&gt;0,('Spec Hwy'!$E$59),"  ")</f>
        <v xml:space="preserve">  </v>
      </c>
      <c r="G24" s="569"/>
      <c r="H24" s="569"/>
      <c r="J24" s="749" t="str">
        <f>CONCATENATE("Want The Mill Rate The Same As For ",H1-1,"?")</f>
        <v>Want The Mill Rate The Same As For 2024?</v>
      </c>
      <c r="K24" s="750"/>
      <c r="L24" s="750"/>
      <c r="M24" s="751"/>
    </row>
    <row r="25" spans="1:13">
      <c r="A25" s="62" t="str">
        <f>IF((inputPrYr!$B31&gt;"  "),(inputPrYr!$B31),"  ")</f>
        <v xml:space="preserve">  </v>
      </c>
      <c r="B25" s="127" t="str">
        <f>IF(('No Levy Page 12'!$C$29) &lt;&gt;0,('No Levy Page 12'!$C$29),"")</f>
        <v/>
      </c>
      <c r="C25" s="569"/>
      <c r="D25" s="127" t="str">
        <f>IF(('No Levy Page 12'!$D$29) &lt;&gt;0,('No Levy Page 12'!$D$29),"")</f>
        <v/>
      </c>
      <c r="E25" s="569"/>
      <c r="F25" s="127" t="str">
        <f>IF(('No Levy Page 12'!$E$29) &lt;&gt;0,('No Levy Page 12'!$E$29),"")</f>
        <v/>
      </c>
      <c r="G25" s="569"/>
      <c r="H25" s="569"/>
      <c r="J25" s="344"/>
      <c r="K25" s="339"/>
      <c r="L25" s="339"/>
      <c r="M25" s="345"/>
    </row>
    <row r="26" spans="1:13">
      <c r="A26" s="62" t="str">
        <f>IF((inputPrYr!$B32&gt;"  "),(inputPrYr!$B32),"  ")</f>
        <v xml:space="preserve">  </v>
      </c>
      <c r="B26" s="127" t="str">
        <f>IF(('No Levy Page 12'!$C$60) &lt;&gt;0,('No Levy Page 12'!$C$60),"")</f>
        <v/>
      </c>
      <c r="C26" s="569"/>
      <c r="D26" s="127" t="str">
        <f>IF(('No Levy Page 12'!$D$60) &lt;&gt;0,('No Levy Page 12'!$D$60),"")</f>
        <v/>
      </c>
      <c r="E26" s="569"/>
      <c r="F26" s="127" t="str">
        <f>IF(('No Levy Page 12'!$E$60) &lt;&gt;0,('No Levy Page 12'!$E$60),"")</f>
        <v/>
      </c>
      <c r="G26" s="569"/>
      <c r="H26" s="569"/>
      <c r="J26" s="344" t="str">
        <f>CONCATENATE("",H1-1," Mill Rate Was:")</f>
        <v>2024 Mill Rate Was:</v>
      </c>
      <c r="K26" s="339"/>
      <c r="L26" s="339"/>
      <c r="M26" s="346">
        <f>E31</f>
        <v>0</v>
      </c>
    </row>
    <row r="27" spans="1:13">
      <c r="A27" s="62" t="str">
        <f>IF((inputPrYr!$B33&gt;"  "),(inputPrYr!$B33),"  ")</f>
        <v xml:space="preserve">  </v>
      </c>
      <c r="B27" s="127" t="str">
        <f>IF(('No Levy Page 13'!$C$29) &lt;&gt;0,('No Levy Page 13'!$C$29),"")</f>
        <v/>
      </c>
      <c r="C27" s="569"/>
      <c r="D27" s="127" t="str">
        <f>IF(('No Levy Page 13'!$D$29) &lt;&gt;0,('No Levy Page 13'!$D$29),"")</f>
        <v/>
      </c>
      <c r="E27" s="569"/>
      <c r="F27" s="127" t="str">
        <f>IF(('No Levy Page 13'!$E$29) &lt;&gt;0,('No Levy Page 13'!$E$29),"")</f>
        <v/>
      </c>
      <c r="G27" s="569"/>
      <c r="H27" s="569"/>
      <c r="J27" s="347" t="str">
        <f>CONCATENATE("",H1," Tax Levy Fund Expenditures Must Be ")</f>
        <v xml:space="preserve">2025 Tax Levy Fund Expenditures Must Be </v>
      </c>
      <c r="K27" s="348"/>
      <c r="L27" s="348"/>
      <c r="M27" s="345"/>
    </row>
    <row r="28" spans="1:13">
      <c r="A28" s="62" t="str">
        <f>IF((inputPrYr!$B34&gt;"  "),(inputPrYr!$B34),"  ")</f>
        <v xml:space="preserve">  </v>
      </c>
      <c r="B28" s="127" t="str">
        <f>IF(('No Levy Page 13'!$C$60) &lt;&gt;0,('No Levy Page 13'!$C$60),"")</f>
        <v/>
      </c>
      <c r="C28" s="569"/>
      <c r="D28" s="127" t="str">
        <f>IF(('No Levy Page 13'!$D$60) &lt;&gt;0,('No Levy Page 13'!$D$60),"")</f>
        <v/>
      </c>
      <c r="E28" s="569"/>
      <c r="F28" s="127" t="str">
        <f>IF(('No Levy Page 13'!$E$60) &lt;&gt;0,('No Levy Page 13'!$E$60),"")</f>
        <v/>
      </c>
      <c r="G28" s="569"/>
      <c r="H28" s="569"/>
      <c r="J28" s="347" t="str">
        <f>IF(M35&lt;0,"Increased By:","")</f>
        <v/>
      </c>
      <c r="K28" s="348"/>
      <c r="L28" s="348"/>
      <c r="M28" s="367">
        <f>IF(M35&lt;0,M35*-1,0)</f>
        <v>0</v>
      </c>
    </row>
    <row r="29" spans="1:13">
      <c r="A29" s="62" t="str">
        <f>IF((inputPrYr!$B36&gt;"  "),(inputPrYr!$B36),"  ")</f>
        <v xml:space="preserve">  </v>
      </c>
      <c r="B29" s="127" t="str">
        <f>IF(('Single No Levy Page 14'!$C$49) &lt;&gt;0,('Single No Levy Page 14'!$C$49),"")</f>
        <v/>
      </c>
      <c r="C29" s="569"/>
      <c r="D29" s="127" t="str">
        <f>IF(('Single No Levy Page 14'!$D$49) &lt;&gt;0,('Single No Levy Page 14'!$D$49),"")</f>
        <v/>
      </c>
      <c r="E29" s="569"/>
      <c r="F29" s="127" t="str">
        <f>IF(('Single No Levy Page 14'!$E$49) &lt;&gt;0,('Single No Levy Page 14'!$E$49),"")</f>
        <v/>
      </c>
      <c r="G29" s="569"/>
      <c r="H29" s="569"/>
      <c r="J29" s="349" t="str">
        <f>IF(M35&gt;0,"Reduced By:","")</f>
        <v/>
      </c>
      <c r="K29" s="350"/>
      <c r="L29" s="350"/>
      <c r="M29" s="368">
        <f>IF(M35&gt;0,M35*-1,0)</f>
        <v>0</v>
      </c>
    </row>
    <row r="30" spans="1:13">
      <c r="A30" s="62" t="str">
        <f>IF((inputPrYr!$B39&gt;"  "),('Non-Budgeted Funds'!$A3),"  ")</f>
        <v xml:space="preserve">  </v>
      </c>
      <c r="B30" s="439" t="str">
        <f>IF(('Non-Budgeted Funds'!$K$28)&lt;&gt;0,('Non-Budgeted Funds'!$K$28),"  ")</f>
        <v xml:space="preserve">  </v>
      </c>
      <c r="C30" s="125"/>
      <c r="D30" s="439"/>
      <c r="E30" s="125"/>
      <c r="F30" s="439"/>
      <c r="G30" s="125"/>
      <c r="H30" s="125"/>
      <c r="J30" s="1"/>
      <c r="K30" s="1"/>
      <c r="L30" s="1"/>
      <c r="M30" s="1"/>
    </row>
    <row r="31" spans="1:13" ht="16.5" thickBot="1">
      <c r="A31" s="494" t="s">
        <v>172</v>
      </c>
      <c r="B31" s="444">
        <f>SUM(B16:B30)</f>
        <v>0</v>
      </c>
      <c r="C31" s="495">
        <f>SUM(C16:C22)</f>
        <v>0</v>
      </c>
      <c r="D31" s="444">
        <f>SUM(D16:D30)</f>
        <v>0</v>
      </c>
      <c r="E31" s="495">
        <f>SUM(E16:E22)</f>
        <v>0</v>
      </c>
      <c r="F31" s="444">
        <f>SUM(F16:F30)</f>
        <v>0</v>
      </c>
      <c r="G31" s="444">
        <f>SUM(G16:G22)</f>
        <v>0</v>
      </c>
      <c r="H31" s="495">
        <f>SUM(H16:H30)</f>
        <v>0</v>
      </c>
      <c r="J31" s="749" t="str">
        <f>CONCATENATE("Impact On Keeping The Same Mill Rate As For ",H1-1,"")</f>
        <v>Impact On Keeping The Same Mill Rate As For 2024</v>
      </c>
      <c r="K31" s="752"/>
      <c r="L31" s="752"/>
      <c r="M31" s="753"/>
    </row>
    <row r="32" spans="1:13" ht="16.5" thickTop="1">
      <c r="A32" s="754" t="s">
        <v>455</v>
      </c>
      <c r="B32" s="755"/>
      <c r="C32" s="755"/>
      <c r="D32" s="755"/>
      <c r="E32" s="755"/>
      <c r="F32" s="755"/>
      <c r="G32" s="756"/>
      <c r="H32" s="493">
        <f>inputOth!C20</f>
        <v>0</v>
      </c>
      <c r="I32" s="303"/>
      <c r="J32" s="344"/>
      <c r="K32" s="339"/>
      <c r="L32" s="339"/>
      <c r="M32" s="345"/>
    </row>
    <row r="33" spans="1:13">
      <c r="A33" s="7" t="s">
        <v>456</v>
      </c>
      <c r="B33" s="440">
        <f>Transfers!$C$15</f>
        <v>0</v>
      </c>
      <c r="C33" s="441"/>
      <c r="D33" s="440">
        <f>Transfers!$D$15</f>
        <v>0</v>
      </c>
      <c r="E33" s="442"/>
      <c r="F33" s="440">
        <f>Transfers!$E$15</f>
        <v>0</v>
      </c>
      <c r="G33" s="376"/>
      <c r="H33" s="443"/>
      <c r="J33" s="344" t="str">
        <f>CONCATENATE("",H1," Ad Valorem Tax Revenue:")</f>
        <v>2025 Ad Valorem Tax Revenue:</v>
      </c>
      <c r="K33" s="339"/>
      <c r="L33" s="339"/>
      <c r="M33" s="340">
        <f>G31</f>
        <v>0</v>
      </c>
    </row>
    <row r="34" spans="1:13" ht="16.5" thickBot="1">
      <c r="A34" s="30" t="s">
        <v>457</v>
      </c>
      <c r="B34" s="444">
        <f>B31-B33</f>
        <v>0</v>
      </c>
      <c r="C34" s="36"/>
      <c r="D34" s="444">
        <f>D31-D33</f>
        <v>0</v>
      </c>
      <c r="E34" s="36"/>
      <c r="F34" s="444">
        <f>F31-F33</f>
        <v>0</v>
      </c>
      <c r="G34" s="36"/>
      <c r="H34" s="36"/>
      <c r="J34" s="344" t="str">
        <f>CONCATENATE("",H1-1," Ad Valorem Tax Revenue:")</f>
        <v>2024 Ad Valorem Tax Revenue:</v>
      </c>
      <c r="K34" s="339"/>
      <c r="L34" s="339"/>
      <c r="M34" s="351">
        <f>ROUND(F36*M26/1000,0)</f>
        <v>0</v>
      </c>
    </row>
    <row r="35" spans="1:13" ht="16.5" thickTop="1">
      <c r="A35" s="7" t="s">
        <v>458</v>
      </c>
      <c r="B35" s="440">
        <f>inputPrYr!E58</f>
        <v>0</v>
      </c>
      <c r="C35" s="445"/>
      <c r="D35" s="440">
        <f>inputPrYr!E26</f>
        <v>0</v>
      </c>
      <c r="E35" s="446"/>
      <c r="F35" s="447" t="s">
        <v>173</v>
      </c>
      <c r="G35" s="567"/>
      <c r="H35" s="567"/>
      <c r="J35" s="349" t="s">
        <v>459</v>
      </c>
      <c r="K35" s="350"/>
      <c r="L35" s="350"/>
      <c r="M35" s="343">
        <f>M33-M34</f>
        <v>0</v>
      </c>
    </row>
    <row r="36" spans="1:13">
      <c r="A36" s="7" t="s">
        <v>294</v>
      </c>
      <c r="B36" s="127">
        <f>inputPrYr!E59</f>
        <v>0</v>
      </c>
      <c r="C36" s="147"/>
      <c r="D36" s="127">
        <f>inputOth!E34</f>
        <v>0</v>
      </c>
      <c r="E36" s="126"/>
      <c r="F36" s="127">
        <f>inputOth!E7</f>
        <v>0</v>
      </c>
      <c r="G36" s="567"/>
      <c r="H36" s="567"/>
      <c r="J36" s="1"/>
      <c r="K36" s="1"/>
      <c r="L36" s="1"/>
      <c r="M36" s="1"/>
    </row>
    <row r="37" spans="1:13">
      <c r="A37" s="7"/>
      <c r="B37" s="376"/>
      <c r="C37" s="567"/>
      <c r="D37" s="376"/>
      <c r="E37" s="567"/>
      <c r="F37" s="234"/>
      <c r="G37" s="567"/>
      <c r="H37" s="448"/>
      <c r="J37" s="749" t="s">
        <v>460</v>
      </c>
      <c r="K37" s="750"/>
      <c r="L37" s="750"/>
      <c r="M37" s="751"/>
    </row>
    <row r="38" spans="1:13">
      <c r="A38" s="7" t="s">
        <v>461</v>
      </c>
      <c r="B38" s="376"/>
      <c r="C38" s="567"/>
      <c r="D38" s="376"/>
      <c r="E38" s="567"/>
      <c r="F38" s="376"/>
      <c r="G38" s="567"/>
      <c r="H38" s="567"/>
      <c r="J38" s="491" t="s">
        <v>116</v>
      </c>
      <c r="K38" s="339"/>
      <c r="L38" s="339"/>
      <c r="M38" s="490">
        <f>H32</f>
        <v>0</v>
      </c>
    </row>
    <row r="39" spans="1:13">
      <c r="A39" s="7" t="s">
        <v>462</v>
      </c>
      <c r="B39" s="449">
        <f>$H$1-3</f>
        <v>2022</v>
      </c>
      <c r="C39" s="36"/>
      <c r="D39" s="449">
        <f>$H$1-2</f>
        <v>2023</v>
      </c>
      <c r="E39" s="36"/>
      <c r="F39" s="449">
        <f>$H$1-1</f>
        <v>2024</v>
      </c>
      <c r="G39" s="36"/>
      <c r="H39" s="36"/>
      <c r="J39" s="344" t="str">
        <f>CONCATENATE("Current ",H1," Estimated Mill Rate:")</f>
        <v>Current 2025 Estimated Mill Rate:</v>
      </c>
      <c r="K39" s="339"/>
      <c r="L39" s="339"/>
      <c r="M39" s="346">
        <f>H31</f>
        <v>0</v>
      </c>
    </row>
    <row r="40" spans="1:13">
      <c r="A40" s="7" t="s">
        <v>463</v>
      </c>
      <c r="B40" s="127">
        <f>inputPrYr!D62</f>
        <v>0</v>
      </c>
      <c r="C40" s="36"/>
      <c r="D40" s="127">
        <f>inputPrYr!E62</f>
        <v>0</v>
      </c>
      <c r="E40" s="36"/>
      <c r="F40" s="127">
        <f>Debt!G15</f>
        <v>0</v>
      </c>
      <c r="G40" s="36"/>
      <c r="H40" s="36"/>
      <c r="J40" s="344" t="str">
        <f>CONCATENATE("Desired ",H1," Mill Rate:")</f>
        <v>Desired 2025 Mill Rate:</v>
      </c>
      <c r="K40" s="339"/>
      <c r="L40" s="339"/>
      <c r="M40" s="337"/>
    </row>
    <row r="41" spans="1:13">
      <c r="A41" s="7" t="s">
        <v>464</v>
      </c>
      <c r="B41" s="127">
        <f>inputPrYr!D63</f>
        <v>0</v>
      </c>
      <c r="C41" s="36"/>
      <c r="D41" s="127">
        <f>inputPrYr!E63</f>
        <v>0</v>
      </c>
      <c r="E41" s="36"/>
      <c r="F41" s="127">
        <f>Debt!G22</f>
        <v>0</v>
      </c>
      <c r="G41" s="36"/>
      <c r="H41" s="36"/>
      <c r="J41" s="344" t="str">
        <f>CONCATENATE("",H1," Ad Valorem Tax:")</f>
        <v>2025 Ad Valorem Tax:</v>
      </c>
      <c r="K41" s="339"/>
      <c r="L41" s="339"/>
      <c r="M41" s="351">
        <f>ROUND(F36*M40/1000,0)</f>
        <v>0</v>
      </c>
    </row>
    <row r="42" spans="1:13">
      <c r="A42" s="14" t="s">
        <v>465</v>
      </c>
      <c r="B42" s="127">
        <f>inputPrYr!D64</f>
        <v>0</v>
      </c>
      <c r="C42" s="36"/>
      <c r="D42" s="127">
        <f>inputPrYr!E64</f>
        <v>0</v>
      </c>
      <c r="E42" s="36"/>
      <c r="F42" s="450">
        <f>Debt!G30</f>
        <v>0</v>
      </c>
      <c r="G42" s="36"/>
      <c r="H42" s="36"/>
      <c r="J42" s="349" t="str">
        <f>CONCATENATE("",H1," Tax Levy Fund Exp. Changed By:")</f>
        <v>2025 Tax Levy Fund Exp. Changed By:</v>
      </c>
      <c r="K42" s="350"/>
      <c r="L42" s="350"/>
      <c r="M42" s="343">
        <f>IF(M40=0,0,(M41-G31))</f>
        <v>0</v>
      </c>
    </row>
    <row r="43" spans="1:13">
      <c r="A43" s="7" t="s">
        <v>466</v>
      </c>
      <c r="B43" s="127">
        <f>inputPrYr!D65</f>
        <v>0</v>
      </c>
      <c r="C43" s="36"/>
      <c r="D43" s="127">
        <f>inputPrYr!E65</f>
        <v>0</v>
      </c>
      <c r="E43" s="36"/>
      <c r="F43" s="127">
        <f>'LP Form'!G20</f>
        <v>0</v>
      </c>
      <c r="G43" s="36"/>
      <c r="H43" s="36"/>
    </row>
    <row r="44" spans="1:13" ht="16.5" thickBot="1">
      <c r="A44" s="7" t="s">
        <v>467</v>
      </c>
      <c r="B44" s="444">
        <f>SUM(B40:B43)</f>
        <v>0</v>
      </c>
      <c r="C44" s="36"/>
      <c r="D44" s="444">
        <f>SUM(D40:D43)</f>
        <v>0</v>
      </c>
      <c r="E44" s="36"/>
      <c r="F44" s="444">
        <f>SUM(F40:F43)</f>
        <v>0</v>
      </c>
      <c r="G44" s="36"/>
      <c r="H44" s="36"/>
      <c r="J44" s="759" t="s">
        <v>468</v>
      </c>
      <c r="K44" s="760"/>
      <c r="L44" s="760"/>
      <c r="M44" s="763" t="str">
        <f>IF(H31&gt;H32, "Yes", "No")</f>
        <v>No</v>
      </c>
    </row>
    <row r="45" spans="1:13" ht="16.5" thickTop="1">
      <c r="A45" s="7" t="s">
        <v>469</v>
      </c>
      <c r="B45" s="6"/>
      <c r="C45" s="6"/>
      <c r="D45" s="6"/>
      <c r="E45" s="6"/>
      <c r="F45" s="6"/>
      <c r="G45" s="6"/>
      <c r="H45" s="6"/>
      <c r="J45" s="761"/>
      <c r="K45" s="762"/>
      <c r="L45" s="762"/>
      <c r="M45" s="764"/>
    </row>
    <row r="46" spans="1:13">
      <c r="A46" s="480" t="s">
        <v>470</v>
      </c>
      <c r="B46" s="6"/>
      <c r="C46" s="6"/>
      <c r="D46" s="6"/>
      <c r="E46" s="6"/>
      <c r="F46" s="6"/>
      <c r="G46" s="6"/>
      <c r="H46" s="6"/>
      <c r="J46" s="675" t="str">
        <f>IF(M44="Yes", "Follow procedure prescirbed by KSA 79-2988 to exceed the Revenue Neutral Rate.", " ")</f>
        <v xml:space="preserve"> </v>
      </c>
      <c r="K46" s="675"/>
      <c r="L46" s="675"/>
      <c r="M46" s="675"/>
    </row>
    <row r="47" spans="1:13">
      <c r="A47" s="6"/>
      <c r="B47" s="6"/>
      <c r="C47" s="6"/>
      <c r="D47" s="6"/>
      <c r="E47" s="6"/>
      <c r="F47" s="6"/>
      <c r="G47" s="6"/>
      <c r="H47" s="6"/>
      <c r="J47" s="676"/>
      <c r="K47" s="676"/>
      <c r="L47" s="676"/>
      <c r="M47" s="676"/>
    </row>
    <row r="48" spans="1:13">
      <c r="A48" s="765">
        <f>inputHearing!B28</f>
        <v>0</v>
      </c>
      <c r="B48" s="766"/>
      <c r="C48" s="328"/>
      <c r="D48" s="6"/>
      <c r="E48" s="6"/>
      <c r="F48" s="6"/>
      <c r="G48" s="6"/>
      <c r="H48" s="6"/>
      <c r="J48" s="676"/>
      <c r="K48" s="676"/>
      <c r="L48" s="676"/>
      <c r="M48" s="676"/>
    </row>
    <row r="49" spans="1:13">
      <c r="A49" s="39" t="str">
        <f>CONCATENATE("City Official Title: ",inputHearing!B30,"")</f>
        <v xml:space="preserve">City Official Title: </v>
      </c>
      <c r="B49" s="327"/>
      <c r="C49" s="326"/>
      <c r="D49" s="6"/>
      <c r="E49" s="6"/>
      <c r="F49" s="6"/>
      <c r="G49" s="6"/>
      <c r="H49" s="6"/>
    </row>
    <row r="50" spans="1:13">
      <c r="A50" s="565"/>
      <c r="B50" s="566"/>
      <c r="C50" s="16"/>
      <c r="D50" s="6"/>
      <c r="E50" s="6"/>
      <c r="F50" s="6"/>
      <c r="G50" s="6"/>
      <c r="H50" s="6"/>
    </row>
    <row r="51" spans="1:13" ht="15.75" customHeight="1">
      <c r="A51" s="6"/>
      <c r="B51" s="6"/>
      <c r="C51" s="6"/>
      <c r="D51" s="6"/>
      <c r="E51" s="6"/>
      <c r="F51" s="6"/>
      <c r="G51" s="6"/>
      <c r="H51" s="6"/>
    </row>
    <row r="52" spans="1:13">
      <c r="A52" s="6"/>
      <c r="B52" s="6"/>
      <c r="C52" s="564" t="s">
        <v>300</v>
      </c>
      <c r="D52" s="473"/>
      <c r="E52" s="6"/>
      <c r="F52" s="6"/>
      <c r="G52" s="6"/>
      <c r="H52" s="6"/>
    </row>
    <row r="53" spans="1:13">
      <c r="A53" s="1"/>
      <c r="B53" s="1"/>
      <c r="C53" s="1"/>
      <c r="D53" s="1"/>
      <c r="E53" s="1"/>
      <c r="F53" s="1"/>
      <c r="G53" s="1"/>
      <c r="H53" s="1"/>
      <c r="I53" s="1"/>
      <c r="J53" s="1"/>
      <c r="K53" s="1"/>
      <c r="L53" s="1"/>
      <c r="M53" s="1"/>
    </row>
    <row r="57" spans="1:13">
      <c r="K57" s="422"/>
    </row>
    <row r="93" spans="1:9">
      <c r="A93" s="1"/>
      <c r="B93" s="1"/>
      <c r="C93" s="1"/>
      <c r="D93" s="1"/>
      <c r="E93" s="1"/>
      <c r="F93" s="1"/>
      <c r="G93" s="1"/>
      <c r="H93" s="1"/>
      <c r="I93" s="1"/>
    </row>
    <row r="104" spans="1:8">
      <c r="A104" s="1"/>
      <c r="B104" s="1"/>
      <c r="C104" s="1"/>
      <c r="D104" s="1"/>
      <c r="E104" s="1"/>
      <c r="F104" s="1"/>
      <c r="G104" s="1"/>
      <c r="H104" s="1"/>
    </row>
    <row r="125" spans="1:15">
      <c r="I125" s="1"/>
      <c r="J125" s="1"/>
      <c r="K125" s="1"/>
      <c r="L125" s="1"/>
      <c r="M125" s="1"/>
      <c r="N125" s="1"/>
      <c r="O125" s="1"/>
    </row>
    <row r="126" spans="1:15">
      <c r="A126" s="1"/>
      <c r="B126" s="1"/>
      <c r="C126" s="1"/>
      <c r="D126" s="1"/>
      <c r="E126" s="1"/>
      <c r="F126" s="1"/>
      <c r="G126" s="1"/>
      <c r="H126" s="1"/>
    </row>
    <row r="169" spans="1:17">
      <c r="I169" s="1"/>
      <c r="J169" s="1"/>
      <c r="K169" s="1"/>
      <c r="L169" s="1"/>
      <c r="M169" s="1"/>
      <c r="N169" s="1"/>
      <c r="O169" s="1"/>
      <c r="P169" s="1"/>
      <c r="Q169" s="505"/>
    </row>
    <row r="170" spans="1:17">
      <c r="A170" s="1"/>
      <c r="B170" s="1"/>
      <c r="C170" s="1"/>
      <c r="D170" s="1"/>
      <c r="E170" s="1"/>
      <c r="F170" s="1"/>
      <c r="G170" s="1"/>
      <c r="H170" s="1"/>
    </row>
  </sheetData>
  <sheetProtection sheet="1" objects="1" scenarios="1"/>
  <mergeCells count="18">
    <mergeCell ref="J31:M31"/>
    <mergeCell ref="A2:H2"/>
    <mergeCell ref="A4:H4"/>
    <mergeCell ref="A5:H5"/>
    <mergeCell ref="A6:H6"/>
    <mergeCell ref="A7:H7"/>
    <mergeCell ref="A8:H8"/>
    <mergeCell ref="A9:H9"/>
    <mergeCell ref="A10:H10"/>
    <mergeCell ref="A11:H11"/>
    <mergeCell ref="J20:M20"/>
    <mergeCell ref="J24:M24"/>
    <mergeCell ref="A32:G32"/>
    <mergeCell ref="J37:M37"/>
    <mergeCell ref="J44:L45"/>
    <mergeCell ref="M44:M45"/>
    <mergeCell ref="J46:M48"/>
    <mergeCell ref="A48:B48"/>
  </mergeCells>
  <conditionalFormatting sqref="M44:M45">
    <cfRule type="containsText" dxfId="0" priority="1" operator="containsText" text="Yes">
      <formula>NOT(ISERROR(SEARCH("Yes",M44)))</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D850-471E-40C2-BFA0-5A946433EEE8}">
  <sheetPr codeName="Sheet31">
    <tabColor rgb="FF00B0F0"/>
    <pageSetUpPr fitToPage="1"/>
  </sheetPr>
  <dimension ref="A1:H29"/>
  <sheetViews>
    <sheetView workbookViewId="0">
      <selection activeCell="J31" sqref="J31"/>
    </sheetView>
  </sheetViews>
  <sheetFormatPr defaultRowHeight="15.75"/>
  <cols>
    <col min="1" max="1" width="14.109375" style="31" customWidth="1"/>
    <col min="2" max="2" width="12.77734375" style="31" customWidth="1"/>
    <col min="3" max="3" width="8.77734375" style="31" customWidth="1"/>
    <col min="4" max="4" width="7.33203125" style="31" customWidth="1"/>
    <col min="5" max="5" width="8.5546875" style="31" customWidth="1"/>
    <col min="6" max="6" width="12.77734375" style="31" customWidth="1"/>
    <col min="7" max="7" width="11.88671875" style="31" customWidth="1"/>
    <col min="8" max="8" width="14.109375" style="31" customWidth="1"/>
    <col min="9" max="252" width="8.88671875" style="31"/>
    <col min="253" max="253" width="15.77734375" style="31" customWidth="1"/>
    <col min="254" max="254" width="12.77734375" style="31" customWidth="1"/>
    <col min="255" max="255" width="8.77734375" style="31" customWidth="1"/>
    <col min="256" max="256" width="13.77734375" style="31" customWidth="1"/>
    <col min="257" max="257" width="8.77734375" style="31" customWidth="1"/>
    <col min="258" max="258" width="12.77734375" style="31" customWidth="1"/>
    <col min="259" max="259" width="10.77734375" style="31" customWidth="1"/>
    <col min="260" max="260" width="8.77734375" style="31" customWidth="1"/>
    <col min="261" max="261" width="8.88671875" style="31"/>
    <col min="262" max="262" width="12.44140625" style="31" customWidth="1"/>
    <col min="263" max="263" width="12.33203125" style="31" customWidth="1"/>
    <col min="264" max="264" width="8.88671875" style="31"/>
    <col min="265" max="265" width="12.109375" style="31" customWidth="1"/>
    <col min="266" max="508" width="8.88671875" style="31"/>
    <col min="509" max="509" width="15.77734375" style="31" customWidth="1"/>
    <col min="510" max="510" width="12.77734375" style="31" customWidth="1"/>
    <col min="511" max="511" width="8.77734375" style="31" customWidth="1"/>
    <col min="512" max="512" width="13.77734375" style="31" customWidth="1"/>
    <col min="513" max="513" width="8.77734375" style="31" customWidth="1"/>
    <col min="514" max="514" width="12.77734375" style="31" customWidth="1"/>
    <col min="515" max="515" width="10.77734375" style="31" customWidth="1"/>
    <col min="516" max="516" width="8.77734375" style="31" customWidth="1"/>
    <col min="517" max="517" width="8.88671875" style="31"/>
    <col min="518" max="518" width="12.44140625" style="31" customWidth="1"/>
    <col min="519" max="519" width="12.33203125" style="31" customWidth="1"/>
    <col min="520" max="520" width="8.88671875" style="31"/>
    <col min="521" max="521" width="12.109375" style="31" customWidth="1"/>
    <col min="522" max="764" width="8.88671875" style="31"/>
    <col min="765" max="765" width="15.77734375" style="31" customWidth="1"/>
    <col min="766" max="766" width="12.77734375" style="31" customWidth="1"/>
    <col min="767" max="767" width="8.77734375" style="31" customWidth="1"/>
    <col min="768" max="768" width="13.77734375" style="31" customWidth="1"/>
    <col min="769" max="769" width="8.77734375" style="31" customWidth="1"/>
    <col min="770" max="770" width="12.77734375" style="31" customWidth="1"/>
    <col min="771" max="771" width="10.77734375" style="31" customWidth="1"/>
    <col min="772" max="772" width="8.77734375" style="31" customWidth="1"/>
    <col min="773" max="773" width="8.88671875" style="31"/>
    <col min="774" max="774" width="12.44140625" style="31" customWidth="1"/>
    <col min="775" max="775" width="12.33203125" style="31" customWidth="1"/>
    <col min="776" max="776" width="8.88671875" style="31"/>
    <col min="777" max="777" width="12.109375" style="31" customWidth="1"/>
    <col min="778" max="1020" width="8.88671875" style="31"/>
    <col min="1021" max="1021" width="15.77734375" style="31" customWidth="1"/>
    <col min="1022" max="1022" width="12.77734375" style="31" customWidth="1"/>
    <col min="1023" max="1023" width="8.77734375" style="31" customWidth="1"/>
    <col min="1024" max="1024" width="13.77734375" style="31" customWidth="1"/>
    <col min="1025" max="1025" width="8.77734375" style="31" customWidth="1"/>
    <col min="1026" max="1026" width="12.77734375" style="31" customWidth="1"/>
    <col min="1027" max="1027" width="10.77734375" style="31" customWidth="1"/>
    <col min="1028" max="1028" width="8.77734375" style="31" customWidth="1"/>
    <col min="1029" max="1029" width="8.88671875" style="31"/>
    <col min="1030" max="1030" width="12.44140625" style="31" customWidth="1"/>
    <col min="1031" max="1031" width="12.33203125" style="31" customWidth="1"/>
    <col min="1032" max="1032" width="8.88671875" style="31"/>
    <col min="1033" max="1033" width="12.109375" style="31" customWidth="1"/>
    <col min="1034" max="1276" width="8.88671875" style="31"/>
    <col min="1277" max="1277" width="15.77734375" style="31" customWidth="1"/>
    <col min="1278" max="1278" width="12.77734375" style="31" customWidth="1"/>
    <col min="1279" max="1279" width="8.77734375" style="31" customWidth="1"/>
    <col min="1280" max="1280" width="13.77734375" style="31" customWidth="1"/>
    <col min="1281" max="1281" width="8.77734375" style="31" customWidth="1"/>
    <col min="1282" max="1282" width="12.77734375" style="31" customWidth="1"/>
    <col min="1283" max="1283" width="10.77734375" style="31" customWidth="1"/>
    <col min="1284" max="1284" width="8.77734375" style="31" customWidth="1"/>
    <col min="1285" max="1285" width="8.88671875" style="31"/>
    <col min="1286" max="1286" width="12.44140625" style="31" customWidth="1"/>
    <col min="1287" max="1287" width="12.33203125" style="31" customWidth="1"/>
    <col min="1288" max="1288" width="8.88671875" style="31"/>
    <col min="1289" max="1289" width="12.109375" style="31" customWidth="1"/>
    <col min="1290" max="1532" width="8.88671875" style="31"/>
    <col min="1533" max="1533" width="15.77734375" style="31" customWidth="1"/>
    <col min="1534" max="1534" width="12.77734375" style="31" customWidth="1"/>
    <col min="1535" max="1535" width="8.77734375" style="31" customWidth="1"/>
    <col min="1536" max="1536" width="13.77734375" style="31" customWidth="1"/>
    <col min="1537" max="1537" width="8.77734375" style="31" customWidth="1"/>
    <col min="1538" max="1538" width="12.77734375" style="31" customWidth="1"/>
    <col min="1539" max="1539" width="10.77734375" style="31" customWidth="1"/>
    <col min="1540" max="1540" width="8.77734375" style="31" customWidth="1"/>
    <col min="1541" max="1541" width="8.88671875" style="31"/>
    <col min="1542" max="1542" width="12.44140625" style="31" customWidth="1"/>
    <col min="1543" max="1543" width="12.33203125" style="31" customWidth="1"/>
    <col min="1544" max="1544" width="8.88671875" style="31"/>
    <col min="1545" max="1545" width="12.109375" style="31" customWidth="1"/>
    <col min="1546" max="1788" width="8.88671875" style="31"/>
    <col min="1789" max="1789" width="15.77734375" style="31" customWidth="1"/>
    <col min="1790" max="1790" width="12.77734375" style="31" customWidth="1"/>
    <col min="1791" max="1791" width="8.77734375" style="31" customWidth="1"/>
    <col min="1792" max="1792" width="13.77734375" style="31" customWidth="1"/>
    <col min="1793" max="1793" width="8.77734375" style="31" customWidth="1"/>
    <col min="1794" max="1794" width="12.77734375" style="31" customWidth="1"/>
    <col min="1795" max="1795" width="10.77734375" style="31" customWidth="1"/>
    <col min="1796" max="1796" width="8.77734375" style="31" customWidth="1"/>
    <col min="1797" max="1797" width="8.88671875" style="31"/>
    <col min="1798" max="1798" width="12.44140625" style="31" customWidth="1"/>
    <col min="1799" max="1799" width="12.33203125" style="31" customWidth="1"/>
    <col min="1800" max="1800" width="8.88671875" style="31"/>
    <col min="1801" max="1801" width="12.109375" style="31" customWidth="1"/>
    <col min="1802" max="2044" width="8.88671875" style="31"/>
    <col min="2045" max="2045" width="15.77734375" style="31" customWidth="1"/>
    <col min="2046" max="2046" width="12.77734375" style="31" customWidth="1"/>
    <col min="2047" max="2047" width="8.77734375" style="31" customWidth="1"/>
    <col min="2048" max="2048" width="13.77734375" style="31" customWidth="1"/>
    <col min="2049" max="2049" width="8.77734375" style="31" customWidth="1"/>
    <col min="2050" max="2050" width="12.77734375" style="31" customWidth="1"/>
    <col min="2051" max="2051" width="10.77734375" style="31" customWidth="1"/>
    <col min="2052" max="2052" width="8.77734375" style="31" customWidth="1"/>
    <col min="2053" max="2053" width="8.88671875" style="31"/>
    <col min="2054" max="2054" width="12.44140625" style="31" customWidth="1"/>
    <col min="2055" max="2055" width="12.33203125" style="31" customWidth="1"/>
    <col min="2056" max="2056" width="8.88671875" style="31"/>
    <col min="2057" max="2057" width="12.109375" style="31" customWidth="1"/>
    <col min="2058" max="2300" width="8.88671875" style="31"/>
    <col min="2301" max="2301" width="15.77734375" style="31" customWidth="1"/>
    <col min="2302" max="2302" width="12.77734375" style="31" customWidth="1"/>
    <col min="2303" max="2303" width="8.77734375" style="31" customWidth="1"/>
    <col min="2304" max="2304" width="13.77734375" style="31" customWidth="1"/>
    <col min="2305" max="2305" width="8.77734375" style="31" customWidth="1"/>
    <col min="2306" max="2306" width="12.77734375" style="31" customWidth="1"/>
    <col min="2307" max="2307" width="10.77734375" style="31" customWidth="1"/>
    <col min="2308" max="2308" width="8.77734375" style="31" customWidth="1"/>
    <col min="2309" max="2309" width="8.88671875" style="31"/>
    <col min="2310" max="2310" width="12.44140625" style="31" customWidth="1"/>
    <col min="2311" max="2311" width="12.33203125" style="31" customWidth="1"/>
    <col min="2312" max="2312" width="8.88671875" style="31"/>
    <col min="2313" max="2313" width="12.109375" style="31" customWidth="1"/>
    <col min="2314" max="2556" width="8.88671875" style="31"/>
    <col min="2557" max="2557" width="15.77734375" style="31" customWidth="1"/>
    <col min="2558" max="2558" width="12.77734375" style="31" customWidth="1"/>
    <col min="2559" max="2559" width="8.77734375" style="31" customWidth="1"/>
    <col min="2560" max="2560" width="13.77734375" style="31" customWidth="1"/>
    <col min="2561" max="2561" width="8.77734375" style="31" customWidth="1"/>
    <col min="2562" max="2562" width="12.77734375" style="31" customWidth="1"/>
    <col min="2563" max="2563" width="10.77734375" style="31" customWidth="1"/>
    <col min="2564" max="2564" width="8.77734375" style="31" customWidth="1"/>
    <col min="2565" max="2565" width="8.88671875" style="31"/>
    <col min="2566" max="2566" width="12.44140625" style="31" customWidth="1"/>
    <col min="2567" max="2567" width="12.33203125" style="31" customWidth="1"/>
    <col min="2568" max="2568" width="8.88671875" style="31"/>
    <col min="2569" max="2569" width="12.109375" style="31" customWidth="1"/>
    <col min="2570" max="2812" width="8.88671875" style="31"/>
    <col min="2813" max="2813" width="15.77734375" style="31" customWidth="1"/>
    <col min="2814" max="2814" width="12.77734375" style="31" customWidth="1"/>
    <col min="2815" max="2815" width="8.77734375" style="31" customWidth="1"/>
    <col min="2816" max="2816" width="13.77734375" style="31" customWidth="1"/>
    <col min="2817" max="2817" width="8.77734375" style="31" customWidth="1"/>
    <col min="2818" max="2818" width="12.77734375" style="31" customWidth="1"/>
    <col min="2819" max="2819" width="10.77734375" style="31" customWidth="1"/>
    <col min="2820" max="2820" width="8.77734375" style="31" customWidth="1"/>
    <col min="2821" max="2821" width="8.88671875" style="31"/>
    <col min="2822" max="2822" width="12.44140625" style="31" customWidth="1"/>
    <col min="2823" max="2823" width="12.33203125" style="31" customWidth="1"/>
    <col min="2824" max="2824" width="8.88671875" style="31"/>
    <col min="2825" max="2825" width="12.109375" style="31" customWidth="1"/>
    <col min="2826" max="3068" width="8.88671875" style="31"/>
    <col min="3069" max="3069" width="15.77734375" style="31" customWidth="1"/>
    <col min="3070" max="3070" width="12.77734375" style="31" customWidth="1"/>
    <col min="3071" max="3071" width="8.77734375" style="31" customWidth="1"/>
    <col min="3072" max="3072" width="13.77734375" style="31" customWidth="1"/>
    <col min="3073" max="3073" width="8.77734375" style="31" customWidth="1"/>
    <col min="3074" max="3074" width="12.77734375" style="31" customWidth="1"/>
    <col min="3075" max="3075" width="10.77734375" style="31" customWidth="1"/>
    <col min="3076" max="3076" width="8.77734375" style="31" customWidth="1"/>
    <col min="3077" max="3077" width="8.88671875" style="31"/>
    <col min="3078" max="3078" width="12.44140625" style="31" customWidth="1"/>
    <col min="3079" max="3079" width="12.33203125" style="31" customWidth="1"/>
    <col min="3080" max="3080" width="8.88671875" style="31"/>
    <col min="3081" max="3081" width="12.109375" style="31" customWidth="1"/>
    <col min="3082" max="3324" width="8.88671875" style="31"/>
    <col min="3325" max="3325" width="15.77734375" style="31" customWidth="1"/>
    <col min="3326" max="3326" width="12.77734375" style="31" customWidth="1"/>
    <col min="3327" max="3327" width="8.77734375" style="31" customWidth="1"/>
    <col min="3328" max="3328" width="13.77734375" style="31" customWidth="1"/>
    <col min="3329" max="3329" width="8.77734375" style="31" customWidth="1"/>
    <col min="3330" max="3330" width="12.77734375" style="31" customWidth="1"/>
    <col min="3331" max="3331" width="10.77734375" style="31" customWidth="1"/>
    <col min="3332" max="3332" width="8.77734375" style="31" customWidth="1"/>
    <col min="3333" max="3333" width="8.88671875" style="31"/>
    <col min="3334" max="3334" width="12.44140625" style="31" customWidth="1"/>
    <col min="3335" max="3335" width="12.33203125" style="31" customWidth="1"/>
    <col min="3336" max="3336" width="8.88671875" style="31"/>
    <col min="3337" max="3337" width="12.109375" style="31" customWidth="1"/>
    <col min="3338" max="3580" width="8.88671875" style="31"/>
    <col min="3581" max="3581" width="15.77734375" style="31" customWidth="1"/>
    <col min="3582" max="3582" width="12.77734375" style="31" customWidth="1"/>
    <col min="3583" max="3583" width="8.77734375" style="31" customWidth="1"/>
    <col min="3584" max="3584" width="13.77734375" style="31" customWidth="1"/>
    <col min="3585" max="3585" width="8.77734375" style="31" customWidth="1"/>
    <col min="3586" max="3586" width="12.77734375" style="31" customWidth="1"/>
    <col min="3587" max="3587" width="10.77734375" style="31" customWidth="1"/>
    <col min="3588" max="3588" width="8.77734375" style="31" customWidth="1"/>
    <col min="3589" max="3589" width="8.88671875" style="31"/>
    <col min="3590" max="3590" width="12.44140625" style="31" customWidth="1"/>
    <col min="3591" max="3591" width="12.33203125" style="31" customWidth="1"/>
    <col min="3592" max="3592" width="8.88671875" style="31"/>
    <col min="3593" max="3593" width="12.109375" style="31" customWidth="1"/>
    <col min="3594" max="3836" width="8.88671875" style="31"/>
    <col min="3837" max="3837" width="15.77734375" style="31" customWidth="1"/>
    <col min="3838" max="3838" width="12.77734375" style="31" customWidth="1"/>
    <col min="3839" max="3839" width="8.77734375" style="31" customWidth="1"/>
    <col min="3840" max="3840" width="13.77734375" style="31" customWidth="1"/>
    <col min="3841" max="3841" width="8.77734375" style="31" customWidth="1"/>
    <col min="3842" max="3842" width="12.77734375" style="31" customWidth="1"/>
    <col min="3843" max="3843" width="10.77734375" style="31" customWidth="1"/>
    <col min="3844" max="3844" width="8.77734375" style="31" customWidth="1"/>
    <col min="3845" max="3845" width="8.88671875" style="31"/>
    <col min="3846" max="3846" width="12.44140625" style="31" customWidth="1"/>
    <col min="3847" max="3847" width="12.33203125" style="31" customWidth="1"/>
    <col min="3848" max="3848" width="8.88671875" style="31"/>
    <col min="3849" max="3849" width="12.109375" style="31" customWidth="1"/>
    <col min="3850" max="4092" width="8.88671875" style="31"/>
    <col min="4093" max="4093" width="15.77734375" style="31" customWidth="1"/>
    <col min="4094" max="4094" width="12.77734375" style="31" customWidth="1"/>
    <col min="4095" max="4095" width="8.77734375" style="31" customWidth="1"/>
    <col min="4096" max="4096" width="13.77734375" style="31" customWidth="1"/>
    <col min="4097" max="4097" width="8.77734375" style="31" customWidth="1"/>
    <col min="4098" max="4098" width="12.77734375" style="31" customWidth="1"/>
    <col min="4099" max="4099" width="10.77734375" style="31" customWidth="1"/>
    <col min="4100" max="4100" width="8.77734375" style="31" customWidth="1"/>
    <col min="4101" max="4101" width="8.88671875" style="31"/>
    <col min="4102" max="4102" width="12.44140625" style="31" customWidth="1"/>
    <col min="4103" max="4103" width="12.33203125" style="31" customWidth="1"/>
    <col min="4104" max="4104" width="8.88671875" style="31"/>
    <col min="4105" max="4105" width="12.109375" style="31" customWidth="1"/>
    <col min="4106" max="4348" width="8.88671875" style="31"/>
    <col min="4349" max="4349" width="15.77734375" style="31" customWidth="1"/>
    <col min="4350" max="4350" width="12.77734375" style="31" customWidth="1"/>
    <col min="4351" max="4351" width="8.77734375" style="31" customWidth="1"/>
    <col min="4352" max="4352" width="13.77734375" style="31" customWidth="1"/>
    <col min="4353" max="4353" width="8.77734375" style="31" customWidth="1"/>
    <col min="4354" max="4354" width="12.77734375" style="31" customWidth="1"/>
    <col min="4355" max="4355" width="10.77734375" style="31" customWidth="1"/>
    <col min="4356" max="4356" width="8.77734375" style="31" customWidth="1"/>
    <col min="4357" max="4357" width="8.88671875" style="31"/>
    <col min="4358" max="4358" width="12.44140625" style="31" customWidth="1"/>
    <col min="4359" max="4359" width="12.33203125" style="31" customWidth="1"/>
    <col min="4360" max="4360" width="8.88671875" style="31"/>
    <col min="4361" max="4361" width="12.109375" style="31" customWidth="1"/>
    <col min="4362" max="4604" width="8.88671875" style="31"/>
    <col min="4605" max="4605" width="15.77734375" style="31" customWidth="1"/>
    <col min="4606" max="4606" width="12.77734375" style="31" customWidth="1"/>
    <col min="4607" max="4607" width="8.77734375" style="31" customWidth="1"/>
    <col min="4608" max="4608" width="13.77734375" style="31" customWidth="1"/>
    <col min="4609" max="4609" width="8.77734375" style="31" customWidth="1"/>
    <col min="4610" max="4610" width="12.77734375" style="31" customWidth="1"/>
    <col min="4611" max="4611" width="10.77734375" style="31" customWidth="1"/>
    <col min="4612" max="4612" width="8.77734375" style="31" customWidth="1"/>
    <col min="4613" max="4613" width="8.88671875" style="31"/>
    <col min="4614" max="4614" width="12.44140625" style="31" customWidth="1"/>
    <col min="4615" max="4615" width="12.33203125" style="31" customWidth="1"/>
    <col min="4616" max="4616" width="8.88671875" style="31"/>
    <col min="4617" max="4617" width="12.109375" style="31" customWidth="1"/>
    <col min="4618" max="4860" width="8.88671875" style="31"/>
    <col min="4861" max="4861" width="15.77734375" style="31" customWidth="1"/>
    <col min="4862" max="4862" width="12.77734375" style="31" customWidth="1"/>
    <col min="4863" max="4863" width="8.77734375" style="31" customWidth="1"/>
    <col min="4864" max="4864" width="13.77734375" style="31" customWidth="1"/>
    <col min="4865" max="4865" width="8.77734375" style="31" customWidth="1"/>
    <col min="4866" max="4866" width="12.77734375" style="31" customWidth="1"/>
    <col min="4867" max="4867" width="10.77734375" style="31" customWidth="1"/>
    <col min="4868" max="4868" width="8.77734375" style="31" customWidth="1"/>
    <col min="4869" max="4869" width="8.88671875" style="31"/>
    <col min="4870" max="4870" width="12.44140625" style="31" customWidth="1"/>
    <col min="4871" max="4871" width="12.33203125" style="31" customWidth="1"/>
    <col min="4872" max="4872" width="8.88671875" style="31"/>
    <col min="4873" max="4873" width="12.109375" style="31" customWidth="1"/>
    <col min="4874" max="5116" width="8.88671875" style="31"/>
    <col min="5117" max="5117" width="15.77734375" style="31" customWidth="1"/>
    <col min="5118" max="5118" width="12.77734375" style="31" customWidth="1"/>
    <col min="5119" max="5119" width="8.77734375" style="31" customWidth="1"/>
    <col min="5120" max="5120" width="13.77734375" style="31" customWidth="1"/>
    <col min="5121" max="5121" width="8.77734375" style="31" customWidth="1"/>
    <col min="5122" max="5122" width="12.77734375" style="31" customWidth="1"/>
    <col min="5123" max="5123" width="10.77734375" style="31" customWidth="1"/>
    <col min="5124" max="5124" width="8.77734375" style="31" customWidth="1"/>
    <col min="5125" max="5125" width="8.88671875" style="31"/>
    <col min="5126" max="5126" width="12.44140625" style="31" customWidth="1"/>
    <col min="5127" max="5127" width="12.33203125" style="31" customWidth="1"/>
    <col min="5128" max="5128" width="8.88671875" style="31"/>
    <col min="5129" max="5129" width="12.109375" style="31" customWidth="1"/>
    <col min="5130" max="5372" width="8.88671875" style="31"/>
    <col min="5373" max="5373" width="15.77734375" style="31" customWidth="1"/>
    <col min="5374" max="5374" width="12.77734375" style="31" customWidth="1"/>
    <col min="5375" max="5375" width="8.77734375" style="31" customWidth="1"/>
    <col min="5376" max="5376" width="13.77734375" style="31" customWidth="1"/>
    <col min="5377" max="5377" width="8.77734375" style="31" customWidth="1"/>
    <col min="5378" max="5378" width="12.77734375" style="31" customWidth="1"/>
    <col min="5379" max="5379" width="10.77734375" style="31" customWidth="1"/>
    <col min="5380" max="5380" width="8.77734375" style="31" customWidth="1"/>
    <col min="5381" max="5381" width="8.88671875" style="31"/>
    <col min="5382" max="5382" width="12.44140625" style="31" customWidth="1"/>
    <col min="5383" max="5383" width="12.33203125" style="31" customWidth="1"/>
    <col min="5384" max="5384" width="8.88671875" style="31"/>
    <col min="5385" max="5385" width="12.109375" style="31" customWidth="1"/>
    <col min="5386" max="5628" width="8.88671875" style="31"/>
    <col min="5629" max="5629" width="15.77734375" style="31" customWidth="1"/>
    <col min="5630" max="5630" width="12.77734375" style="31" customWidth="1"/>
    <col min="5631" max="5631" width="8.77734375" style="31" customWidth="1"/>
    <col min="5632" max="5632" width="13.77734375" style="31" customWidth="1"/>
    <col min="5633" max="5633" width="8.77734375" style="31" customWidth="1"/>
    <col min="5634" max="5634" width="12.77734375" style="31" customWidth="1"/>
    <col min="5635" max="5635" width="10.77734375" style="31" customWidth="1"/>
    <col min="5636" max="5636" width="8.77734375" style="31" customWidth="1"/>
    <col min="5637" max="5637" width="8.88671875" style="31"/>
    <col min="5638" max="5638" width="12.44140625" style="31" customWidth="1"/>
    <col min="5639" max="5639" width="12.33203125" style="31" customWidth="1"/>
    <col min="5640" max="5640" width="8.88671875" style="31"/>
    <col min="5641" max="5641" width="12.109375" style="31" customWidth="1"/>
    <col min="5642" max="5884" width="8.88671875" style="31"/>
    <col min="5885" max="5885" width="15.77734375" style="31" customWidth="1"/>
    <col min="5886" max="5886" width="12.77734375" style="31" customWidth="1"/>
    <col min="5887" max="5887" width="8.77734375" style="31" customWidth="1"/>
    <col min="5888" max="5888" width="13.77734375" style="31" customWidth="1"/>
    <col min="5889" max="5889" width="8.77734375" style="31" customWidth="1"/>
    <col min="5890" max="5890" width="12.77734375" style="31" customWidth="1"/>
    <col min="5891" max="5891" width="10.77734375" style="31" customWidth="1"/>
    <col min="5892" max="5892" width="8.77734375" style="31" customWidth="1"/>
    <col min="5893" max="5893" width="8.88671875" style="31"/>
    <col min="5894" max="5894" width="12.44140625" style="31" customWidth="1"/>
    <col min="5895" max="5895" width="12.33203125" style="31" customWidth="1"/>
    <col min="5896" max="5896" width="8.88671875" style="31"/>
    <col min="5897" max="5897" width="12.109375" style="31" customWidth="1"/>
    <col min="5898" max="6140" width="8.88671875" style="31"/>
    <col min="6141" max="6141" width="15.77734375" style="31" customWidth="1"/>
    <col min="6142" max="6142" width="12.77734375" style="31" customWidth="1"/>
    <col min="6143" max="6143" width="8.77734375" style="31" customWidth="1"/>
    <col min="6144" max="6144" width="13.77734375" style="31" customWidth="1"/>
    <col min="6145" max="6145" width="8.77734375" style="31" customWidth="1"/>
    <col min="6146" max="6146" width="12.77734375" style="31" customWidth="1"/>
    <col min="6147" max="6147" width="10.77734375" style="31" customWidth="1"/>
    <col min="6148" max="6148" width="8.77734375" style="31" customWidth="1"/>
    <col min="6149" max="6149" width="8.88671875" style="31"/>
    <col min="6150" max="6150" width="12.44140625" style="31" customWidth="1"/>
    <col min="6151" max="6151" width="12.33203125" style="31" customWidth="1"/>
    <col min="6152" max="6152" width="8.88671875" style="31"/>
    <col min="6153" max="6153" width="12.109375" style="31" customWidth="1"/>
    <col min="6154" max="6396" width="8.88671875" style="31"/>
    <col min="6397" max="6397" width="15.77734375" style="31" customWidth="1"/>
    <col min="6398" max="6398" width="12.77734375" style="31" customWidth="1"/>
    <col min="6399" max="6399" width="8.77734375" style="31" customWidth="1"/>
    <col min="6400" max="6400" width="13.77734375" style="31" customWidth="1"/>
    <col min="6401" max="6401" width="8.77734375" style="31" customWidth="1"/>
    <col min="6402" max="6402" width="12.77734375" style="31" customWidth="1"/>
    <col min="6403" max="6403" width="10.77734375" style="31" customWidth="1"/>
    <col min="6404" max="6404" width="8.77734375" style="31" customWidth="1"/>
    <col min="6405" max="6405" width="8.88671875" style="31"/>
    <col min="6406" max="6406" width="12.44140625" style="31" customWidth="1"/>
    <col min="6407" max="6407" width="12.33203125" style="31" customWidth="1"/>
    <col min="6408" max="6408" width="8.88671875" style="31"/>
    <col min="6409" max="6409" width="12.109375" style="31" customWidth="1"/>
    <col min="6410" max="6652" width="8.88671875" style="31"/>
    <col min="6653" max="6653" width="15.77734375" style="31" customWidth="1"/>
    <col min="6654" max="6654" width="12.77734375" style="31" customWidth="1"/>
    <col min="6655" max="6655" width="8.77734375" style="31" customWidth="1"/>
    <col min="6656" max="6656" width="13.77734375" style="31" customWidth="1"/>
    <col min="6657" max="6657" width="8.77734375" style="31" customWidth="1"/>
    <col min="6658" max="6658" width="12.77734375" style="31" customWidth="1"/>
    <col min="6659" max="6659" width="10.77734375" style="31" customWidth="1"/>
    <col min="6660" max="6660" width="8.77734375" style="31" customWidth="1"/>
    <col min="6661" max="6661" width="8.88671875" style="31"/>
    <col min="6662" max="6662" width="12.44140625" style="31" customWidth="1"/>
    <col min="6663" max="6663" width="12.33203125" style="31" customWidth="1"/>
    <col min="6664" max="6664" width="8.88671875" style="31"/>
    <col min="6665" max="6665" width="12.109375" style="31" customWidth="1"/>
    <col min="6666" max="6908" width="8.88671875" style="31"/>
    <col min="6909" max="6909" width="15.77734375" style="31" customWidth="1"/>
    <col min="6910" max="6910" width="12.77734375" style="31" customWidth="1"/>
    <col min="6911" max="6911" width="8.77734375" style="31" customWidth="1"/>
    <col min="6912" max="6912" width="13.77734375" style="31" customWidth="1"/>
    <col min="6913" max="6913" width="8.77734375" style="31" customWidth="1"/>
    <col min="6914" max="6914" width="12.77734375" style="31" customWidth="1"/>
    <col min="6915" max="6915" width="10.77734375" style="31" customWidth="1"/>
    <col min="6916" max="6916" width="8.77734375" style="31" customWidth="1"/>
    <col min="6917" max="6917" width="8.88671875" style="31"/>
    <col min="6918" max="6918" width="12.44140625" style="31" customWidth="1"/>
    <col min="6919" max="6919" width="12.33203125" style="31" customWidth="1"/>
    <col min="6920" max="6920" width="8.88671875" style="31"/>
    <col min="6921" max="6921" width="12.109375" style="31" customWidth="1"/>
    <col min="6922" max="7164" width="8.88671875" style="31"/>
    <col min="7165" max="7165" width="15.77734375" style="31" customWidth="1"/>
    <col min="7166" max="7166" width="12.77734375" style="31" customWidth="1"/>
    <col min="7167" max="7167" width="8.77734375" style="31" customWidth="1"/>
    <col min="7168" max="7168" width="13.77734375" style="31" customWidth="1"/>
    <col min="7169" max="7169" width="8.77734375" style="31" customWidth="1"/>
    <col min="7170" max="7170" width="12.77734375" style="31" customWidth="1"/>
    <col min="7171" max="7171" width="10.77734375" style="31" customWidth="1"/>
    <col min="7172" max="7172" width="8.77734375" style="31" customWidth="1"/>
    <col min="7173" max="7173" width="8.88671875" style="31"/>
    <col min="7174" max="7174" width="12.44140625" style="31" customWidth="1"/>
    <col min="7175" max="7175" width="12.33203125" style="31" customWidth="1"/>
    <col min="7176" max="7176" width="8.88671875" style="31"/>
    <col min="7177" max="7177" width="12.109375" style="31" customWidth="1"/>
    <col min="7178" max="7420" width="8.88671875" style="31"/>
    <col min="7421" max="7421" width="15.77734375" style="31" customWidth="1"/>
    <col min="7422" max="7422" width="12.77734375" style="31" customWidth="1"/>
    <col min="7423" max="7423" width="8.77734375" style="31" customWidth="1"/>
    <col min="7424" max="7424" width="13.77734375" style="31" customWidth="1"/>
    <col min="7425" max="7425" width="8.77734375" style="31" customWidth="1"/>
    <col min="7426" max="7426" width="12.77734375" style="31" customWidth="1"/>
    <col min="7427" max="7427" width="10.77734375" style="31" customWidth="1"/>
    <col min="7428" max="7428" width="8.77734375" style="31" customWidth="1"/>
    <col min="7429" max="7429" width="8.88671875" style="31"/>
    <col min="7430" max="7430" width="12.44140625" style="31" customWidth="1"/>
    <col min="7431" max="7431" width="12.33203125" style="31" customWidth="1"/>
    <col min="7432" max="7432" width="8.88671875" style="31"/>
    <col min="7433" max="7433" width="12.109375" style="31" customWidth="1"/>
    <col min="7434" max="7676" width="8.88671875" style="31"/>
    <col min="7677" max="7677" width="15.77734375" style="31" customWidth="1"/>
    <col min="7678" max="7678" width="12.77734375" style="31" customWidth="1"/>
    <col min="7679" max="7679" width="8.77734375" style="31" customWidth="1"/>
    <col min="7680" max="7680" width="13.77734375" style="31" customWidth="1"/>
    <col min="7681" max="7681" width="8.77734375" style="31" customWidth="1"/>
    <col min="7682" max="7682" width="12.77734375" style="31" customWidth="1"/>
    <col min="7683" max="7683" width="10.77734375" style="31" customWidth="1"/>
    <col min="7684" max="7684" width="8.77734375" style="31" customWidth="1"/>
    <col min="7685" max="7685" width="8.88671875" style="31"/>
    <col min="7686" max="7686" width="12.44140625" style="31" customWidth="1"/>
    <col min="7687" max="7687" width="12.33203125" style="31" customWidth="1"/>
    <col min="7688" max="7688" width="8.88671875" style="31"/>
    <col min="7689" max="7689" width="12.109375" style="31" customWidth="1"/>
    <col min="7690" max="7932" width="8.88671875" style="31"/>
    <col min="7933" max="7933" width="15.77734375" style="31" customWidth="1"/>
    <col min="7934" max="7934" width="12.77734375" style="31" customWidth="1"/>
    <col min="7935" max="7935" width="8.77734375" style="31" customWidth="1"/>
    <col min="7936" max="7936" width="13.77734375" style="31" customWidth="1"/>
    <col min="7937" max="7937" width="8.77734375" style="31" customWidth="1"/>
    <col min="7938" max="7938" width="12.77734375" style="31" customWidth="1"/>
    <col min="7939" max="7939" width="10.77734375" style="31" customWidth="1"/>
    <col min="7940" max="7940" width="8.77734375" style="31" customWidth="1"/>
    <col min="7941" max="7941" width="8.88671875" style="31"/>
    <col min="7942" max="7942" width="12.44140625" style="31" customWidth="1"/>
    <col min="7943" max="7943" width="12.33203125" style="31" customWidth="1"/>
    <col min="7944" max="7944" width="8.88671875" style="31"/>
    <col min="7945" max="7945" width="12.109375" style="31" customWidth="1"/>
    <col min="7946" max="8188" width="8.88671875" style="31"/>
    <col min="8189" max="8189" width="15.77734375" style="31" customWidth="1"/>
    <col min="8190" max="8190" width="12.77734375" style="31" customWidth="1"/>
    <col min="8191" max="8191" width="8.77734375" style="31" customWidth="1"/>
    <col min="8192" max="8192" width="13.77734375" style="31" customWidth="1"/>
    <col min="8193" max="8193" width="8.77734375" style="31" customWidth="1"/>
    <col min="8194" max="8194" width="12.77734375" style="31" customWidth="1"/>
    <col min="8195" max="8195" width="10.77734375" style="31" customWidth="1"/>
    <col min="8196" max="8196" width="8.77734375" style="31" customWidth="1"/>
    <col min="8197" max="8197" width="8.88671875" style="31"/>
    <col min="8198" max="8198" width="12.44140625" style="31" customWidth="1"/>
    <col min="8199" max="8199" width="12.33203125" style="31" customWidth="1"/>
    <col min="8200" max="8200" width="8.88671875" style="31"/>
    <col min="8201" max="8201" width="12.109375" style="31" customWidth="1"/>
    <col min="8202" max="8444" width="8.88671875" style="31"/>
    <col min="8445" max="8445" width="15.77734375" style="31" customWidth="1"/>
    <col min="8446" max="8446" width="12.77734375" style="31" customWidth="1"/>
    <col min="8447" max="8447" width="8.77734375" style="31" customWidth="1"/>
    <col min="8448" max="8448" width="13.77734375" style="31" customWidth="1"/>
    <col min="8449" max="8449" width="8.77734375" style="31" customWidth="1"/>
    <col min="8450" max="8450" width="12.77734375" style="31" customWidth="1"/>
    <col min="8451" max="8451" width="10.77734375" style="31" customWidth="1"/>
    <col min="8452" max="8452" width="8.77734375" style="31" customWidth="1"/>
    <col min="8453" max="8453" width="8.88671875" style="31"/>
    <col min="8454" max="8454" width="12.44140625" style="31" customWidth="1"/>
    <col min="8455" max="8455" width="12.33203125" style="31" customWidth="1"/>
    <col min="8456" max="8456" width="8.88671875" style="31"/>
    <col min="8457" max="8457" width="12.109375" style="31" customWidth="1"/>
    <col min="8458" max="8700" width="8.88671875" style="31"/>
    <col min="8701" max="8701" width="15.77734375" style="31" customWidth="1"/>
    <col min="8702" max="8702" width="12.77734375" style="31" customWidth="1"/>
    <col min="8703" max="8703" width="8.77734375" style="31" customWidth="1"/>
    <col min="8704" max="8704" width="13.77734375" style="31" customWidth="1"/>
    <col min="8705" max="8705" width="8.77734375" style="31" customWidth="1"/>
    <col min="8706" max="8706" width="12.77734375" style="31" customWidth="1"/>
    <col min="8707" max="8707" width="10.77734375" style="31" customWidth="1"/>
    <col min="8708" max="8708" width="8.77734375" style="31" customWidth="1"/>
    <col min="8709" max="8709" width="8.88671875" style="31"/>
    <col min="8710" max="8710" width="12.44140625" style="31" customWidth="1"/>
    <col min="8711" max="8711" width="12.33203125" style="31" customWidth="1"/>
    <col min="8712" max="8712" width="8.88671875" style="31"/>
    <col min="8713" max="8713" width="12.109375" style="31" customWidth="1"/>
    <col min="8714" max="8956" width="8.88671875" style="31"/>
    <col min="8957" max="8957" width="15.77734375" style="31" customWidth="1"/>
    <col min="8958" max="8958" width="12.77734375" style="31" customWidth="1"/>
    <col min="8959" max="8959" width="8.77734375" style="31" customWidth="1"/>
    <col min="8960" max="8960" width="13.77734375" style="31" customWidth="1"/>
    <col min="8961" max="8961" width="8.77734375" style="31" customWidth="1"/>
    <col min="8962" max="8962" width="12.77734375" style="31" customWidth="1"/>
    <col min="8963" max="8963" width="10.77734375" style="31" customWidth="1"/>
    <col min="8964" max="8964" width="8.77734375" style="31" customWidth="1"/>
    <col min="8965" max="8965" width="8.88671875" style="31"/>
    <col min="8966" max="8966" width="12.44140625" style="31" customWidth="1"/>
    <col min="8967" max="8967" width="12.33203125" style="31" customWidth="1"/>
    <col min="8968" max="8968" width="8.88671875" style="31"/>
    <col min="8969" max="8969" width="12.109375" style="31" customWidth="1"/>
    <col min="8970" max="9212" width="8.88671875" style="31"/>
    <col min="9213" max="9213" width="15.77734375" style="31" customWidth="1"/>
    <col min="9214" max="9214" width="12.77734375" style="31" customWidth="1"/>
    <col min="9215" max="9215" width="8.77734375" style="31" customWidth="1"/>
    <col min="9216" max="9216" width="13.77734375" style="31" customWidth="1"/>
    <col min="9217" max="9217" width="8.77734375" style="31" customWidth="1"/>
    <col min="9218" max="9218" width="12.77734375" style="31" customWidth="1"/>
    <col min="9219" max="9219" width="10.77734375" style="31" customWidth="1"/>
    <col min="9220" max="9220" width="8.77734375" style="31" customWidth="1"/>
    <col min="9221" max="9221" width="8.88671875" style="31"/>
    <col min="9222" max="9222" width="12.44140625" style="31" customWidth="1"/>
    <col min="9223" max="9223" width="12.33203125" style="31" customWidth="1"/>
    <col min="9224" max="9224" width="8.88671875" style="31"/>
    <col min="9225" max="9225" width="12.109375" style="31" customWidth="1"/>
    <col min="9226" max="9468" width="8.88671875" style="31"/>
    <col min="9469" max="9469" width="15.77734375" style="31" customWidth="1"/>
    <col min="9470" max="9470" width="12.77734375" style="31" customWidth="1"/>
    <col min="9471" max="9471" width="8.77734375" style="31" customWidth="1"/>
    <col min="9472" max="9472" width="13.77734375" style="31" customWidth="1"/>
    <col min="9473" max="9473" width="8.77734375" style="31" customWidth="1"/>
    <col min="9474" max="9474" width="12.77734375" style="31" customWidth="1"/>
    <col min="9475" max="9475" width="10.77734375" style="31" customWidth="1"/>
    <col min="9476" max="9476" width="8.77734375" style="31" customWidth="1"/>
    <col min="9477" max="9477" width="8.88671875" style="31"/>
    <col min="9478" max="9478" width="12.44140625" style="31" customWidth="1"/>
    <col min="9479" max="9479" width="12.33203125" style="31" customWidth="1"/>
    <col min="9480" max="9480" width="8.88671875" style="31"/>
    <col min="9481" max="9481" width="12.109375" style="31" customWidth="1"/>
    <col min="9482" max="9724" width="8.88671875" style="31"/>
    <col min="9725" max="9725" width="15.77734375" style="31" customWidth="1"/>
    <col min="9726" max="9726" width="12.77734375" style="31" customWidth="1"/>
    <col min="9727" max="9727" width="8.77734375" style="31" customWidth="1"/>
    <col min="9728" max="9728" width="13.77734375" style="31" customWidth="1"/>
    <col min="9729" max="9729" width="8.77734375" style="31" customWidth="1"/>
    <col min="9730" max="9730" width="12.77734375" style="31" customWidth="1"/>
    <col min="9731" max="9731" width="10.77734375" style="31" customWidth="1"/>
    <col min="9732" max="9732" width="8.77734375" style="31" customWidth="1"/>
    <col min="9733" max="9733" width="8.88671875" style="31"/>
    <col min="9734" max="9734" width="12.44140625" style="31" customWidth="1"/>
    <col min="9735" max="9735" width="12.33203125" style="31" customWidth="1"/>
    <col min="9736" max="9736" width="8.88671875" style="31"/>
    <col min="9737" max="9737" width="12.109375" style="31" customWidth="1"/>
    <col min="9738" max="9980" width="8.88671875" style="31"/>
    <col min="9981" max="9981" width="15.77734375" style="31" customWidth="1"/>
    <col min="9982" max="9982" width="12.77734375" style="31" customWidth="1"/>
    <col min="9983" max="9983" width="8.77734375" style="31" customWidth="1"/>
    <col min="9984" max="9984" width="13.77734375" style="31" customWidth="1"/>
    <col min="9985" max="9985" width="8.77734375" style="31" customWidth="1"/>
    <col min="9986" max="9986" width="12.77734375" style="31" customWidth="1"/>
    <col min="9987" max="9987" width="10.77734375" style="31" customWidth="1"/>
    <col min="9988" max="9988" width="8.77734375" style="31" customWidth="1"/>
    <col min="9989" max="9989" width="8.88671875" style="31"/>
    <col min="9990" max="9990" width="12.44140625" style="31" customWidth="1"/>
    <col min="9991" max="9991" width="12.33203125" style="31" customWidth="1"/>
    <col min="9992" max="9992" width="8.88671875" style="31"/>
    <col min="9993" max="9993" width="12.109375" style="31" customWidth="1"/>
    <col min="9994" max="10236" width="8.88671875" style="31"/>
    <col min="10237" max="10237" width="15.77734375" style="31" customWidth="1"/>
    <col min="10238" max="10238" width="12.77734375" style="31" customWidth="1"/>
    <col min="10239" max="10239" width="8.77734375" style="31" customWidth="1"/>
    <col min="10240" max="10240" width="13.77734375" style="31" customWidth="1"/>
    <col min="10241" max="10241" width="8.77734375" style="31" customWidth="1"/>
    <col min="10242" max="10242" width="12.77734375" style="31" customWidth="1"/>
    <col min="10243" max="10243" width="10.77734375" style="31" customWidth="1"/>
    <col min="10244" max="10244" width="8.77734375" style="31" customWidth="1"/>
    <col min="10245" max="10245" width="8.88671875" style="31"/>
    <col min="10246" max="10246" width="12.44140625" style="31" customWidth="1"/>
    <col min="10247" max="10247" width="12.33203125" style="31" customWidth="1"/>
    <col min="10248" max="10248" width="8.88671875" style="31"/>
    <col min="10249" max="10249" width="12.109375" style="31" customWidth="1"/>
    <col min="10250" max="10492" width="8.88671875" style="31"/>
    <col min="10493" max="10493" width="15.77734375" style="31" customWidth="1"/>
    <col min="10494" max="10494" width="12.77734375" style="31" customWidth="1"/>
    <col min="10495" max="10495" width="8.77734375" style="31" customWidth="1"/>
    <col min="10496" max="10496" width="13.77734375" style="31" customWidth="1"/>
    <col min="10497" max="10497" width="8.77734375" style="31" customWidth="1"/>
    <col min="10498" max="10498" width="12.77734375" style="31" customWidth="1"/>
    <col min="10499" max="10499" width="10.77734375" style="31" customWidth="1"/>
    <col min="10500" max="10500" width="8.77734375" style="31" customWidth="1"/>
    <col min="10501" max="10501" width="8.88671875" style="31"/>
    <col min="10502" max="10502" width="12.44140625" style="31" customWidth="1"/>
    <col min="10503" max="10503" width="12.33203125" style="31" customWidth="1"/>
    <col min="10504" max="10504" width="8.88671875" style="31"/>
    <col min="10505" max="10505" width="12.109375" style="31" customWidth="1"/>
    <col min="10506" max="10748" width="8.88671875" style="31"/>
    <col min="10749" max="10749" width="15.77734375" style="31" customWidth="1"/>
    <col min="10750" max="10750" width="12.77734375" style="31" customWidth="1"/>
    <col min="10751" max="10751" width="8.77734375" style="31" customWidth="1"/>
    <col min="10752" max="10752" width="13.77734375" style="31" customWidth="1"/>
    <col min="10753" max="10753" width="8.77734375" style="31" customWidth="1"/>
    <col min="10754" max="10754" width="12.77734375" style="31" customWidth="1"/>
    <col min="10755" max="10755" width="10.77734375" style="31" customWidth="1"/>
    <col min="10756" max="10756" width="8.77734375" style="31" customWidth="1"/>
    <col min="10757" max="10757" width="8.88671875" style="31"/>
    <col min="10758" max="10758" width="12.44140625" style="31" customWidth="1"/>
    <col min="10759" max="10759" width="12.33203125" style="31" customWidth="1"/>
    <col min="10760" max="10760" width="8.88671875" style="31"/>
    <col min="10761" max="10761" width="12.109375" style="31" customWidth="1"/>
    <col min="10762" max="11004" width="8.88671875" style="31"/>
    <col min="11005" max="11005" width="15.77734375" style="31" customWidth="1"/>
    <col min="11006" max="11006" width="12.77734375" style="31" customWidth="1"/>
    <col min="11007" max="11007" width="8.77734375" style="31" customWidth="1"/>
    <col min="11008" max="11008" width="13.77734375" style="31" customWidth="1"/>
    <col min="11009" max="11009" width="8.77734375" style="31" customWidth="1"/>
    <col min="11010" max="11010" width="12.77734375" style="31" customWidth="1"/>
    <col min="11011" max="11011" width="10.77734375" style="31" customWidth="1"/>
    <col min="11012" max="11012" width="8.77734375" style="31" customWidth="1"/>
    <col min="11013" max="11013" width="8.88671875" style="31"/>
    <col min="11014" max="11014" width="12.44140625" style="31" customWidth="1"/>
    <col min="11015" max="11015" width="12.33203125" style="31" customWidth="1"/>
    <col min="11016" max="11016" width="8.88671875" style="31"/>
    <col min="11017" max="11017" width="12.109375" style="31" customWidth="1"/>
    <col min="11018" max="11260" width="8.88671875" style="31"/>
    <col min="11261" max="11261" width="15.77734375" style="31" customWidth="1"/>
    <col min="11262" max="11262" width="12.77734375" style="31" customWidth="1"/>
    <col min="11263" max="11263" width="8.77734375" style="31" customWidth="1"/>
    <col min="11264" max="11264" width="13.77734375" style="31" customWidth="1"/>
    <col min="11265" max="11265" width="8.77734375" style="31" customWidth="1"/>
    <col min="11266" max="11266" width="12.77734375" style="31" customWidth="1"/>
    <col min="11267" max="11267" width="10.77734375" style="31" customWidth="1"/>
    <col min="11268" max="11268" width="8.77734375" style="31" customWidth="1"/>
    <col min="11269" max="11269" width="8.88671875" style="31"/>
    <col min="11270" max="11270" width="12.44140625" style="31" customWidth="1"/>
    <col min="11271" max="11271" width="12.33203125" style="31" customWidth="1"/>
    <col min="11272" max="11272" width="8.88671875" style="31"/>
    <col min="11273" max="11273" width="12.109375" style="31" customWidth="1"/>
    <col min="11274" max="11516" width="8.88671875" style="31"/>
    <col min="11517" max="11517" width="15.77734375" style="31" customWidth="1"/>
    <col min="11518" max="11518" width="12.77734375" style="31" customWidth="1"/>
    <col min="11519" max="11519" width="8.77734375" style="31" customWidth="1"/>
    <col min="11520" max="11520" width="13.77734375" style="31" customWidth="1"/>
    <col min="11521" max="11521" width="8.77734375" style="31" customWidth="1"/>
    <col min="11522" max="11522" width="12.77734375" style="31" customWidth="1"/>
    <col min="11523" max="11523" width="10.77734375" style="31" customWidth="1"/>
    <col min="11524" max="11524" width="8.77734375" style="31" customWidth="1"/>
    <col min="11525" max="11525" width="8.88671875" style="31"/>
    <col min="11526" max="11526" width="12.44140625" style="31" customWidth="1"/>
    <col min="11527" max="11527" width="12.33203125" style="31" customWidth="1"/>
    <col min="11528" max="11528" width="8.88671875" style="31"/>
    <col min="11529" max="11529" width="12.109375" style="31" customWidth="1"/>
    <col min="11530" max="11772" width="8.88671875" style="31"/>
    <col min="11773" max="11773" width="15.77734375" style="31" customWidth="1"/>
    <col min="11774" max="11774" width="12.77734375" style="31" customWidth="1"/>
    <col min="11775" max="11775" width="8.77734375" style="31" customWidth="1"/>
    <col min="11776" max="11776" width="13.77734375" style="31" customWidth="1"/>
    <col min="11777" max="11777" width="8.77734375" style="31" customWidth="1"/>
    <col min="11778" max="11778" width="12.77734375" style="31" customWidth="1"/>
    <col min="11779" max="11779" width="10.77734375" style="31" customWidth="1"/>
    <col min="11780" max="11780" width="8.77734375" style="31" customWidth="1"/>
    <col min="11781" max="11781" width="8.88671875" style="31"/>
    <col min="11782" max="11782" width="12.44140625" style="31" customWidth="1"/>
    <col min="11783" max="11783" width="12.33203125" style="31" customWidth="1"/>
    <col min="11784" max="11784" width="8.88671875" style="31"/>
    <col min="11785" max="11785" width="12.109375" style="31" customWidth="1"/>
    <col min="11786" max="12028" width="8.88671875" style="31"/>
    <col min="12029" max="12029" width="15.77734375" style="31" customWidth="1"/>
    <col min="12030" max="12030" width="12.77734375" style="31" customWidth="1"/>
    <col min="12031" max="12031" width="8.77734375" style="31" customWidth="1"/>
    <col min="12032" max="12032" width="13.77734375" style="31" customWidth="1"/>
    <col min="12033" max="12033" width="8.77734375" style="31" customWidth="1"/>
    <col min="12034" max="12034" width="12.77734375" style="31" customWidth="1"/>
    <col min="12035" max="12035" width="10.77734375" style="31" customWidth="1"/>
    <col min="12036" max="12036" width="8.77734375" style="31" customWidth="1"/>
    <col min="12037" max="12037" width="8.88671875" style="31"/>
    <col min="12038" max="12038" width="12.44140625" style="31" customWidth="1"/>
    <col min="12039" max="12039" width="12.33203125" style="31" customWidth="1"/>
    <col min="12040" max="12040" width="8.88671875" style="31"/>
    <col min="12041" max="12041" width="12.109375" style="31" customWidth="1"/>
    <col min="12042" max="12284" width="8.88671875" style="31"/>
    <col min="12285" max="12285" width="15.77734375" style="31" customWidth="1"/>
    <col min="12286" max="12286" width="12.77734375" style="31" customWidth="1"/>
    <col min="12287" max="12287" width="8.77734375" style="31" customWidth="1"/>
    <col min="12288" max="12288" width="13.77734375" style="31" customWidth="1"/>
    <col min="12289" max="12289" width="8.77734375" style="31" customWidth="1"/>
    <col min="12290" max="12290" width="12.77734375" style="31" customWidth="1"/>
    <col min="12291" max="12291" width="10.77734375" style="31" customWidth="1"/>
    <col min="12292" max="12292" width="8.77734375" style="31" customWidth="1"/>
    <col min="12293" max="12293" width="8.88671875" style="31"/>
    <col min="12294" max="12294" width="12.44140625" style="31" customWidth="1"/>
    <col min="12295" max="12295" width="12.33203125" style="31" customWidth="1"/>
    <col min="12296" max="12296" width="8.88671875" style="31"/>
    <col min="12297" max="12297" width="12.109375" style="31" customWidth="1"/>
    <col min="12298" max="12540" width="8.88671875" style="31"/>
    <col min="12541" max="12541" width="15.77734375" style="31" customWidth="1"/>
    <col min="12542" max="12542" width="12.77734375" style="31" customWidth="1"/>
    <col min="12543" max="12543" width="8.77734375" style="31" customWidth="1"/>
    <col min="12544" max="12544" width="13.77734375" style="31" customWidth="1"/>
    <col min="12545" max="12545" width="8.77734375" style="31" customWidth="1"/>
    <col min="12546" max="12546" width="12.77734375" style="31" customWidth="1"/>
    <col min="12547" max="12547" width="10.77734375" style="31" customWidth="1"/>
    <col min="12548" max="12548" width="8.77734375" style="31" customWidth="1"/>
    <col min="12549" max="12549" width="8.88671875" style="31"/>
    <col min="12550" max="12550" width="12.44140625" style="31" customWidth="1"/>
    <col min="12551" max="12551" width="12.33203125" style="31" customWidth="1"/>
    <col min="12552" max="12552" width="8.88671875" style="31"/>
    <col min="12553" max="12553" width="12.109375" style="31" customWidth="1"/>
    <col min="12554" max="12796" width="8.88671875" style="31"/>
    <col min="12797" max="12797" width="15.77734375" style="31" customWidth="1"/>
    <col min="12798" max="12798" width="12.77734375" style="31" customWidth="1"/>
    <col min="12799" max="12799" width="8.77734375" style="31" customWidth="1"/>
    <col min="12800" max="12800" width="13.77734375" style="31" customWidth="1"/>
    <col min="12801" max="12801" width="8.77734375" style="31" customWidth="1"/>
    <col min="12802" max="12802" width="12.77734375" style="31" customWidth="1"/>
    <col min="12803" max="12803" width="10.77734375" style="31" customWidth="1"/>
    <col min="12804" max="12804" width="8.77734375" style="31" customWidth="1"/>
    <col min="12805" max="12805" width="8.88671875" style="31"/>
    <col min="12806" max="12806" width="12.44140625" style="31" customWidth="1"/>
    <col min="12807" max="12807" width="12.33203125" style="31" customWidth="1"/>
    <col min="12808" max="12808" width="8.88671875" style="31"/>
    <col min="12809" max="12809" width="12.109375" style="31" customWidth="1"/>
    <col min="12810" max="13052" width="8.88671875" style="31"/>
    <col min="13053" max="13053" width="15.77734375" style="31" customWidth="1"/>
    <col min="13054" max="13054" width="12.77734375" style="31" customWidth="1"/>
    <col min="13055" max="13055" width="8.77734375" style="31" customWidth="1"/>
    <col min="13056" max="13056" width="13.77734375" style="31" customWidth="1"/>
    <col min="13057" max="13057" width="8.77734375" style="31" customWidth="1"/>
    <col min="13058" max="13058" width="12.77734375" style="31" customWidth="1"/>
    <col min="13059" max="13059" width="10.77734375" style="31" customWidth="1"/>
    <col min="13060" max="13060" width="8.77734375" style="31" customWidth="1"/>
    <col min="13061" max="13061" width="8.88671875" style="31"/>
    <col min="13062" max="13062" width="12.44140625" style="31" customWidth="1"/>
    <col min="13063" max="13063" width="12.33203125" style="31" customWidth="1"/>
    <col min="13064" max="13064" width="8.88671875" style="31"/>
    <col min="13065" max="13065" width="12.109375" style="31" customWidth="1"/>
    <col min="13066" max="13308" width="8.88671875" style="31"/>
    <col min="13309" max="13309" width="15.77734375" style="31" customWidth="1"/>
    <col min="13310" max="13310" width="12.77734375" style="31" customWidth="1"/>
    <col min="13311" max="13311" width="8.77734375" style="31" customWidth="1"/>
    <col min="13312" max="13312" width="13.77734375" style="31" customWidth="1"/>
    <col min="13313" max="13313" width="8.77734375" style="31" customWidth="1"/>
    <col min="13314" max="13314" width="12.77734375" style="31" customWidth="1"/>
    <col min="13315" max="13315" width="10.77734375" style="31" customWidth="1"/>
    <col min="13316" max="13316" width="8.77734375" style="31" customWidth="1"/>
    <col min="13317" max="13317" width="8.88671875" style="31"/>
    <col min="13318" max="13318" width="12.44140625" style="31" customWidth="1"/>
    <col min="13319" max="13319" width="12.33203125" style="31" customWidth="1"/>
    <col min="13320" max="13320" width="8.88671875" style="31"/>
    <col min="13321" max="13321" width="12.109375" style="31" customWidth="1"/>
    <col min="13322" max="13564" width="8.88671875" style="31"/>
    <col min="13565" max="13565" width="15.77734375" style="31" customWidth="1"/>
    <col min="13566" max="13566" width="12.77734375" style="31" customWidth="1"/>
    <col min="13567" max="13567" width="8.77734375" style="31" customWidth="1"/>
    <col min="13568" max="13568" width="13.77734375" style="31" customWidth="1"/>
    <col min="13569" max="13569" width="8.77734375" style="31" customWidth="1"/>
    <col min="13570" max="13570" width="12.77734375" style="31" customWidth="1"/>
    <col min="13571" max="13571" width="10.77734375" style="31" customWidth="1"/>
    <col min="13572" max="13572" width="8.77734375" style="31" customWidth="1"/>
    <col min="13573" max="13573" width="8.88671875" style="31"/>
    <col min="13574" max="13574" width="12.44140625" style="31" customWidth="1"/>
    <col min="13575" max="13575" width="12.33203125" style="31" customWidth="1"/>
    <col min="13576" max="13576" width="8.88671875" style="31"/>
    <col min="13577" max="13577" width="12.109375" style="31" customWidth="1"/>
    <col min="13578" max="13820" width="8.88671875" style="31"/>
    <col min="13821" max="13821" width="15.77734375" style="31" customWidth="1"/>
    <col min="13822" max="13822" width="12.77734375" style="31" customWidth="1"/>
    <col min="13823" max="13823" width="8.77734375" style="31" customWidth="1"/>
    <col min="13824" max="13824" width="13.77734375" style="31" customWidth="1"/>
    <col min="13825" max="13825" width="8.77734375" style="31" customWidth="1"/>
    <col min="13826" max="13826" width="12.77734375" style="31" customWidth="1"/>
    <col min="13827" max="13827" width="10.77734375" style="31" customWidth="1"/>
    <col min="13828" max="13828" width="8.77734375" style="31" customWidth="1"/>
    <col min="13829" max="13829" width="8.88671875" style="31"/>
    <col min="13830" max="13830" width="12.44140625" style="31" customWidth="1"/>
    <col min="13831" max="13831" width="12.33203125" style="31" customWidth="1"/>
    <col min="13832" max="13832" width="8.88671875" style="31"/>
    <col min="13833" max="13833" width="12.109375" style="31" customWidth="1"/>
    <col min="13834" max="14076" width="8.88671875" style="31"/>
    <col min="14077" max="14077" width="15.77734375" style="31" customWidth="1"/>
    <col min="14078" max="14078" width="12.77734375" style="31" customWidth="1"/>
    <col min="14079" max="14079" width="8.77734375" style="31" customWidth="1"/>
    <col min="14080" max="14080" width="13.77734375" style="31" customWidth="1"/>
    <col min="14081" max="14081" width="8.77734375" style="31" customWidth="1"/>
    <col min="14082" max="14082" width="12.77734375" style="31" customWidth="1"/>
    <col min="14083" max="14083" width="10.77734375" style="31" customWidth="1"/>
    <col min="14084" max="14084" width="8.77734375" style="31" customWidth="1"/>
    <col min="14085" max="14085" width="8.88671875" style="31"/>
    <col min="14086" max="14086" width="12.44140625" style="31" customWidth="1"/>
    <col min="14087" max="14087" width="12.33203125" style="31" customWidth="1"/>
    <col min="14088" max="14088" width="8.88671875" style="31"/>
    <col min="14089" max="14089" width="12.109375" style="31" customWidth="1"/>
    <col min="14090" max="14332" width="8.88671875" style="31"/>
    <col min="14333" max="14333" width="15.77734375" style="31" customWidth="1"/>
    <col min="14334" max="14334" width="12.77734375" style="31" customWidth="1"/>
    <col min="14335" max="14335" width="8.77734375" style="31" customWidth="1"/>
    <col min="14336" max="14336" width="13.77734375" style="31" customWidth="1"/>
    <col min="14337" max="14337" width="8.77734375" style="31" customWidth="1"/>
    <col min="14338" max="14338" width="12.77734375" style="31" customWidth="1"/>
    <col min="14339" max="14339" width="10.77734375" style="31" customWidth="1"/>
    <col min="14340" max="14340" width="8.77734375" style="31" customWidth="1"/>
    <col min="14341" max="14341" width="8.88671875" style="31"/>
    <col min="14342" max="14342" width="12.44140625" style="31" customWidth="1"/>
    <col min="14343" max="14343" width="12.33203125" style="31" customWidth="1"/>
    <col min="14344" max="14344" width="8.88671875" style="31"/>
    <col min="14345" max="14345" width="12.109375" style="31" customWidth="1"/>
    <col min="14346" max="14588" width="8.88671875" style="31"/>
    <col min="14589" max="14589" width="15.77734375" style="31" customWidth="1"/>
    <col min="14590" max="14590" width="12.77734375" style="31" customWidth="1"/>
    <col min="14591" max="14591" width="8.77734375" style="31" customWidth="1"/>
    <col min="14592" max="14592" width="13.77734375" style="31" customWidth="1"/>
    <col min="14593" max="14593" width="8.77734375" style="31" customWidth="1"/>
    <col min="14594" max="14594" width="12.77734375" style="31" customWidth="1"/>
    <col min="14595" max="14595" width="10.77734375" style="31" customWidth="1"/>
    <col min="14596" max="14596" width="8.77734375" style="31" customWidth="1"/>
    <col min="14597" max="14597" width="8.88671875" style="31"/>
    <col min="14598" max="14598" width="12.44140625" style="31" customWidth="1"/>
    <col min="14599" max="14599" width="12.33203125" style="31" customWidth="1"/>
    <col min="14600" max="14600" width="8.88671875" style="31"/>
    <col min="14601" max="14601" width="12.109375" style="31" customWidth="1"/>
    <col min="14602" max="14844" width="8.88671875" style="31"/>
    <col min="14845" max="14845" width="15.77734375" style="31" customWidth="1"/>
    <col min="14846" max="14846" width="12.77734375" style="31" customWidth="1"/>
    <col min="14847" max="14847" width="8.77734375" style="31" customWidth="1"/>
    <col min="14848" max="14848" width="13.77734375" style="31" customWidth="1"/>
    <col min="14849" max="14849" width="8.77734375" style="31" customWidth="1"/>
    <col min="14850" max="14850" width="12.77734375" style="31" customWidth="1"/>
    <col min="14851" max="14851" width="10.77734375" style="31" customWidth="1"/>
    <col min="14852" max="14852" width="8.77734375" style="31" customWidth="1"/>
    <col min="14853" max="14853" width="8.88671875" style="31"/>
    <col min="14854" max="14854" width="12.44140625" style="31" customWidth="1"/>
    <col min="14855" max="14855" width="12.33203125" style="31" customWidth="1"/>
    <col min="14856" max="14856" width="8.88671875" style="31"/>
    <col min="14857" max="14857" width="12.109375" style="31" customWidth="1"/>
    <col min="14858" max="15100" width="8.88671875" style="31"/>
    <col min="15101" max="15101" width="15.77734375" style="31" customWidth="1"/>
    <col min="15102" max="15102" width="12.77734375" style="31" customWidth="1"/>
    <col min="15103" max="15103" width="8.77734375" style="31" customWidth="1"/>
    <col min="15104" max="15104" width="13.77734375" style="31" customWidth="1"/>
    <col min="15105" max="15105" width="8.77734375" style="31" customWidth="1"/>
    <col min="15106" max="15106" width="12.77734375" style="31" customWidth="1"/>
    <col min="15107" max="15107" width="10.77734375" style="31" customWidth="1"/>
    <col min="15108" max="15108" width="8.77734375" style="31" customWidth="1"/>
    <col min="15109" max="15109" width="8.88671875" style="31"/>
    <col min="15110" max="15110" width="12.44140625" style="31" customWidth="1"/>
    <col min="15111" max="15111" width="12.33203125" style="31" customWidth="1"/>
    <col min="15112" max="15112" width="8.88671875" style="31"/>
    <col min="15113" max="15113" width="12.109375" style="31" customWidth="1"/>
    <col min="15114" max="15356" width="8.88671875" style="31"/>
    <col min="15357" max="15357" width="15.77734375" style="31" customWidth="1"/>
    <col min="15358" max="15358" width="12.77734375" style="31" customWidth="1"/>
    <col min="15359" max="15359" width="8.77734375" style="31" customWidth="1"/>
    <col min="15360" max="15360" width="13.77734375" style="31" customWidth="1"/>
    <col min="15361" max="15361" width="8.77734375" style="31" customWidth="1"/>
    <col min="15362" max="15362" width="12.77734375" style="31" customWidth="1"/>
    <col min="15363" max="15363" width="10.77734375" style="31" customWidth="1"/>
    <col min="15364" max="15364" width="8.77734375" style="31" customWidth="1"/>
    <col min="15365" max="15365" width="8.88671875" style="31"/>
    <col min="15366" max="15366" width="12.44140625" style="31" customWidth="1"/>
    <col min="15367" max="15367" width="12.33203125" style="31" customWidth="1"/>
    <col min="15368" max="15368" width="8.88671875" style="31"/>
    <col min="15369" max="15369" width="12.109375" style="31" customWidth="1"/>
    <col min="15370" max="15612" width="8.88671875" style="31"/>
    <col min="15613" max="15613" width="15.77734375" style="31" customWidth="1"/>
    <col min="15614" max="15614" width="12.77734375" style="31" customWidth="1"/>
    <col min="15615" max="15615" width="8.77734375" style="31" customWidth="1"/>
    <col min="15616" max="15616" width="13.77734375" style="31" customWidth="1"/>
    <col min="15617" max="15617" width="8.77734375" style="31" customWidth="1"/>
    <col min="15618" max="15618" width="12.77734375" style="31" customWidth="1"/>
    <col min="15619" max="15619" width="10.77734375" style="31" customWidth="1"/>
    <col min="15620" max="15620" width="8.77734375" style="31" customWidth="1"/>
    <col min="15621" max="15621" width="8.88671875" style="31"/>
    <col min="15622" max="15622" width="12.44140625" style="31" customWidth="1"/>
    <col min="15623" max="15623" width="12.33203125" style="31" customWidth="1"/>
    <col min="15624" max="15624" width="8.88671875" style="31"/>
    <col min="15625" max="15625" width="12.109375" style="31" customWidth="1"/>
    <col min="15626" max="15868" width="8.88671875" style="31"/>
    <col min="15869" max="15869" width="15.77734375" style="31" customWidth="1"/>
    <col min="15870" max="15870" width="12.77734375" style="31" customWidth="1"/>
    <col min="15871" max="15871" width="8.77734375" style="31" customWidth="1"/>
    <col min="15872" max="15872" width="13.77734375" style="31" customWidth="1"/>
    <col min="15873" max="15873" width="8.77734375" style="31" customWidth="1"/>
    <col min="15874" max="15874" width="12.77734375" style="31" customWidth="1"/>
    <col min="15875" max="15875" width="10.77734375" style="31" customWidth="1"/>
    <col min="15876" max="15876" width="8.77734375" style="31" customWidth="1"/>
    <col min="15877" max="15877" width="8.88671875" style="31"/>
    <col min="15878" max="15878" width="12.44140625" style="31" customWidth="1"/>
    <col min="15879" max="15879" width="12.33203125" style="31" customWidth="1"/>
    <col min="15880" max="15880" width="8.88671875" style="31"/>
    <col min="15881" max="15881" width="12.109375" style="31" customWidth="1"/>
    <col min="15882" max="16124" width="8.88671875" style="31"/>
    <col min="16125" max="16125" width="15.77734375" style="31" customWidth="1"/>
    <col min="16126" max="16126" width="12.77734375" style="31" customWidth="1"/>
    <col min="16127" max="16127" width="8.77734375" style="31" customWidth="1"/>
    <col min="16128" max="16128" width="13.77734375" style="31" customWidth="1"/>
    <col min="16129" max="16129" width="8.77734375" style="31" customWidth="1"/>
    <col min="16130" max="16130" width="12.77734375" style="31" customWidth="1"/>
    <col min="16131" max="16131" width="10.77734375" style="31" customWidth="1"/>
    <col min="16132" max="16132" width="8.77734375" style="31" customWidth="1"/>
    <col min="16133" max="16133" width="8.88671875" style="31"/>
    <col min="16134" max="16134" width="12.44140625" style="31" customWidth="1"/>
    <col min="16135" max="16135" width="12.33203125" style="31" customWidth="1"/>
    <col min="16136" max="16136" width="8.88671875" style="31"/>
    <col min="16137" max="16137" width="12.109375" style="31" customWidth="1"/>
    <col min="16138" max="16384" width="8.88671875" style="31"/>
  </cols>
  <sheetData>
    <row r="1" spans="1:8">
      <c r="A1" s="36"/>
      <c r="B1" s="36"/>
      <c r="C1" s="36"/>
      <c r="D1" s="36"/>
      <c r="E1" s="36"/>
      <c r="F1" s="36"/>
      <c r="G1" s="36"/>
      <c r="H1" s="68">
        <f>inputPrYr!C6</f>
        <v>2025</v>
      </c>
    </row>
    <row r="2" spans="1:8">
      <c r="A2" s="662" t="s">
        <v>478</v>
      </c>
      <c r="B2" s="683"/>
      <c r="C2" s="683"/>
      <c r="D2" s="683"/>
      <c r="E2" s="683"/>
      <c r="F2" s="683"/>
      <c r="G2" s="683"/>
      <c r="H2" s="683"/>
    </row>
    <row r="3" spans="1:8">
      <c r="A3" s="36"/>
      <c r="B3" s="36"/>
      <c r="C3" s="36"/>
      <c r="D3" s="36"/>
      <c r="E3" s="36"/>
      <c r="F3" s="36"/>
      <c r="G3" s="36"/>
      <c r="H3" s="36"/>
    </row>
    <row r="4" spans="1:8">
      <c r="A4" s="770" t="s">
        <v>446</v>
      </c>
      <c r="B4" s="770"/>
      <c r="C4" s="770"/>
      <c r="D4" s="770"/>
      <c r="E4" s="770"/>
      <c r="F4" s="770"/>
      <c r="G4" s="770"/>
      <c r="H4" s="770"/>
    </row>
    <row r="5" spans="1:8">
      <c r="A5" s="589">
        <f>inputPrYr!D3</f>
        <v>0</v>
      </c>
      <c r="B5" s="771"/>
      <c r="C5" s="771"/>
      <c r="D5" s="771"/>
      <c r="E5" s="771"/>
      <c r="F5" s="771"/>
      <c r="G5" s="771"/>
      <c r="H5" s="771"/>
    </row>
    <row r="6" spans="1:8">
      <c r="A6" s="770" t="str">
        <f>CONCATENATE("will meet on ",inputHearing!B42," at ",inputHearing!B44," at ",inputHearing!B46," for the purpose of hearing and")</f>
        <v>will meet on  at  at  for the purpose of hearing and</v>
      </c>
      <c r="B6" s="770"/>
      <c r="C6" s="770"/>
      <c r="D6" s="770"/>
      <c r="E6" s="770"/>
      <c r="F6" s="770"/>
      <c r="G6" s="770"/>
      <c r="H6" s="770"/>
    </row>
    <row r="7" spans="1:8" ht="14.25" customHeight="1">
      <c r="A7" s="770" t="s">
        <v>479</v>
      </c>
      <c r="B7" s="770"/>
      <c r="C7" s="770"/>
      <c r="D7" s="770"/>
      <c r="E7" s="770"/>
      <c r="F7" s="770"/>
      <c r="G7" s="770"/>
      <c r="H7" s="770"/>
    </row>
    <row r="8" spans="1:8" ht="11.25" customHeight="1">
      <c r="A8" s="36"/>
      <c r="B8" s="36"/>
      <c r="C8" s="36"/>
      <c r="D8" s="36"/>
      <c r="E8" s="36"/>
      <c r="F8" s="36"/>
      <c r="G8" s="36"/>
      <c r="H8" s="36"/>
    </row>
    <row r="9" spans="1:8" ht="15" customHeight="1">
      <c r="A9" s="771" t="s">
        <v>480</v>
      </c>
      <c r="B9" s="771"/>
      <c r="C9" s="771"/>
      <c r="D9" s="771"/>
      <c r="E9" s="771"/>
      <c r="F9" s="771"/>
      <c r="G9" s="771"/>
      <c r="H9" s="771"/>
    </row>
    <row r="10" spans="1:8" ht="12" customHeight="1">
      <c r="A10" s="643">
        <f>inputPrYr!D4</f>
        <v>0</v>
      </c>
      <c r="B10" s="770"/>
      <c r="C10" s="770"/>
      <c r="D10" s="770"/>
      <c r="E10" s="770"/>
      <c r="F10" s="770"/>
      <c r="G10" s="770"/>
      <c r="H10" s="770"/>
    </row>
    <row r="11" spans="1:8">
      <c r="A11" s="43"/>
      <c r="B11" s="42"/>
      <c r="C11" s="42"/>
      <c r="D11" s="42"/>
      <c r="E11" s="42"/>
      <c r="F11" s="42"/>
      <c r="G11" s="42"/>
      <c r="H11" s="42"/>
    </row>
    <row r="12" spans="1:8">
      <c r="A12" s="43"/>
      <c r="B12" s="768" t="s">
        <v>481</v>
      </c>
      <c r="C12" s="768"/>
      <c r="D12" s="506">
        <f>inputOth!C20</f>
        <v>0</v>
      </c>
      <c r="E12" s="768" t="s">
        <v>482</v>
      </c>
      <c r="F12" s="768"/>
      <c r="G12" s="438">
        <f>'Budget Hearing Notice'!H31</f>
        <v>0</v>
      </c>
      <c r="H12" s="42"/>
    </row>
    <row r="13" spans="1:8">
      <c r="A13" s="36"/>
      <c r="B13" s="239"/>
      <c r="C13" s="239"/>
      <c r="D13" s="239"/>
      <c r="E13" s="239"/>
      <c r="F13" s="239"/>
      <c r="G13" s="239"/>
      <c r="H13" s="239"/>
    </row>
    <row r="14" spans="1:8">
      <c r="A14" s="36"/>
      <c r="B14" s="769" t="s">
        <v>483</v>
      </c>
      <c r="C14" s="769"/>
      <c r="D14" s="769"/>
      <c r="E14" s="769"/>
      <c r="F14" s="769"/>
      <c r="G14" s="36"/>
      <c r="H14" s="68"/>
    </row>
    <row r="15" spans="1:8">
      <c r="A15" s="36"/>
      <c r="B15" s="769" t="s">
        <v>484</v>
      </c>
      <c r="C15" s="769"/>
      <c r="D15" s="769"/>
      <c r="E15" s="769"/>
      <c r="F15" s="769"/>
      <c r="G15" s="36"/>
      <c r="H15" s="68"/>
    </row>
    <row r="16" spans="1:8">
      <c r="A16" s="36"/>
      <c r="B16" s="570"/>
      <c r="C16" s="570"/>
      <c r="D16" s="570"/>
      <c r="E16" s="570"/>
      <c r="F16" s="570"/>
      <c r="G16" s="36"/>
      <c r="H16" s="68"/>
    </row>
    <row r="17" spans="1:8">
      <c r="A17" s="36"/>
      <c r="B17" s="570"/>
      <c r="C17" s="570"/>
      <c r="D17" s="570" t="s">
        <v>300</v>
      </c>
      <c r="E17" s="473"/>
      <c r="F17" s="570"/>
      <c r="G17" s="36"/>
      <c r="H17" s="68"/>
    </row>
    <row r="19" spans="1:8">
      <c r="A19" s="37"/>
      <c r="B19" s="37"/>
      <c r="C19" s="37"/>
      <c r="D19" s="37"/>
      <c r="E19" s="37"/>
      <c r="F19" s="37"/>
      <c r="G19" s="37"/>
      <c r="H19" s="37"/>
    </row>
    <row r="21" spans="1:8">
      <c r="A21" s="37"/>
      <c r="B21" s="37"/>
      <c r="C21" s="37"/>
      <c r="D21" s="37"/>
      <c r="E21" s="37"/>
      <c r="F21" s="37"/>
      <c r="G21" s="37"/>
      <c r="H21" s="37"/>
    </row>
    <row r="22" spans="1:8">
      <c r="A22" s="37"/>
      <c r="B22" s="37"/>
      <c r="C22" s="37"/>
      <c r="D22" s="37"/>
      <c r="E22" s="37"/>
      <c r="F22" s="37"/>
      <c r="G22" s="37"/>
      <c r="H22" s="37"/>
    </row>
    <row r="23" spans="1:8">
      <c r="A23" s="37"/>
      <c r="B23" s="37"/>
      <c r="C23" s="37"/>
      <c r="D23" s="37"/>
      <c r="E23" s="37"/>
      <c r="F23" s="37"/>
      <c r="G23" s="37"/>
      <c r="H23" s="37"/>
    </row>
    <row r="24" spans="1:8">
      <c r="A24" s="37"/>
      <c r="B24" s="37"/>
      <c r="C24" s="37"/>
      <c r="D24" s="37"/>
      <c r="E24" s="37"/>
      <c r="F24" s="37"/>
      <c r="G24" s="37"/>
      <c r="H24" s="37"/>
    </row>
    <row r="25" spans="1:8">
      <c r="A25" s="37"/>
      <c r="B25" s="37"/>
      <c r="C25" s="37"/>
      <c r="D25" s="37"/>
      <c r="E25" s="37"/>
      <c r="F25" s="37"/>
      <c r="G25" s="37"/>
      <c r="H25" s="37"/>
    </row>
    <row r="26" spans="1:8">
      <c r="A26" s="37"/>
      <c r="B26" s="37"/>
      <c r="C26" s="37"/>
      <c r="D26" s="37"/>
      <c r="E26" s="37"/>
      <c r="F26" s="37"/>
      <c r="G26" s="37"/>
      <c r="H26" s="37"/>
    </row>
    <row r="27" spans="1:8">
      <c r="A27" s="37"/>
      <c r="B27" s="37"/>
      <c r="C27" s="37"/>
      <c r="D27" s="37"/>
      <c r="E27" s="37"/>
      <c r="F27" s="37"/>
      <c r="G27" s="37"/>
      <c r="H27" s="37"/>
    </row>
    <row r="28" spans="1:8">
      <c r="A28" s="37"/>
      <c r="B28" s="37"/>
      <c r="C28" s="37"/>
      <c r="D28" s="37"/>
      <c r="E28" s="37"/>
      <c r="F28" s="37"/>
      <c r="G28" s="37"/>
      <c r="H28" s="37"/>
    </row>
    <row r="29" spans="1:8">
      <c r="A29" s="37"/>
      <c r="B29" s="37"/>
      <c r="C29" s="37"/>
      <c r="D29" s="37"/>
      <c r="E29" s="37"/>
      <c r="F29" s="37"/>
      <c r="G29" s="37"/>
      <c r="H29" s="37"/>
    </row>
  </sheetData>
  <sheetProtection sheet="1" objects="1" scenarios="1"/>
  <mergeCells count="11">
    <mergeCell ref="A2:H2"/>
    <mergeCell ref="A4:H4"/>
    <mergeCell ref="A5:H5"/>
    <mergeCell ref="A6:H6"/>
    <mergeCell ref="A9:H9"/>
    <mergeCell ref="B12:C12"/>
    <mergeCell ref="E12:F12"/>
    <mergeCell ref="B14:F14"/>
    <mergeCell ref="B15:F15"/>
    <mergeCell ref="A7:H7"/>
    <mergeCell ref="A10:H10"/>
  </mergeCells>
  <pageMargins left="1" right="1" top="0.5" bottom="0.5" header="0.5" footer="0.5"/>
  <pageSetup scale="6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F32"/>
  <sheetViews>
    <sheetView workbookViewId="0">
      <selection activeCell="C7" sqref="C7"/>
    </sheetView>
  </sheetViews>
  <sheetFormatPr defaultRowHeight="15"/>
  <cols>
    <col min="1" max="1" width="12.6640625" customWidth="1"/>
    <col min="2" max="2" width="18.109375" customWidth="1"/>
    <col min="3" max="5" width="11.77734375" customWidth="1"/>
  </cols>
  <sheetData>
    <row r="1" spans="1:6" ht="15.75">
      <c r="A1" s="24">
        <f>inputPrYr!D3</f>
        <v>0</v>
      </c>
      <c r="B1" s="3"/>
      <c r="C1" s="3"/>
      <c r="D1" s="3"/>
      <c r="E1" s="3"/>
      <c r="F1" s="3">
        <f>inputPrYr!C6</f>
        <v>2025</v>
      </c>
    </row>
    <row r="2" spans="1:6" ht="15.75">
      <c r="A2" s="24"/>
      <c r="B2" s="3"/>
      <c r="C2" s="3"/>
      <c r="D2" s="3"/>
      <c r="E2" s="3"/>
      <c r="F2" s="3"/>
    </row>
    <row r="3" spans="1:6" ht="15.75">
      <c r="A3" s="3"/>
      <c r="B3" s="3"/>
      <c r="C3" s="3"/>
      <c r="D3" s="3"/>
      <c r="E3" s="3"/>
      <c r="F3" s="3"/>
    </row>
    <row r="4" spans="1:6" ht="15.75">
      <c r="A4" s="6"/>
      <c r="B4" s="772" t="str">
        <f>CONCATENATE("",F1," Neighborhood Revitalization Rebate")</f>
        <v>2025 Neighborhood Revitalization Rebate</v>
      </c>
      <c r="C4" s="799"/>
      <c r="D4" s="799"/>
      <c r="E4" s="799"/>
      <c r="F4" s="3"/>
    </row>
    <row r="5" spans="1:6" ht="15.75">
      <c r="A5" s="6"/>
      <c r="B5" s="6"/>
      <c r="C5" s="6"/>
      <c r="D5" s="6"/>
      <c r="E5" s="6"/>
      <c r="F5" s="3"/>
    </row>
    <row r="6" spans="1:6" ht="51.75" customHeight="1">
      <c r="A6" s="6"/>
      <c r="B6" s="256" t="str">
        <f>CONCATENATE("Budgeted Funds                      for ",F1,"")</f>
        <v>Budgeted Funds                      for 2025</v>
      </c>
      <c r="C6" s="256" t="str">
        <f>CONCATENATE("",F1-1," Ad Valorem before Rebate**")</f>
        <v>2024 Ad Valorem before Rebate**</v>
      </c>
      <c r="D6" s="257" t="str">
        <f>CONCATENATE("",F1-1," Mil Rate before Rebate")</f>
        <v>2024 Mil Rate before Rebate</v>
      </c>
      <c r="E6" s="258" t="str">
        <f>CONCATENATE("Estimate ",F1," NR Rebate")</f>
        <v>Estimate 2025 NR Rebate</v>
      </c>
      <c r="F6" s="3"/>
    </row>
    <row r="7" spans="1:6" ht="15.75">
      <c r="A7" s="6"/>
      <c r="B7" s="4" t="s">
        <v>90</v>
      </c>
      <c r="C7" s="29"/>
      <c r="D7" s="21" t="str">
        <f t="shared" ref="D7:D12" si="0">IF(C7&gt;0,C7/$D$19,"")</f>
        <v/>
      </c>
      <c r="E7" s="18">
        <f t="shared" ref="E7:E13" si="1">IF(C7&gt;0,ROUND(D7*$D$23,0),0)</f>
        <v>0</v>
      </c>
      <c r="F7" s="3"/>
    </row>
    <row r="8" spans="1:6" ht="15.75">
      <c r="A8" s="6"/>
      <c r="B8" s="4" t="str">
        <f>inputPrYr!B19</f>
        <v>Debt Service</v>
      </c>
      <c r="C8" s="29"/>
      <c r="D8" s="21" t="str">
        <f t="shared" si="0"/>
        <v/>
      </c>
      <c r="E8" s="18">
        <f t="shared" si="1"/>
        <v>0</v>
      </c>
      <c r="F8" s="3"/>
    </row>
    <row r="9" spans="1:6" ht="15.75">
      <c r="A9" s="6"/>
      <c r="B9" s="5" t="str">
        <f>IF((inputPrYr!$B20&gt;"  "),(inputPrYr!$B20),"  ")</f>
        <v>Library</v>
      </c>
      <c r="C9" s="29"/>
      <c r="D9" s="21" t="str">
        <f t="shared" si="0"/>
        <v/>
      </c>
      <c r="E9" s="18">
        <f t="shared" si="1"/>
        <v>0</v>
      </c>
      <c r="F9" s="3"/>
    </row>
    <row r="10" spans="1:6" ht="15.75">
      <c r="A10" s="6"/>
      <c r="B10" s="5" t="str">
        <f>IF((inputPrYr!$B22&gt;"  "),(inputPrYr!$B22),"  ")</f>
        <v xml:space="preserve">  </v>
      </c>
      <c r="C10" s="29"/>
      <c r="D10" s="21" t="str">
        <f t="shared" si="0"/>
        <v/>
      </c>
      <c r="E10" s="18">
        <f t="shared" si="1"/>
        <v>0</v>
      </c>
      <c r="F10" s="3"/>
    </row>
    <row r="11" spans="1:6" ht="15.75">
      <c r="A11" s="6"/>
      <c r="B11" s="5" t="str">
        <f>IF((inputPrYr!$B23&gt;"  "),(inputPrYr!$B23),"  ")</f>
        <v xml:space="preserve">  </v>
      </c>
      <c r="C11" s="29"/>
      <c r="D11" s="21" t="str">
        <f t="shared" si="0"/>
        <v/>
      </c>
      <c r="E11" s="18">
        <f t="shared" si="1"/>
        <v>0</v>
      </c>
      <c r="F11" s="3"/>
    </row>
    <row r="12" spans="1:6" ht="15.75">
      <c r="A12" s="6"/>
      <c r="B12" s="5" t="str">
        <f>IF((inputPrYr!$B24&gt;"  "),(inputPrYr!$B24),"  ")</f>
        <v xml:space="preserve">  </v>
      </c>
      <c r="C12" s="29"/>
      <c r="D12" s="21" t="str">
        <f t="shared" si="0"/>
        <v/>
      </c>
      <c r="E12" s="18">
        <f t="shared" si="1"/>
        <v>0</v>
      </c>
      <c r="F12" s="3"/>
    </row>
    <row r="13" spans="1:6" ht="15.75">
      <c r="A13" s="6"/>
      <c r="B13" s="5" t="str">
        <f>IF((inputPrYr!$B25&gt;"  "),(inputPrYr!$B25),"  ")</f>
        <v xml:space="preserve">  </v>
      </c>
      <c r="C13" s="270"/>
      <c r="D13" s="21" t="str">
        <f>IF(C13&gt;0,C13/$D$19,"")</f>
        <v/>
      </c>
      <c r="E13" s="18">
        <f t="shared" si="1"/>
        <v>0</v>
      </c>
      <c r="F13" s="3"/>
    </row>
    <row r="14" spans="1:6" ht="16.5" thickBot="1">
      <c r="A14" s="6"/>
      <c r="B14" s="10" t="s">
        <v>196</v>
      </c>
      <c r="C14" s="19">
        <f>SUM(C7:C13)</f>
        <v>0</v>
      </c>
      <c r="D14" s="22">
        <f>SUM(D7:D13)</f>
        <v>0</v>
      </c>
      <c r="E14" s="19">
        <f>SUM(E7:E13)</f>
        <v>0</v>
      </c>
      <c r="F14" s="3"/>
    </row>
    <row r="15" spans="1:6" ht="16.5" thickTop="1">
      <c r="A15" s="6"/>
      <c r="B15" s="6"/>
      <c r="C15" s="6"/>
      <c r="D15" s="6"/>
      <c r="E15" s="6"/>
      <c r="F15" s="3"/>
    </row>
    <row r="16" spans="1:6" ht="15.75">
      <c r="A16" s="6"/>
      <c r="B16" s="6"/>
      <c r="C16" s="6"/>
      <c r="D16" s="6"/>
      <c r="E16" s="6"/>
      <c r="F16" s="3"/>
    </row>
    <row r="17" spans="1:6" ht="15.75">
      <c r="A17" s="773" t="str">
        <f>CONCATENATE("",F1-1," July 1 Valuation:")</f>
        <v>2024 July 1 Valuation:</v>
      </c>
      <c r="B17" s="774"/>
      <c r="C17" s="773"/>
      <c r="D17" s="20">
        <f>inputOth!E7</f>
        <v>0</v>
      </c>
      <c r="E17" s="6"/>
      <c r="F17" s="3"/>
    </row>
    <row r="18" spans="1:6" ht="15.75">
      <c r="A18" s="6"/>
      <c r="B18" s="6"/>
      <c r="C18" s="6"/>
      <c r="D18" s="6"/>
      <c r="E18" s="6"/>
      <c r="F18" s="3"/>
    </row>
    <row r="19" spans="1:6" ht="15.75">
      <c r="A19" s="6"/>
      <c r="B19" s="773" t="s">
        <v>485</v>
      </c>
      <c r="C19" s="773"/>
      <c r="D19" s="25" t="str">
        <f>IF(D17&gt;0,(D17*0.001),"")</f>
        <v/>
      </c>
      <c r="E19" s="6"/>
      <c r="F19" s="3"/>
    </row>
    <row r="20" spans="1:6" ht="15.75">
      <c r="A20" s="6"/>
      <c r="B20" s="572"/>
      <c r="C20" s="572"/>
      <c r="D20" s="26"/>
      <c r="E20" s="6"/>
      <c r="F20" s="3"/>
    </row>
    <row r="21" spans="1:6" ht="15.75">
      <c r="A21" s="773" t="s">
        <v>486</v>
      </c>
      <c r="B21" s="799"/>
      <c r="C21" s="799"/>
      <c r="D21" s="20">
        <f>inputOth!E18</f>
        <v>0</v>
      </c>
      <c r="E21" s="16"/>
      <c r="F21" s="16"/>
    </row>
    <row r="22" spans="1:6">
      <c r="A22" s="16"/>
      <c r="B22" s="16"/>
      <c r="C22" s="16"/>
      <c r="D22" s="27"/>
      <c r="E22" s="16"/>
      <c r="F22" s="16"/>
    </row>
    <row r="23" spans="1:6" ht="15.75">
      <c r="A23" s="16"/>
      <c r="B23" s="773" t="s">
        <v>487</v>
      </c>
      <c r="C23" s="774"/>
      <c r="D23" s="28" t="str">
        <f>IF(D21&gt;0,(D21*0.001),"")</f>
        <v/>
      </c>
      <c r="E23" s="16"/>
      <c r="F23" s="16"/>
    </row>
    <row r="24" spans="1:6">
      <c r="A24" s="16"/>
      <c r="B24" s="16"/>
      <c r="C24" s="16"/>
      <c r="D24" s="16"/>
      <c r="E24" s="16"/>
      <c r="F24" s="16"/>
    </row>
    <row r="25" spans="1:6">
      <c r="A25" s="16"/>
      <c r="B25" s="16"/>
      <c r="C25" s="16"/>
      <c r="D25" s="16"/>
      <c r="E25" s="16"/>
      <c r="F25" s="16"/>
    </row>
    <row r="26" spans="1:6" ht="15.75">
      <c r="A26" s="6" t="str">
        <f>CONCATENATE("**This information comes from the ",F1," Budget Summary page.  See instructions tab #12 for completing")</f>
        <v>**This information comes from the 2025 Budget Summary page.  See instructions tab #12 for completing</v>
      </c>
      <c r="B26" s="16"/>
      <c r="C26" s="16"/>
      <c r="D26" s="16"/>
      <c r="E26" s="16"/>
      <c r="F26" s="16"/>
    </row>
    <row r="27" spans="1:6" ht="15.75">
      <c r="A27" s="6" t="s">
        <v>488</v>
      </c>
      <c r="B27" s="16"/>
      <c r="C27" s="16"/>
      <c r="D27" s="16"/>
      <c r="E27" s="16"/>
      <c r="F27" s="16"/>
    </row>
    <row r="28" spans="1:6" ht="15.75">
      <c r="A28" s="6"/>
      <c r="B28" s="16"/>
      <c r="C28" s="16"/>
      <c r="D28" s="16"/>
      <c r="E28" s="16"/>
      <c r="F28" s="16"/>
    </row>
    <row r="29" spans="1:6" ht="15.75">
      <c r="A29" s="6"/>
      <c r="B29" s="16"/>
      <c r="C29" s="16"/>
      <c r="D29" s="16"/>
      <c r="E29" s="16"/>
      <c r="F29" s="16"/>
    </row>
    <row r="30" spans="1:6">
      <c r="A30" s="16"/>
      <c r="B30" s="16"/>
      <c r="C30" s="16"/>
      <c r="D30" s="16"/>
      <c r="E30" s="16"/>
      <c r="F30" s="27"/>
    </row>
    <row r="31" spans="1:6">
      <c r="A31" s="16"/>
      <c r="B31" s="16"/>
      <c r="C31" s="16"/>
      <c r="D31" s="16"/>
      <c r="E31" s="16"/>
      <c r="F31" s="16"/>
    </row>
    <row r="32" spans="1:6" ht="15.75">
      <c r="A32" s="16"/>
      <c r="B32" s="572" t="s">
        <v>384</v>
      </c>
      <c r="C32" s="475"/>
      <c r="D32" s="16"/>
      <c r="E32" s="16"/>
      <c r="F32" s="16"/>
    </row>
  </sheetData>
  <sheetProtection sheet="1" objects="1" scenarios="1"/>
  <mergeCells count="5">
    <mergeCell ref="B4:E4"/>
    <mergeCell ref="B23:C23"/>
    <mergeCell ref="A17:C17"/>
    <mergeCell ref="B19:C19"/>
    <mergeCell ref="A21:C21"/>
  </mergeCells>
  <phoneticPr fontId="9" type="noConversion"/>
  <pageMargins left="0.5" right="0.5" top="0.5" bottom="0.5" header="0" footer="0.5"/>
  <pageSetup scale="95"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93DC-0EC2-4989-A5E7-558FA036162B}">
  <sheetPr codeName="Sheet32"/>
  <dimension ref="A1:H14"/>
  <sheetViews>
    <sheetView workbookViewId="0">
      <selection sqref="A1:H1"/>
    </sheetView>
  </sheetViews>
  <sheetFormatPr defaultRowHeight="15"/>
  <sheetData>
    <row r="1" spans="1:8" ht="15.75">
      <c r="A1" s="775" t="s">
        <v>489</v>
      </c>
      <c r="B1" s="775"/>
      <c r="C1" s="775"/>
      <c r="D1" s="775"/>
      <c r="E1" s="775"/>
      <c r="F1" s="775"/>
      <c r="G1" s="775"/>
      <c r="H1" s="775"/>
    </row>
    <row r="2" spans="1:8" ht="15.75">
      <c r="A2" s="1"/>
      <c r="B2" s="1"/>
      <c r="C2" s="1"/>
      <c r="D2" s="1"/>
      <c r="E2" s="1"/>
      <c r="F2" s="1"/>
      <c r="G2" s="1"/>
      <c r="H2" s="1"/>
    </row>
    <row r="3" spans="1:8" ht="54" customHeight="1">
      <c r="A3" s="776" t="s">
        <v>490</v>
      </c>
      <c r="B3" s="776"/>
      <c r="C3" s="776"/>
      <c r="D3" s="776"/>
      <c r="E3" s="776"/>
      <c r="F3" s="776"/>
      <c r="G3" s="776"/>
      <c r="H3" s="776"/>
    </row>
    <row r="4" spans="1:8" ht="15.75">
      <c r="A4" s="1"/>
      <c r="B4" s="1"/>
      <c r="C4" s="1"/>
      <c r="D4" s="1"/>
      <c r="E4" s="1"/>
      <c r="F4" s="1"/>
      <c r="G4" s="1"/>
      <c r="H4" s="1"/>
    </row>
    <row r="5" spans="1:8" ht="52.5" customHeight="1">
      <c r="A5" s="507"/>
      <c r="B5" s="777" t="s">
        <v>491</v>
      </c>
      <c r="C5" s="777"/>
      <c r="D5" s="777"/>
      <c r="E5" s="777"/>
      <c r="F5" s="777"/>
      <c r="G5" s="777"/>
      <c r="H5" s="777"/>
    </row>
    <row r="6" spans="1:8" ht="15.75">
      <c r="A6" s="1"/>
      <c r="B6" s="1"/>
      <c r="C6" s="1"/>
      <c r="D6" s="1"/>
      <c r="E6" s="1"/>
      <c r="F6" s="1"/>
      <c r="G6" s="1"/>
      <c r="H6" s="1"/>
    </row>
    <row r="7" spans="1:8" ht="32.25" customHeight="1">
      <c r="A7" s="507"/>
      <c r="B7" s="777" t="s">
        <v>492</v>
      </c>
      <c r="C7" s="777"/>
      <c r="D7" s="777"/>
      <c r="E7" s="777"/>
      <c r="F7" s="777"/>
      <c r="G7" s="777"/>
      <c r="H7" s="777"/>
    </row>
    <row r="8" spans="1:8" ht="15.75">
      <c r="A8" s="1"/>
      <c r="B8" s="1"/>
      <c r="C8" s="1"/>
      <c r="D8" s="1"/>
      <c r="E8" s="1"/>
      <c r="F8" s="1"/>
      <c r="G8" s="1"/>
      <c r="H8" s="1"/>
    </row>
    <row r="9" spans="1:8" ht="15.75">
      <c r="A9" s="778" t="s">
        <v>493</v>
      </c>
      <c r="B9" s="778"/>
      <c r="C9" s="778"/>
      <c r="D9" s="778"/>
      <c r="E9" s="778"/>
      <c r="F9" s="778"/>
      <c r="G9" s="778"/>
      <c r="H9" s="778"/>
    </row>
    <row r="10" spans="1:8" ht="15.75">
      <c r="A10" s="1"/>
      <c r="B10" s="1"/>
      <c r="C10" s="1"/>
      <c r="D10" s="1"/>
      <c r="E10" s="1"/>
      <c r="F10" s="1"/>
      <c r="G10" s="1"/>
      <c r="H10" s="1"/>
    </row>
    <row r="11" spans="1:8" ht="15.75">
      <c r="A11" s="1"/>
      <c r="B11" s="1"/>
      <c r="C11" s="1"/>
      <c r="D11" s="1"/>
      <c r="E11" s="1"/>
      <c r="F11" s="1"/>
      <c r="G11" s="1"/>
      <c r="H11" s="1"/>
    </row>
    <row r="12" spans="1:8" ht="15.75">
      <c r="A12" s="1"/>
      <c r="B12" s="1"/>
      <c r="C12" s="1"/>
      <c r="D12" s="1"/>
      <c r="E12" s="1"/>
      <c r="F12" s="1"/>
      <c r="G12" s="1"/>
      <c r="H12" s="1"/>
    </row>
    <row r="13" spans="1:8" ht="15.75">
      <c r="A13" s="1" t="s">
        <v>494</v>
      </c>
      <c r="B13" s="1"/>
      <c r="C13" s="1"/>
      <c r="D13" s="1"/>
      <c r="E13" s="1"/>
      <c r="F13" s="507"/>
      <c r="G13" s="507"/>
      <c r="H13" s="507"/>
    </row>
    <row r="14" spans="1:8" ht="15.75">
      <c r="A14" s="1"/>
      <c r="B14" s="1"/>
      <c r="C14" s="1"/>
      <c r="D14" s="1"/>
      <c r="E14" s="1"/>
      <c r="F14" s="1" t="s">
        <v>495</v>
      </c>
      <c r="G14" s="571"/>
      <c r="H14" s="571"/>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31EF-AD92-40CF-A3E6-7A312809A9EF}">
  <sheetPr codeName="Sheet35"/>
  <dimension ref="A1:G22"/>
  <sheetViews>
    <sheetView workbookViewId="0">
      <selection sqref="A1:G1"/>
    </sheetView>
  </sheetViews>
  <sheetFormatPr defaultRowHeight="15.75"/>
  <cols>
    <col min="1" max="3" width="11.5546875" style="532" customWidth="1"/>
    <col min="4" max="4" width="12.109375" style="532" customWidth="1"/>
    <col min="5" max="7" width="8.6640625" style="532" customWidth="1"/>
    <col min="8" max="256" width="8.88671875" style="532"/>
    <col min="257" max="260" width="11.5546875" style="532" customWidth="1"/>
    <col min="261" max="263" width="10.5546875" style="532" customWidth="1"/>
    <col min="264" max="512" width="8.88671875" style="532"/>
    <col min="513" max="516" width="11.5546875" style="532" customWidth="1"/>
    <col min="517" max="519" width="10.5546875" style="532" customWidth="1"/>
    <col min="520" max="768" width="8.88671875" style="532"/>
    <col min="769" max="772" width="11.5546875" style="532" customWidth="1"/>
    <col min="773" max="775" width="10.5546875" style="532" customWidth="1"/>
    <col min="776" max="1024" width="8.88671875" style="532"/>
    <col min="1025" max="1028" width="11.5546875" style="532" customWidth="1"/>
    <col min="1029" max="1031" width="10.5546875" style="532" customWidth="1"/>
    <col min="1032" max="1280" width="8.88671875" style="532"/>
    <col min="1281" max="1284" width="11.5546875" style="532" customWidth="1"/>
    <col min="1285" max="1287" width="10.5546875" style="532" customWidth="1"/>
    <col min="1288" max="1536" width="8.88671875" style="532"/>
    <col min="1537" max="1540" width="11.5546875" style="532" customWidth="1"/>
    <col min="1541" max="1543" width="10.5546875" style="532" customWidth="1"/>
    <col min="1544" max="1792" width="8.88671875" style="532"/>
    <col min="1793" max="1796" width="11.5546875" style="532" customWidth="1"/>
    <col min="1797" max="1799" width="10.5546875" style="532" customWidth="1"/>
    <col min="1800" max="2048" width="8.88671875" style="532"/>
    <col min="2049" max="2052" width="11.5546875" style="532" customWidth="1"/>
    <col min="2053" max="2055" width="10.5546875" style="532" customWidth="1"/>
    <col min="2056" max="2304" width="8.88671875" style="532"/>
    <col min="2305" max="2308" width="11.5546875" style="532" customWidth="1"/>
    <col min="2309" max="2311" width="10.5546875" style="532" customWidth="1"/>
    <col min="2312" max="2560" width="8.88671875" style="532"/>
    <col min="2561" max="2564" width="11.5546875" style="532" customWidth="1"/>
    <col min="2565" max="2567" width="10.5546875" style="532" customWidth="1"/>
    <col min="2568" max="2816" width="8.88671875" style="532"/>
    <col min="2817" max="2820" width="11.5546875" style="532" customWidth="1"/>
    <col min="2821" max="2823" width="10.5546875" style="532" customWidth="1"/>
    <col min="2824" max="3072" width="8.88671875" style="532"/>
    <col min="3073" max="3076" width="11.5546875" style="532" customWidth="1"/>
    <col min="3077" max="3079" width="10.5546875" style="532" customWidth="1"/>
    <col min="3080" max="3328" width="8.88671875" style="532"/>
    <col min="3329" max="3332" width="11.5546875" style="532" customWidth="1"/>
    <col min="3333" max="3335" width="10.5546875" style="532" customWidth="1"/>
    <col min="3336" max="3584" width="8.88671875" style="532"/>
    <col min="3585" max="3588" width="11.5546875" style="532" customWidth="1"/>
    <col min="3589" max="3591" width="10.5546875" style="532" customWidth="1"/>
    <col min="3592" max="3840" width="8.88671875" style="532"/>
    <col min="3841" max="3844" width="11.5546875" style="532" customWidth="1"/>
    <col min="3845" max="3847" width="10.5546875" style="532" customWidth="1"/>
    <col min="3848" max="4096" width="8.88671875" style="532"/>
    <col min="4097" max="4100" width="11.5546875" style="532" customWidth="1"/>
    <col min="4101" max="4103" width="10.5546875" style="532" customWidth="1"/>
    <col min="4104" max="4352" width="8.88671875" style="532"/>
    <col min="4353" max="4356" width="11.5546875" style="532" customWidth="1"/>
    <col min="4357" max="4359" width="10.5546875" style="532" customWidth="1"/>
    <col min="4360" max="4608" width="8.88671875" style="532"/>
    <col min="4609" max="4612" width="11.5546875" style="532" customWidth="1"/>
    <col min="4613" max="4615" width="10.5546875" style="532" customWidth="1"/>
    <col min="4616" max="4864" width="8.88671875" style="532"/>
    <col min="4865" max="4868" width="11.5546875" style="532" customWidth="1"/>
    <col min="4869" max="4871" width="10.5546875" style="532" customWidth="1"/>
    <col min="4872" max="5120" width="8.88671875" style="532"/>
    <col min="5121" max="5124" width="11.5546875" style="532" customWidth="1"/>
    <col min="5125" max="5127" width="10.5546875" style="532" customWidth="1"/>
    <col min="5128" max="5376" width="8.88671875" style="532"/>
    <col min="5377" max="5380" width="11.5546875" style="532" customWidth="1"/>
    <col min="5381" max="5383" width="10.5546875" style="532" customWidth="1"/>
    <col min="5384" max="5632" width="8.88671875" style="532"/>
    <col min="5633" max="5636" width="11.5546875" style="532" customWidth="1"/>
    <col min="5637" max="5639" width="10.5546875" style="532" customWidth="1"/>
    <col min="5640" max="5888" width="8.88671875" style="532"/>
    <col min="5889" max="5892" width="11.5546875" style="532" customWidth="1"/>
    <col min="5893" max="5895" width="10.5546875" style="532" customWidth="1"/>
    <col min="5896" max="6144" width="8.88671875" style="532"/>
    <col min="6145" max="6148" width="11.5546875" style="532" customWidth="1"/>
    <col min="6149" max="6151" width="10.5546875" style="532" customWidth="1"/>
    <col min="6152" max="6400" width="8.88671875" style="532"/>
    <col min="6401" max="6404" width="11.5546875" style="532" customWidth="1"/>
    <col min="6405" max="6407" width="10.5546875" style="532" customWidth="1"/>
    <col min="6408" max="6656" width="8.88671875" style="532"/>
    <col min="6657" max="6660" width="11.5546875" style="532" customWidth="1"/>
    <col min="6661" max="6663" width="10.5546875" style="532" customWidth="1"/>
    <col min="6664" max="6912" width="8.88671875" style="532"/>
    <col min="6913" max="6916" width="11.5546875" style="532" customWidth="1"/>
    <col min="6917" max="6919" width="10.5546875" style="532" customWidth="1"/>
    <col min="6920" max="7168" width="8.88671875" style="532"/>
    <col min="7169" max="7172" width="11.5546875" style="532" customWidth="1"/>
    <col min="7173" max="7175" width="10.5546875" style="532" customWidth="1"/>
    <col min="7176" max="7424" width="8.88671875" style="532"/>
    <col min="7425" max="7428" width="11.5546875" style="532" customWidth="1"/>
    <col min="7429" max="7431" width="10.5546875" style="532" customWidth="1"/>
    <col min="7432" max="7680" width="8.88671875" style="532"/>
    <col min="7681" max="7684" width="11.5546875" style="532" customWidth="1"/>
    <col min="7685" max="7687" width="10.5546875" style="532" customWidth="1"/>
    <col min="7688" max="7936" width="8.88671875" style="532"/>
    <col min="7937" max="7940" width="11.5546875" style="532" customWidth="1"/>
    <col min="7941" max="7943" width="10.5546875" style="532" customWidth="1"/>
    <col min="7944" max="8192" width="8.88671875" style="532"/>
    <col min="8193" max="8196" width="11.5546875" style="532" customWidth="1"/>
    <col min="8197" max="8199" width="10.5546875" style="532" customWidth="1"/>
    <col min="8200" max="8448" width="8.88671875" style="532"/>
    <col min="8449" max="8452" width="11.5546875" style="532" customWidth="1"/>
    <col min="8453" max="8455" width="10.5546875" style="532" customWidth="1"/>
    <col min="8456" max="8704" width="8.88671875" style="532"/>
    <col min="8705" max="8708" width="11.5546875" style="532" customWidth="1"/>
    <col min="8709" max="8711" width="10.5546875" style="532" customWidth="1"/>
    <col min="8712" max="8960" width="8.88671875" style="532"/>
    <col min="8961" max="8964" width="11.5546875" style="532" customWidth="1"/>
    <col min="8965" max="8967" width="10.5546875" style="532" customWidth="1"/>
    <col min="8968" max="9216" width="8.88671875" style="532"/>
    <col min="9217" max="9220" width="11.5546875" style="532" customWidth="1"/>
    <col min="9221" max="9223" width="10.5546875" style="532" customWidth="1"/>
    <col min="9224" max="9472" width="8.88671875" style="532"/>
    <col min="9473" max="9476" width="11.5546875" style="532" customWidth="1"/>
    <col min="9477" max="9479" width="10.5546875" style="532" customWidth="1"/>
    <col min="9480" max="9728" width="8.88671875" style="532"/>
    <col min="9729" max="9732" width="11.5546875" style="532" customWidth="1"/>
    <col min="9733" max="9735" width="10.5546875" style="532" customWidth="1"/>
    <col min="9736" max="9984" width="8.88671875" style="532"/>
    <col min="9985" max="9988" width="11.5546875" style="532" customWidth="1"/>
    <col min="9989" max="9991" width="10.5546875" style="532" customWidth="1"/>
    <col min="9992" max="10240" width="8.88671875" style="532"/>
    <col min="10241" max="10244" width="11.5546875" style="532" customWidth="1"/>
    <col min="10245" max="10247" width="10.5546875" style="532" customWidth="1"/>
    <col min="10248" max="10496" width="8.88671875" style="532"/>
    <col min="10497" max="10500" width="11.5546875" style="532" customWidth="1"/>
    <col min="10501" max="10503" width="10.5546875" style="532" customWidth="1"/>
    <col min="10504" max="10752" width="8.88671875" style="532"/>
    <col min="10753" max="10756" width="11.5546875" style="532" customWidth="1"/>
    <col min="10757" max="10759" width="10.5546875" style="532" customWidth="1"/>
    <col min="10760" max="11008" width="8.88671875" style="532"/>
    <col min="11009" max="11012" width="11.5546875" style="532" customWidth="1"/>
    <col min="11013" max="11015" width="10.5546875" style="532" customWidth="1"/>
    <col min="11016" max="11264" width="8.88671875" style="532"/>
    <col min="11265" max="11268" width="11.5546875" style="532" customWidth="1"/>
    <col min="11269" max="11271" width="10.5546875" style="532" customWidth="1"/>
    <col min="11272" max="11520" width="8.88671875" style="532"/>
    <col min="11521" max="11524" width="11.5546875" style="532" customWidth="1"/>
    <col min="11525" max="11527" width="10.5546875" style="532" customWidth="1"/>
    <col min="11528" max="11776" width="8.88671875" style="532"/>
    <col min="11777" max="11780" width="11.5546875" style="532" customWidth="1"/>
    <col min="11781" max="11783" width="10.5546875" style="532" customWidth="1"/>
    <col min="11784" max="12032" width="8.88671875" style="532"/>
    <col min="12033" max="12036" width="11.5546875" style="532" customWidth="1"/>
    <col min="12037" max="12039" width="10.5546875" style="532" customWidth="1"/>
    <col min="12040" max="12288" width="8.88671875" style="532"/>
    <col min="12289" max="12292" width="11.5546875" style="532" customWidth="1"/>
    <col min="12293" max="12295" width="10.5546875" style="532" customWidth="1"/>
    <col min="12296" max="12544" width="8.88671875" style="532"/>
    <col min="12545" max="12548" width="11.5546875" style="532" customWidth="1"/>
    <col min="12549" max="12551" width="10.5546875" style="532" customWidth="1"/>
    <col min="12552" max="12800" width="8.88671875" style="532"/>
    <col min="12801" max="12804" width="11.5546875" style="532" customWidth="1"/>
    <col min="12805" max="12807" width="10.5546875" style="532" customWidth="1"/>
    <col min="12808" max="13056" width="8.88671875" style="532"/>
    <col min="13057" max="13060" width="11.5546875" style="532" customWidth="1"/>
    <col min="13061" max="13063" width="10.5546875" style="532" customWidth="1"/>
    <col min="13064" max="13312" width="8.88671875" style="532"/>
    <col min="13313" max="13316" width="11.5546875" style="532" customWidth="1"/>
    <col min="13317" max="13319" width="10.5546875" style="532" customWidth="1"/>
    <col min="13320" max="13568" width="8.88671875" style="532"/>
    <col min="13569" max="13572" width="11.5546875" style="532" customWidth="1"/>
    <col min="13573" max="13575" width="10.5546875" style="532" customWidth="1"/>
    <col min="13576" max="13824" width="8.88671875" style="532"/>
    <col min="13825" max="13828" width="11.5546875" style="532" customWidth="1"/>
    <col min="13829" max="13831" width="10.5546875" style="532" customWidth="1"/>
    <col min="13832" max="14080" width="8.88671875" style="532"/>
    <col min="14081" max="14084" width="11.5546875" style="532" customWidth="1"/>
    <col min="14085" max="14087" width="10.5546875" style="532" customWidth="1"/>
    <col min="14088" max="14336" width="8.88671875" style="532"/>
    <col min="14337" max="14340" width="11.5546875" style="532" customWidth="1"/>
    <col min="14341" max="14343" width="10.5546875" style="532" customWidth="1"/>
    <col min="14344" max="14592" width="8.88671875" style="532"/>
    <col min="14593" max="14596" width="11.5546875" style="532" customWidth="1"/>
    <col min="14597" max="14599" width="10.5546875" style="532" customWidth="1"/>
    <col min="14600" max="14848" width="8.88671875" style="532"/>
    <col min="14849" max="14852" width="11.5546875" style="532" customWidth="1"/>
    <col min="14853" max="14855" width="10.5546875" style="532" customWidth="1"/>
    <col min="14856" max="15104" width="8.88671875" style="532"/>
    <col min="15105" max="15108" width="11.5546875" style="532" customWidth="1"/>
    <col min="15109" max="15111" width="10.5546875" style="532" customWidth="1"/>
    <col min="15112" max="15360" width="8.88671875" style="532"/>
    <col min="15361" max="15364" width="11.5546875" style="532" customWidth="1"/>
    <col min="15365" max="15367" width="10.5546875" style="532" customWidth="1"/>
    <col min="15368" max="15616" width="8.88671875" style="532"/>
    <col min="15617" max="15620" width="11.5546875" style="532" customWidth="1"/>
    <col min="15621" max="15623" width="10.5546875" style="532" customWidth="1"/>
    <col min="15624" max="15872" width="8.88671875" style="532"/>
    <col min="15873" max="15876" width="11.5546875" style="532" customWidth="1"/>
    <col min="15877" max="15879" width="10.5546875" style="532" customWidth="1"/>
    <col min="15880" max="16128" width="8.88671875" style="532"/>
    <col min="16129" max="16132" width="11.5546875" style="532" customWidth="1"/>
    <col min="16133" max="16135" width="10.5546875" style="532" customWidth="1"/>
    <col min="16136" max="16384" width="8.88671875" style="532"/>
  </cols>
  <sheetData>
    <row r="1" spans="1:7" ht="18.75">
      <c r="A1" s="783" t="s">
        <v>496</v>
      </c>
      <c r="B1" s="783"/>
      <c r="C1" s="783"/>
      <c r="D1" s="783"/>
      <c r="E1" s="783"/>
      <c r="F1" s="783"/>
      <c r="G1" s="783"/>
    </row>
    <row r="2" spans="1:7">
      <c r="A2" s="533"/>
      <c r="B2" s="533"/>
      <c r="C2" s="533"/>
      <c r="D2" s="533"/>
      <c r="E2" s="533"/>
      <c r="F2" s="533"/>
      <c r="G2" s="533"/>
    </row>
    <row r="3" spans="1:7" ht="32.25" customHeight="1">
      <c r="A3" s="784" t="s">
        <v>497</v>
      </c>
      <c r="B3" s="784"/>
      <c r="C3" s="784"/>
      <c r="D3" s="784"/>
      <c r="E3" s="784"/>
      <c r="F3" s="784"/>
      <c r="G3" s="784"/>
    </row>
    <row r="4" spans="1:7" ht="8.25" customHeight="1">
      <c r="A4" s="574"/>
      <c r="B4" s="574"/>
      <c r="C4" s="574"/>
      <c r="D4" s="574"/>
      <c r="E4" s="574"/>
      <c r="F4" s="574"/>
      <c r="G4" s="574"/>
    </row>
    <row r="5" spans="1:7">
      <c r="A5" s="785" t="s">
        <v>498</v>
      </c>
      <c r="B5" s="785"/>
      <c r="C5" s="785"/>
      <c r="D5" s="785"/>
      <c r="E5" s="785"/>
      <c r="F5" s="785"/>
      <c r="G5" s="785"/>
    </row>
    <row r="6" spans="1:7" ht="8.25" customHeight="1">
      <c r="A6" s="575"/>
      <c r="B6" s="575"/>
      <c r="C6" s="575"/>
      <c r="D6" s="575"/>
      <c r="E6" s="575"/>
      <c r="F6" s="575"/>
      <c r="G6" s="575"/>
    </row>
    <row r="7" spans="1:7">
      <c r="A7" s="785" t="s">
        <v>499</v>
      </c>
      <c r="B7" s="785"/>
      <c r="C7" s="785"/>
      <c r="D7" s="785"/>
      <c r="E7" s="785"/>
      <c r="F7" s="785"/>
      <c r="G7" s="785"/>
    </row>
    <row r="8" spans="1:7">
      <c r="A8" s="575"/>
      <c r="B8" s="575"/>
      <c r="C8" s="575"/>
      <c r="D8" s="575"/>
      <c r="E8" s="575"/>
      <c r="F8" s="575"/>
      <c r="G8" s="575"/>
    </row>
    <row r="9" spans="1:7" ht="22.5" customHeight="1">
      <c r="A9" s="786" t="s">
        <v>500</v>
      </c>
      <c r="B9" s="787"/>
      <c r="C9" s="787"/>
      <c r="D9" s="788"/>
      <c r="E9" s="536" t="s">
        <v>501</v>
      </c>
      <c r="F9" s="536" t="s">
        <v>502</v>
      </c>
      <c r="G9" s="536" t="s">
        <v>503</v>
      </c>
    </row>
    <row r="10" spans="1:7" ht="22.5" customHeight="1">
      <c r="A10" s="779"/>
      <c r="B10" s="780"/>
      <c r="C10" s="780"/>
      <c r="D10" s="781"/>
      <c r="E10" s="576"/>
      <c r="F10" s="576"/>
      <c r="G10" s="576"/>
    </row>
    <row r="11" spans="1:7" ht="22.5" customHeight="1">
      <c r="A11" s="779"/>
      <c r="B11" s="780"/>
      <c r="C11" s="780"/>
      <c r="D11" s="781"/>
      <c r="E11" s="576"/>
      <c r="F11" s="576"/>
      <c r="G11" s="576"/>
    </row>
    <row r="12" spans="1:7" ht="22.5" customHeight="1">
      <c r="A12" s="789"/>
      <c r="B12" s="789"/>
      <c r="C12" s="789"/>
      <c r="D12" s="789"/>
      <c r="E12" s="576"/>
      <c r="F12" s="576"/>
      <c r="G12" s="576"/>
    </row>
    <row r="13" spans="1:7" ht="22.5" customHeight="1">
      <c r="A13" s="789"/>
      <c r="B13" s="789"/>
      <c r="C13" s="789"/>
      <c r="D13" s="789"/>
      <c r="E13" s="576"/>
      <c r="F13" s="576"/>
      <c r="G13" s="576"/>
    </row>
    <row r="14" spans="1:7" ht="22.5" customHeight="1">
      <c r="A14" s="789"/>
      <c r="B14" s="789"/>
      <c r="C14" s="789"/>
      <c r="D14" s="789"/>
      <c r="E14" s="576"/>
      <c r="F14" s="576"/>
      <c r="G14" s="576"/>
    </row>
    <row r="15" spans="1:7" ht="22.5" customHeight="1">
      <c r="A15" s="789"/>
      <c r="B15" s="789"/>
      <c r="C15" s="789"/>
      <c r="D15" s="789"/>
      <c r="E15" s="576"/>
      <c r="F15" s="576"/>
      <c r="G15" s="576"/>
    </row>
    <row r="16" spans="1:7" ht="22.5" customHeight="1">
      <c r="A16" s="789"/>
      <c r="B16" s="789"/>
      <c r="C16" s="789"/>
      <c r="D16" s="789"/>
      <c r="E16" s="576"/>
      <c r="F16" s="576"/>
      <c r="G16" s="576"/>
    </row>
    <row r="17" spans="1:7" ht="22.5" customHeight="1">
      <c r="A17" s="789"/>
      <c r="B17" s="789"/>
      <c r="C17" s="789"/>
      <c r="D17" s="789"/>
      <c r="E17" s="576"/>
      <c r="F17" s="576"/>
      <c r="G17" s="576"/>
    </row>
    <row r="18" spans="1:7" ht="22.5" customHeight="1" thickBot="1">
      <c r="A18" s="790"/>
      <c r="B18" s="790"/>
      <c r="C18" s="790"/>
      <c r="D18" s="790"/>
      <c r="E18" s="577"/>
      <c r="F18" s="577"/>
      <c r="G18" s="577"/>
    </row>
    <row r="19" spans="1:7" ht="22.5" customHeight="1" thickTop="1">
      <c r="A19" s="791" t="s">
        <v>196</v>
      </c>
      <c r="B19" s="791"/>
      <c r="C19" s="791"/>
      <c r="D19" s="791"/>
      <c r="E19" s="578"/>
      <c r="F19" s="578"/>
      <c r="G19" s="578"/>
    </row>
    <row r="21" spans="1:7">
      <c r="A21" s="534" t="s">
        <v>504</v>
      </c>
      <c r="B21" s="535"/>
    </row>
    <row r="22" spans="1:7">
      <c r="A22" s="782"/>
      <c r="B22" s="782"/>
      <c r="C22" s="782"/>
    </row>
  </sheetData>
  <sheetProtection sheet="1" objects="1" scenarios="1"/>
  <mergeCells count="16">
    <mergeCell ref="A10:D10"/>
    <mergeCell ref="A22:C22"/>
    <mergeCell ref="A1:G1"/>
    <mergeCell ref="A3:G3"/>
    <mergeCell ref="A5:G5"/>
    <mergeCell ref="A7:G7"/>
    <mergeCell ref="A9:D9"/>
    <mergeCell ref="A17:D17"/>
    <mergeCell ref="A18:D18"/>
    <mergeCell ref="A19:D19"/>
    <mergeCell ref="A11:D11"/>
    <mergeCell ref="A12:D12"/>
    <mergeCell ref="A13:D13"/>
    <mergeCell ref="A14:D14"/>
    <mergeCell ref="A15:D15"/>
    <mergeCell ref="A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72"/>
  <sheetViews>
    <sheetView workbookViewId="0">
      <selection activeCell="H33" sqref="H33"/>
    </sheetView>
  </sheetViews>
  <sheetFormatPr defaultColWidth="8.88671875" defaultRowHeight="15"/>
  <cols>
    <col min="1" max="1" width="15.77734375" style="74" customWidth="1"/>
    <col min="2" max="2" width="20.77734375" style="74" customWidth="1"/>
    <col min="3" max="3" width="9.77734375" style="74" customWidth="1"/>
    <col min="4" max="4" width="15.109375" style="74" customWidth="1"/>
    <col min="5" max="5" width="15.77734375" style="74" customWidth="1"/>
    <col min="6" max="16384" width="8.88671875" style="74"/>
  </cols>
  <sheetData>
    <row r="1" spans="1:5" ht="15.75">
      <c r="A1" s="75">
        <f>inputPrYr!$D$3</f>
        <v>0</v>
      </c>
      <c r="B1" s="76"/>
      <c r="C1" s="76"/>
      <c r="D1" s="76"/>
      <c r="E1" s="36">
        <f>inputPrYr!C6</f>
        <v>2025</v>
      </c>
    </row>
    <row r="2" spans="1:5">
      <c r="A2" s="76"/>
      <c r="B2" s="76"/>
      <c r="C2" s="76"/>
      <c r="D2" s="76"/>
      <c r="E2" s="76"/>
    </row>
    <row r="3" spans="1:5" ht="15.75">
      <c r="A3" s="587" t="s">
        <v>84</v>
      </c>
      <c r="B3" s="588"/>
      <c r="C3" s="588"/>
      <c r="D3" s="588"/>
      <c r="E3" s="588"/>
    </row>
    <row r="4" spans="1:5" ht="15.75">
      <c r="A4" s="552"/>
      <c r="B4" s="552"/>
      <c r="C4" s="552"/>
      <c r="D4" s="552"/>
      <c r="E4" s="552"/>
    </row>
    <row r="5" spans="1:5" ht="15.75">
      <c r="A5" s="552"/>
      <c r="B5" s="552"/>
      <c r="C5" s="552"/>
      <c r="D5" s="552"/>
      <c r="E5" s="552"/>
    </row>
    <row r="6" spans="1:5" ht="15.75">
      <c r="A6" s="613" t="s">
        <v>109</v>
      </c>
      <c r="B6" s="614"/>
      <c r="C6" s="614"/>
      <c r="D6" s="614"/>
      <c r="E6" s="615"/>
    </row>
    <row r="7" spans="1:5" ht="15.75">
      <c r="A7" s="77" t="str">
        <f>CONCATENATE("Total Assessed Valuation for ",E1-1,"")</f>
        <v>Total Assessed Valuation for 2024</v>
      </c>
      <c r="B7" s="66"/>
      <c r="C7" s="66"/>
      <c r="D7" s="66"/>
      <c r="E7" s="47"/>
    </row>
    <row r="8" spans="1:5" ht="15.75" hidden="1">
      <c r="A8" s="77" t="str">
        <f>CONCATENATE("New Improvements, Remodeling and Renovations for ",E1-1,"")</f>
        <v>New Improvements, Remodeling and Renovations for 2024</v>
      </c>
      <c r="B8" s="66"/>
      <c r="C8" s="66"/>
      <c r="D8" s="66"/>
      <c r="E8" s="72"/>
    </row>
    <row r="9" spans="1:5" ht="15.75" hidden="1">
      <c r="A9" s="77" t="str">
        <f>CONCATENATE("Personal Property for ",E1-1,"")</f>
        <v>Personal Property for 2024</v>
      </c>
      <c r="B9" s="66"/>
      <c r="C9" s="66"/>
      <c r="D9" s="66"/>
      <c r="E9" s="72"/>
    </row>
    <row r="10" spans="1:5" ht="15.75" hidden="1">
      <c r="A10" s="79" t="s">
        <v>110</v>
      </c>
      <c r="B10" s="66"/>
      <c r="C10" s="66"/>
      <c r="D10" s="66"/>
      <c r="E10" s="62"/>
    </row>
    <row r="11" spans="1:5" ht="15.75" hidden="1">
      <c r="A11" s="77" t="s">
        <v>111</v>
      </c>
      <c r="B11" s="66"/>
      <c r="C11" s="66"/>
      <c r="D11" s="66"/>
      <c r="E11" s="72"/>
    </row>
    <row r="12" spans="1:5" ht="15.75" hidden="1">
      <c r="A12" s="77" t="s">
        <v>112</v>
      </c>
      <c r="B12" s="66"/>
      <c r="C12" s="66"/>
      <c r="D12" s="66"/>
      <c r="E12" s="72"/>
    </row>
    <row r="13" spans="1:5" ht="15.75" hidden="1">
      <c r="A13" s="77" t="s">
        <v>113</v>
      </c>
      <c r="B13" s="66"/>
      <c r="C13" s="66"/>
      <c r="D13" s="66"/>
      <c r="E13" s="72"/>
    </row>
    <row r="14" spans="1:5" ht="15.75" hidden="1">
      <c r="A14" s="77" t="str">
        <f>CONCATENATE("Property that has changed in use for ",E1-1,"")</f>
        <v>Property that has changed in use for 2024</v>
      </c>
      <c r="B14" s="66"/>
      <c r="C14" s="66"/>
      <c r="D14" s="66"/>
      <c r="E14" s="72"/>
    </row>
    <row r="15" spans="1:5" ht="15.75" hidden="1">
      <c r="A15" s="77" t="str">
        <f>CONCATENATE("Personal Property - ",E1-2,"")</f>
        <v>Personal Property - 2023</v>
      </c>
      <c r="B15" s="66"/>
      <c r="C15" s="66"/>
      <c r="D15" s="66"/>
      <c r="E15" s="72"/>
    </row>
    <row r="16" spans="1:5" ht="15.75" hidden="1">
      <c r="A16" s="77" t="s">
        <v>114</v>
      </c>
      <c r="B16" s="66"/>
      <c r="C16" s="66"/>
      <c r="D16" s="66"/>
      <c r="E16" s="72"/>
    </row>
    <row r="17" spans="1:5" ht="15.75">
      <c r="A17" s="77" t="str">
        <f>CONCATENATE("Gross earnings (intangible) tax estimate for ",E1,"")</f>
        <v>Gross earnings (intangible) tax estimate for 2025</v>
      </c>
      <c r="B17" s="66"/>
      <c r="C17" s="66"/>
      <c r="D17" s="67"/>
      <c r="E17" s="47"/>
    </row>
    <row r="18" spans="1:5" ht="15.75">
      <c r="A18" s="77" t="s">
        <v>115</v>
      </c>
      <c r="B18" s="66"/>
      <c r="C18" s="66"/>
      <c r="D18" s="66"/>
      <c r="E18" s="72"/>
    </row>
    <row r="19" spans="1:5" ht="15.75">
      <c r="A19" s="39"/>
      <c r="B19" s="36"/>
      <c r="C19" s="36"/>
      <c r="D19" s="36"/>
      <c r="E19" s="59"/>
    </row>
    <row r="20" spans="1:5" ht="15.75">
      <c r="A20" s="38" t="s">
        <v>116</v>
      </c>
      <c r="B20" s="36"/>
      <c r="C20" s="487"/>
      <c r="D20" s="36"/>
      <c r="E20" s="59"/>
    </row>
    <row r="21" spans="1:5" ht="15.75">
      <c r="A21" s="38"/>
      <c r="B21" s="36"/>
      <c r="C21" s="36"/>
      <c r="D21" s="36"/>
      <c r="E21" s="59"/>
    </row>
    <row r="22" spans="1:5" ht="15.75">
      <c r="A22" s="39"/>
      <c r="B22" s="36"/>
      <c r="C22" s="36"/>
      <c r="D22" s="36"/>
      <c r="E22" s="59"/>
    </row>
    <row r="23" spans="1:5" ht="15.75">
      <c r="A23" s="39" t="str">
        <f>CONCATENATE("Actual Tax Rates for the ",E1-1," Budget:")</f>
        <v>Actual Tax Rates for the 2024 Budget:</v>
      </c>
      <c r="B23" s="36"/>
      <c r="C23" s="36"/>
      <c r="D23" s="36"/>
      <c r="E23" s="59"/>
    </row>
    <row r="24" spans="1:5" ht="15.75">
      <c r="A24" s="589" t="s">
        <v>117</v>
      </c>
      <c r="B24" s="590"/>
      <c r="C24" s="76"/>
      <c r="D24" s="568" t="s">
        <v>118</v>
      </c>
      <c r="E24" s="59"/>
    </row>
    <row r="25" spans="1:5" ht="15.75">
      <c r="A25" s="51" t="str">
        <f>inputPrYr!B18</f>
        <v>General</v>
      </c>
      <c r="B25" s="52"/>
      <c r="C25" s="36"/>
      <c r="D25" s="64"/>
      <c r="E25" s="59"/>
    </row>
    <row r="26" spans="1:5" ht="15.75">
      <c r="A26" s="51" t="str">
        <f>inputPrYr!B19</f>
        <v>Debt Service</v>
      </c>
      <c r="B26" s="66"/>
      <c r="C26" s="36"/>
      <c r="D26" s="64"/>
      <c r="E26" s="59"/>
    </row>
    <row r="27" spans="1:5" ht="15.75">
      <c r="A27" s="77" t="str">
        <f>inputPrYr!B20</f>
        <v>Library</v>
      </c>
      <c r="B27" s="66"/>
      <c r="C27" s="36"/>
      <c r="D27" s="64"/>
      <c r="E27" s="59"/>
    </row>
    <row r="28" spans="1:5" ht="15.75">
      <c r="A28" s="77">
        <f>inputPrYr!B22</f>
        <v>0</v>
      </c>
      <c r="B28" s="66"/>
      <c r="C28" s="36"/>
      <c r="D28" s="64"/>
      <c r="E28" s="59"/>
    </row>
    <row r="29" spans="1:5" ht="15.75">
      <c r="A29" s="77">
        <f>inputPrYr!B23</f>
        <v>0</v>
      </c>
      <c r="B29" s="66"/>
      <c r="C29" s="36"/>
      <c r="D29" s="64"/>
      <c r="E29" s="59"/>
    </row>
    <row r="30" spans="1:5" ht="15.75">
      <c r="A30" s="77">
        <f>inputPrYr!B24</f>
        <v>0</v>
      </c>
      <c r="B30" s="80"/>
      <c r="C30" s="36"/>
      <c r="D30" s="64"/>
      <c r="E30" s="59"/>
    </row>
    <row r="31" spans="1:5" ht="15.75">
      <c r="A31" s="77">
        <f>inputPrYr!B25</f>
        <v>0</v>
      </c>
      <c r="B31" s="80"/>
      <c r="C31" s="36"/>
      <c r="D31" s="64"/>
      <c r="E31" s="59"/>
    </row>
    <row r="32" spans="1:5" ht="15.75">
      <c r="A32" s="76"/>
      <c r="B32" s="46" t="s">
        <v>103</v>
      </c>
      <c r="C32" s="76"/>
      <c r="D32" s="65">
        <f>SUM(D25:D31)</f>
        <v>0</v>
      </c>
      <c r="E32" s="76"/>
    </row>
    <row r="33" spans="1:5">
      <c r="A33" s="76"/>
      <c r="B33" s="76"/>
      <c r="C33" s="76"/>
      <c r="D33" s="76"/>
      <c r="E33" s="76"/>
    </row>
    <row r="34" spans="1:5" ht="15.75">
      <c r="A34" s="52" t="str">
        <f>CONCATENATE("Final Assessed Valuation from the November 1, ",E1-2," Abstract")</f>
        <v>Final Assessed Valuation from the November 1, 2023 Abstract</v>
      </c>
      <c r="B34" s="81"/>
      <c r="C34" s="81"/>
      <c r="D34" s="81"/>
      <c r="E34" s="72"/>
    </row>
    <row r="35" spans="1:5">
      <c r="A35" s="76"/>
      <c r="B35" s="76"/>
      <c r="C35" s="76"/>
      <c r="D35" s="76"/>
      <c r="E35" s="76"/>
    </row>
    <row r="36" spans="1:5" ht="15.75">
      <c r="A36" s="616" t="s">
        <v>119</v>
      </c>
      <c r="B36" s="617"/>
      <c r="C36" s="617"/>
      <c r="D36" s="617"/>
      <c r="E36" s="618"/>
    </row>
    <row r="37" spans="1:5" ht="15.75">
      <c r="A37" s="51" t="s">
        <v>120</v>
      </c>
      <c r="B37" s="52"/>
      <c r="C37" s="52"/>
      <c r="D37" s="82"/>
      <c r="E37" s="47"/>
    </row>
    <row r="38" spans="1:5" ht="15.75">
      <c r="A38" s="77" t="s">
        <v>121</v>
      </c>
      <c r="B38" s="66"/>
      <c r="C38" s="66"/>
      <c r="D38" s="83"/>
      <c r="E38" s="47"/>
    </row>
    <row r="39" spans="1:5" ht="15.75">
      <c r="A39" s="77" t="s">
        <v>122</v>
      </c>
      <c r="B39" s="66"/>
      <c r="C39" s="66"/>
      <c r="D39" s="83"/>
      <c r="E39" s="47"/>
    </row>
    <row r="40" spans="1:5" ht="15.75">
      <c r="A40" s="77" t="s">
        <v>123</v>
      </c>
      <c r="B40" s="66"/>
      <c r="C40" s="66"/>
      <c r="D40" s="83"/>
      <c r="E40" s="47"/>
    </row>
    <row r="41" spans="1:5" ht="15.75">
      <c r="A41" s="77" t="s">
        <v>124</v>
      </c>
      <c r="B41" s="66"/>
      <c r="C41" s="66"/>
      <c r="D41" s="83"/>
      <c r="E41" s="47"/>
    </row>
    <row r="42" spans="1:5" ht="15.75">
      <c r="A42" s="36" t="s">
        <v>125</v>
      </c>
      <c r="B42" s="36"/>
      <c r="C42" s="36"/>
      <c r="D42" s="36"/>
      <c r="E42" s="36"/>
    </row>
    <row r="43" spans="1:5" ht="15.75">
      <c r="A43" s="38" t="s">
        <v>126</v>
      </c>
      <c r="B43" s="42"/>
      <c r="C43" s="42"/>
      <c r="D43" s="36"/>
      <c r="E43" s="36"/>
    </row>
    <row r="44" spans="1:5" ht="15.75">
      <c r="A44" s="39" t="str">
        <f>CONCATENATE("Actual Delinquency for ",E1-3," Tax - (e.g. rate .01213 = 1.213%;  key in 1.2)")</f>
        <v>Actual Delinquency for 2022 Tax - (e.g. rate .01213 = 1.213%;  key in 1.2)</v>
      </c>
      <c r="B44" s="36"/>
      <c r="C44" s="36"/>
      <c r="D44" s="36"/>
      <c r="E44" s="472"/>
    </row>
    <row r="45" spans="1:5" ht="15.75">
      <c r="A45" s="51" t="s">
        <v>127</v>
      </c>
      <c r="B45" s="51"/>
      <c r="C45" s="52"/>
      <c r="D45" s="61"/>
      <c r="E45" s="389">
        <v>0</v>
      </c>
    </row>
    <row r="46" spans="1:5" ht="15.75">
      <c r="A46" s="624" t="s">
        <v>128</v>
      </c>
      <c r="B46" s="624"/>
      <c r="C46" s="624"/>
      <c r="D46" s="624"/>
      <c r="E46" s="624"/>
    </row>
    <row r="47" spans="1:5" ht="15.75">
      <c r="A47" s="36"/>
      <c r="B47" s="36"/>
      <c r="C47" s="36"/>
      <c r="D47" s="36"/>
      <c r="E47" s="36"/>
    </row>
    <row r="48" spans="1:5" ht="15.75">
      <c r="A48" s="619" t="s">
        <v>129</v>
      </c>
      <c r="B48" s="620"/>
      <c r="C48" s="620"/>
      <c r="D48" s="620"/>
      <c r="E48" s="621"/>
    </row>
    <row r="49" spans="1:5" ht="15.75">
      <c r="A49" s="52" t="str">
        <f>CONCATENATE("",E1," State Distribution for Kansas Gas Tax")</f>
        <v>2025 State Distribution for Kansas Gas Tax</v>
      </c>
      <c r="B49" s="81"/>
      <c r="C49" s="81"/>
      <c r="D49" s="84"/>
      <c r="E49" s="469"/>
    </row>
    <row r="50" spans="1:5" ht="15.75">
      <c r="A50" s="66" t="str">
        <f>CONCATENATE("",E1," County Transfers for Gas***")</f>
        <v>2025 County Transfers for Gas***</v>
      </c>
      <c r="B50" s="85"/>
      <c r="C50" s="85"/>
      <c r="D50" s="86"/>
      <c r="E50" s="72"/>
    </row>
    <row r="51" spans="1:5" ht="15.75">
      <c r="A51" s="66" t="str">
        <f>CONCATENATE("Adjusted ",E1-1," State Distribution for Kansas Gas Tax")</f>
        <v>Adjusted 2024 State Distribution for Kansas Gas Tax</v>
      </c>
      <c r="B51" s="85"/>
      <c r="C51" s="85"/>
      <c r="D51" s="86"/>
      <c r="E51" s="72"/>
    </row>
    <row r="52" spans="1:5" ht="15.75">
      <c r="A52" s="66" t="str">
        <f>CONCATENATE("Adjusted ",E1-1," County Transfers for Gas***")</f>
        <v>Adjusted 2024 County Transfers for Gas***</v>
      </c>
      <c r="B52" s="85"/>
      <c r="C52" s="85"/>
      <c r="D52" s="86"/>
      <c r="E52" s="72"/>
    </row>
    <row r="53" spans="1:5">
      <c r="A53" s="622" t="s">
        <v>130</v>
      </c>
      <c r="B53" s="622"/>
      <c r="C53" s="622"/>
      <c r="D53" s="622"/>
      <c r="E53" s="622"/>
    </row>
    <row r="54" spans="1:5">
      <c r="A54" s="623"/>
      <c r="B54" s="623"/>
      <c r="C54" s="623"/>
      <c r="D54" s="623"/>
      <c r="E54" s="623"/>
    </row>
    <row r="55" spans="1:5" ht="18" customHeight="1">
      <c r="A55" s="76"/>
      <c r="B55" s="76"/>
      <c r="C55" s="76"/>
      <c r="D55" s="76"/>
      <c r="E55" s="76"/>
    </row>
    <row r="56" spans="1:5" ht="15.75">
      <c r="A56" s="611" t="str">
        <f>CONCATENATE("From the ",E1-2," Budget Certificate Page")</f>
        <v>From the 2023 Budget Certificate Page</v>
      </c>
      <c r="B56" s="612"/>
      <c r="C56" s="76"/>
      <c r="D56" s="76"/>
      <c r="E56" s="76"/>
    </row>
    <row r="57" spans="1:5" ht="15.75">
      <c r="A57" s="87"/>
      <c r="B57" s="87" t="str">
        <f>CONCATENATE("",E1-2," Expenditure Amounts")</f>
        <v>2023 Expenditure Amounts</v>
      </c>
      <c r="C57" s="609" t="str">
        <f>CONCATENATE("Note: If the ",E1-2," budget was amended, then the")</f>
        <v>Note: If the 2023 budget was amended, then the</v>
      </c>
      <c r="D57" s="610"/>
      <c r="E57" s="610"/>
    </row>
    <row r="58" spans="1:5" ht="15.75">
      <c r="A58" s="88" t="s">
        <v>131</v>
      </c>
      <c r="B58" s="88" t="s">
        <v>132</v>
      </c>
      <c r="C58" s="554" t="s">
        <v>133</v>
      </c>
      <c r="D58" s="89"/>
      <c r="E58" s="89"/>
    </row>
    <row r="59" spans="1:5" ht="15.75">
      <c r="A59" s="62" t="str">
        <f>inputPrYr!B18</f>
        <v>General</v>
      </c>
      <c r="B59" s="72"/>
      <c r="C59" s="554" t="s">
        <v>134</v>
      </c>
      <c r="D59" s="89"/>
      <c r="E59" s="89"/>
    </row>
    <row r="60" spans="1:5" ht="15.75">
      <c r="A60" s="62" t="str">
        <f>inputPrYr!B19</f>
        <v>Debt Service</v>
      </c>
      <c r="B60" s="72"/>
      <c r="C60" s="554"/>
      <c r="D60" s="89"/>
      <c r="E60" s="89"/>
    </row>
    <row r="61" spans="1:5" ht="15.75">
      <c r="A61" s="62" t="str">
        <f>inputPrYr!B20</f>
        <v>Library</v>
      </c>
      <c r="B61" s="72"/>
      <c r="C61" s="76"/>
      <c r="D61" s="76"/>
      <c r="E61" s="76"/>
    </row>
    <row r="62" spans="1:5" ht="15.75">
      <c r="A62" s="62">
        <f>inputPrYr!B22</f>
        <v>0</v>
      </c>
      <c r="B62" s="72"/>
      <c r="C62" s="76"/>
      <c r="D62" s="76"/>
      <c r="E62" s="76"/>
    </row>
    <row r="63" spans="1:5" ht="15.75">
      <c r="A63" s="62">
        <f>inputPrYr!B23</f>
        <v>0</v>
      </c>
      <c r="B63" s="72"/>
      <c r="C63" s="76"/>
      <c r="D63" s="76"/>
      <c r="E63" s="76"/>
    </row>
    <row r="64" spans="1:5" ht="15.75">
      <c r="A64" s="62">
        <f>inputPrYr!B24</f>
        <v>0</v>
      </c>
      <c r="B64" s="72"/>
      <c r="C64" s="76"/>
      <c r="D64" s="76"/>
      <c r="E64" s="76"/>
    </row>
    <row r="65" spans="1:5" ht="15.75">
      <c r="A65" s="62">
        <f>inputPrYr!B25</f>
        <v>0</v>
      </c>
      <c r="B65" s="72"/>
      <c r="C65" s="76"/>
      <c r="D65" s="76"/>
      <c r="E65" s="76"/>
    </row>
    <row r="66" spans="1:5" ht="15.75">
      <c r="A66" s="62" t="str">
        <f>inputPrYr!B29</f>
        <v>Special Highway</v>
      </c>
      <c r="B66" s="72"/>
      <c r="C66" s="76"/>
      <c r="D66" s="76"/>
      <c r="E66" s="76"/>
    </row>
    <row r="67" spans="1:5" ht="15.75">
      <c r="A67" s="62">
        <f>inputPrYr!B30</f>
        <v>0</v>
      </c>
      <c r="B67" s="72"/>
      <c r="C67" s="76"/>
      <c r="D67" s="76"/>
      <c r="E67" s="76"/>
    </row>
    <row r="68" spans="1:5" ht="15.75">
      <c r="A68" s="62">
        <f>inputPrYr!B31</f>
        <v>0</v>
      </c>
      <c r="B68" s="72"/>
      <c r="C68" s="76"/>
      <c r="D68" s="76"/>
      <c r="E68" s="76"/>
    </row>
    <row r="69" spans="1:5" ht="15.75">
      <c r="A69" s="62">
        <f>inputPrYr!B32</f>
        <v>0</v>
      </c>
      <c r="B69" s="72"/>
      <c r="C69" s="76"/>
      <c r="D69" s="76"/>
      <c r="E69" s="76"/>
    </row>
    <row r="70" spans="1:5" ht="15.75">
      <c r="A70" s="62">
        <f>inputPrYr!B33</f>
        <v>0</v>
      </c>
      <c r="B70" s="72"/>
      <c r="C70" s="76"/>
      <c r="D70" s="76"/>
      <c r="E70" s="76"/>
    </row>
    <row r="71" spans="1:5" ht="15.75">
      <c r="A71" s="62">
        <f>inputPrYr!B34</f>
        <v>0</v>
      </c>
      <c r="B71" s="72"/>
      <c r="C71" s="76"/>
      <c r="D71" s="76"/>
      <c r="E71" s="76"/>
    </row>
    <row r="72" spans="1:5" ht="15.75">
      <c r="A72" s="62">
        <f>inputPrYr!B36</f>
        <v>0</v>
      </c>
      <c r="B72" s="72"/>
      <c r="C72" s="76"/>
      <c r="D72" s="76"/>
      <c r="E72" s="76"/>
    </row>
  </sheetData>
  <sheetProtection sheet="1" objects="1" scenarios="1"/>
  <mergeCells count="9">
    <mergeCell ref="C57:E57"/>
    <mergeCell ref="A24:B24"/>
    <mergeCell ref="A3:E3"/>
    <mergeCell ref="A56:B56"/>
    <mergeCell ref="A6:E6"/>
    <mergeCell ref="A36:E36"/>
    <mergeCell ref="A48:E48"/>
    <mergeCell ref="A53:E54"/>
    <mergeCell ref="A46:E46"/>
  </mergeCells>
  <phoneticPr fontId="9" type="noConversion"/>
  <pageMargins left="0.75" right="0.75" top="1" bottom="1" header="0.5" footer="0.5"/>
  <pageSetup scale="64"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BBCB-1C7F-4B15-9FFA-664AD66480FC}">
  <sheetPr codeName="Sheet36"/>
  <dimension ref="A1:G16"/>
  <sheetViews>
    <sheetView workbookViewId="0">
      <selection sqref="A1:G1"/>
    </sheetView>
  </sheetViews>
  <sheetFormatPr defaultRowHeight="15.75"/>
  <cols>
    <col min="1" max="1" width="8.88671875" style="1"/>
    <col min="4" max="4" width="18" customWidth="1"/>
    <col min="7" max="7" width="12.77734375" customWidth="1"/>
  </cols>
  <sheetData>
    <row r="1" spans="1:7">
      <c r="A1" s="778" t="s">
        <v>505</v>
      </c>
      <c r="B1" s="778"/>
      <c r="C1" s="778"/>
      <c r="D1" s="778"/>
      <c r="E1" s="778"/>
      <c r="F1" s="778"/>
      <c r="G1" s="778"/>
    </row>
    <row r="3" spans="1:7" ht="55.5" customHeight="1">
      <c r="A3" s="793" t="s">
        <v>506</v>
      </c>
      <c r="B3" s="793"/>
      <c r="C3" s="793"/>
      <c r="D3" s="793"/>
      <c r="E3" s="793"/>
      <c r="F3" s="793"/>
      <c r="G3" s="793"/>
    </row>
    <row r="4" spans="1:7" ht="55.5" customHeight="1">
      <c r="A4" s="792" t="s">
        <v>507</v>
      </c>
      <c r="B4" s="792"/>
      <c r="C4" s="792"/>
      <c r="D4" s="792"/>
      <c r="E4" s="792"/>
      <c r="F4" s="792"/>
      <c r="G4" s="792"/>
    </row>
    <row r="5" spans="1:7" ht="55.5" customHeight="1">
      <c r="A5" s="792" t="s">
        <v>508</v>
      </c>
      <c r="B5" s="792"/>
      <c r="C5" s="792"/>
      <c r="D5" s="792"/>
      <c r="E5" s="792"/>
      <c r="F5" s="792"/>
      <c r="G5" s="792"/>
    </row>
    <row r="6" spans="1:7" ht="55.5" customHeight="1">
      <c r="A6" s="792" t="s">
        <v>509</v>
      </c>
      <c r="B6" s="792"/>
      <c r="C6" s="792"/>
      <c r="D6" s="792"/>
      <c r="E6" s="792"/>
      <c r="F6" s="792"/>
      <c r="G6" s="792"/>
    </row>
    <row r="7" spans="1:7" ht="55.5" customHeight="1">
      <c r="A7" s="792" t="s">
        <v>510</v>
      </c>
      <c r="B7" s="792"/>
      <c r="C7" s="792"/>
      <c r="D7" s="792"/>
      <c r="E7" s="792"/>
      <c r="F7" s="792"/>
      <c r="G7" s="792"/>
    </row>
    <row r="8" spans="1:7" ht="55.5" customHeight="1">
      <c r="A8" s="793" t="s">
        <v>511</v>
      </c>
      <c r="B8" s="793"/>
      <c r="C8" s="793"/>
      <c r="D8" s="793"/>
      <c r="E8" s="793"/>
      <c r="F8" s="793"/>
      <c r="G8" s="793"/>
    </row>
    <row r="9" spans="1:7" ht="55.5" customHeight="1">
      <c r="A9" s="792" t="s">
        <v>512</v>
      </c>
      <c r="B9" s="792"/>
      <c r="C9" s="792"/>
      <c r="D9" s="792"/>
      <c r="E9" s="792"/>
      <c r="F9" s="792"/>
      <c r="G9" s="792"/>
    </row>
    <row r="10" spans="1:7" ht="55.5" customHeight="1">
      <c r="A10" s="792" t="s">
        <v>513</v>
      </c>
      <c r="B10" s="792"/>
      <c r="C10" s="792"/>
      <c r="D10" s="792"/>
      <c r="E10" s="792"/>
      <c r="F10" s="792"/>
      <c r="G10" s="792"/>
    </row>
    <row r="11" spans="1:7" ht="55.5" customHeight="1">
      <c r="A11" s="792" t="s">
        <v>514</v>
      </c>
      <c r="B11" s="792"/>
      <c r="C11" s="792"/>
      <c r="D11" s="792"/>
      <c r="E11" s="792"/>
      <c r="F11" s="792"/>
      <c r="G11" s="792"/>
    </row>
    <row r="12" spans="1:7">
      <c r="A12" s="777" t="s">
        <v>515</v>
      </c>
      <c r="B12" s="777"/>
      <c r="C12" s="777"/>
      <c r="D12" s="777"/>
      <c r="E12" s="777"/>
      <c r="F12" s="777"/>
      <c r="G12" s="777"/>
    </row>
    <row r="13" spans="1:7">
      <c r="A13" s="777" t="s">
        <v>516</v>
      </c>
      <c r="B13" s="777"/>
      <c r="C13" s="777"/>
      <c r="D13" s="777"/>
      <c r="E13" s="777"/>
      <c r="F13" s="777"/>
      <c r="G13" s="777"/>
    </row>
    <row r="14" spans="1:7">
      <c r="A14" s="777" t="s">
        <v>517</v>
      </c>
      <c r="B14" s="777"/>
      <c r="C14" s="777"/>
      <c r="D14" s="777"/>
      <c r="E14" s="777"/>
      <c r="F14" s="777"/>
      <c r="G14" s="777"/>
    </row>
    <row r="15" spans="1:7">
      <c r="A15" s="777" t="s">
        <v>518</v>
      </c>
      <c r="B15" s="777"/>
      <c r="C15" s="777"/>
      <c r="D15" s="777"/>
      <c r="E15" s="777"/>
      <c r="F15" s="777"/>
      <c r="G15" s="777"/>
    </row>
    <row r="16" spans="1:7">
      <c r="A16" s="777" t="s">
        <v>519</v>
      </c>
      <c r="B16" s="777"/>
      <c r="C16" s="777"/>
      <c r="D16" s="777"/>
      <c r="E16" s="777"/>
      <c r="F16" s="777"/>
      <c r="G16" s="777"/>
    </row>
  </sheetData>
  <sheetProtection sheet="1" objects="1" scenarios="1"/>
  <mergeCells count="15">
    <mergeCell ref="A15:G15"/>
    <mergeCell ref="A16:G16"/>
    <mergeCell ref="A1:G1"/>
    <mergeCell ref="A9:G9"/>
    <mergeCell ref="A10:G10"/>
    <mergeCell ref="A11:G11"/>
    <mergeCell ref="A12:G12"/>
    <mergeCell ref="A13:G13"/>
    <mergeCell ref="A14:G14"/>
    <mergeCell ref="A3:G3"/>
    <mergeCell ref="A4:G4"/>
    <mergeCell ref="A5:G5"/>
    <mergeCell ref="A6:G6"/>
    <mergeCell ref="A7:G7"/>
    <mergeCell ref="A8:G8"/>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L64"/>
  <sheetViews>
    <sheetView workbookViewId="0">
      <selection sqref="A1:G2"/>
    </sheetView>
  </sheetViews>
  <sheetFormatPr defaultRowHeight="15.75"/>
  <cols>
    <col min="1" max="1" width="67" style="1" customWidth="1"/>
  </cols>
  <sheetData>
    <row r="1" spans="1:12" ht="15.75" customHeight="1">
      <c r="A1" s="794" t="s">
        <v>520</v>
      </c>
      <c r="B1" s="571"/>
      <c r="C1" s="571"/>
      <c r="D1" s="571"/>
      <c r="E1" s="571"/>
      <c r="F1" s="571"/>
      <c r="G1" s="571"/>
      <c r="H1" s="571"/>
      <c r="I1" s="571"/>
      <c r="J1" s="571"/>
      <c r="K1" s="571"/>
      <c r="L1" s="571"/>
    </row>
    <row r="2" spans="1:12" ht="15.75" customHeight="1">
      <c r="A2" s="795"/>
      <c r="B2" s="571"/>
      <c r="C2" s="571"/>
      <c r="D2" s="571"/>
      <c r="E2" s="571"/>
      <c r="F2" s="571"/>
      <c r="G2" s="571"/>
      <c r="H2" s="571"/>
      <c r="I2" s="571"/>
      <c r="J2" s="571"/>
      <c r="K2" s="571"/>
      <c r="L2" s="571"/>
    </row>
    <row r="3" spans="1:12">
      <c r="A3" s="573" t="s">
        <v>521</v>
      </c>
      <c r="B3" s="255"/>
      <c r="C3" s="255"/>
      <c r="D3" s="255"/>
      <c r="E3" s="255"/>
      <c r="F3" s="255"/>
      <c r="G3" s="255"/>
      <c r="H3" s="255"/>
      <c r="I3" s="255"/>
      <c r="J3" s="255"/>
      <c r="K3" s="255"/>
      <c r="L3" s="255"/>
    </row>
    <row r="5" spans="1:12">
      <c r="A5" s="1" t="str">
        <f>CONCATENATE("Welcome. You have been directed to this tab because your ",inputPrYr!C6-2," total expenditures exceed your ")</f>
        <v xml:space="preserve">Welcome. You have been directed to this tab because your 2023 total expenditures exceed your </v>
      </c>
      <c r="B5" s="571"/>
      <c r="C5" s="571"/>
      <c r="D5" s="571"/>
      <c r="E5" s="571"/>
      <c r="F5" s="571"/>
      <c r="G5" s="571"/>
      <c r="H5" s="571"/>
      <c r="I5" s="571"/>
      <c r="J5" s="571"/>
      <c r="K5" s="571"/>
      <c r="L5" s="571"/>
    </row>
    <row r="6" spans="1:12">
      <c r="A6" s="1" t="str">
        <f>CONCATENATE(inputPrYr!C6-2," budget authority.")</f>
        <v>2023 budget authority.</v>
      </c>
      <c r="B6" s="571"/>
      <c r="C6" s="571"/>
      <c r="D6" s="571"/>
      <c r="E6" s="571"/>
      <c r="F6" s="571"/>
      <c r="G6" s="571"/>
      <c r="H6" s="571"/>
      <c r="I6" s="571"/>
      <c r="J6" s="571"/>
      <c r="K6" s="571"/>
      <c r="L6" s="571"/>
    </row>
    <row r="8" spans="1:12">
      <c r="A8" s="1" t="s">
        <v>522</v>
      </c>
      <c r="B8" s="571"/>
      <c r="C8" s="571"/>
      <c r="D8" s="571"/>
      <c r="E8" s="571"/>
      <c r="F8" s="571"/>
      <c r="G8" s="571"/>
      <c r="H8" s="571"/>
      <c r="I8" s="571"/>
      <c r="J8" s="571"/>
      <c r="K8" s="571"/>
      <c r="L8" s="571"/>
    </row>
    <row r="9" spans="1:12">
      <c r="A9" s="1" t="s">
        <v>523</v>
      </c>
      <c r="B9" s="571"/>
      <c r="C9" s="571"/>
      <c r="D9" s="571"/>
      <c r="E9" s="571"/>
      <c r="F9" s="571"/>
      <c r="G9" s="571"/>
      <c r="H9" s="571"/>
      <c r="I9" s="571"/>
      <c r="J9" s="571"/>
      <c r="K9" s="571"/>
      <c r="L9" s="571"/>
    </row>
    <row r="11" spans="1:12">
      <c r="A11" s="508" t="s">
        <v>524</v>
      </c>
      <c r="B11" s="571"/>
      <c r="C11" s="571"/>
      <c r="D11" s="571"/>
      <c r="E11" s="571"/>
      <c r="F11" s="571"/>
      <c r="G11" s="571"/>
      <c r="H11" s="571"/>
      <c r="I11" s="571"/>
      <c r="J11" s="571"/>
      <c r="K11" s="571"/>
      <c r="L11" s="571"/>
    </row>
    <row r="13" spans="1:12">
      <c r="A13" s="1" t="s">
        <v>525</v>
      </c>
      <c r="B13" s="571"/>
      <c r="C13" s="571"/>
      <c r="D13" s="571"/>
      <c r="E13" s="571"/>
      <c r="F13" s="571"/>
      <c r="G13" s="571"/>
      <c r="H13" s="571"/>
      <c r="I13" s="571"/>
      <c r="J13" s="571"/>
      <c r="K13" s="571"/>
      <c r="L13" s="571"/>
    </row>
    <row r="14" spans="1:12">
      <c r="A14" s="1" t="str">
        <f>CONCATENATE("or the ",inputPrYr!C6," adopted budget has not been submitted to the county clerk) then the budget violation")</f>
        <v>or the 2025 adopted budget has not been submitted to the county clerk) then the budget violation</v>
      </c>
      <c r="B14" s="571"/>
      <c r="C14" s="571"/>
      <c r="D14" s="571"/>
      <c r="E14" s="571"/>
      <c r="F14" s="571"/>
      <c r="G14" s="571"/>
      <c r="H14" s="571"/>
      <c r="I14" s="571"/>
      <c r="J14" s="571"/>
      <c r="K14" s="571"/>
      <c r="L14" s="571"/>
    </row>
    <row r="15" spans="1:12">
      <c r="A15" s="1" t="s">
        <v>526</v>
      </c>
      <c r="B15" s="571"/>
      <c r="C15" s="571"/>
      <c r="D15" s="571"/>
      <c r="E15" s="571"/>
      <c r="F15" s="571"/>
      <c r="G15" s="571"/>
      <c r="H15" s="571"/>
      <c r="I15" s="571"/>
      <c r="J15" s="571"/>
      <c r="K15" s="571"/>
      <c r="L15" s="571"/>
    </row>
    <row r="17" spans="1:1">
      <c r="A17" s="508" t="s">
        <v>323</v>
      </c>
    </row>
    <row r="18" spans="1:1">
      <c r="A18" s="508"/>
    </row>
    <row r="19" spans="1:1">
      <c r="A19" s="1" t="s">
        <v>527</v>
      </c>
    </row>
    <row r="20" spans="1:1">
      <c r="A20" s="1" t="str">
        <f>CONCATENATE("entered for this particular fund.  If your ",inputPrYr!C6-2," budget was amended, did you use the amended,")</f>
        <v>entered for this particular fund.  If your 2023 budget was amended, did you use the amended,</v>
      </c>
    </row>
    <row r="21" spans="1:1">
      <c r="A21" s="1" t="s">
        <v>528</v>
      </c>
    </row>
    <row r="23" spans="1:1">
      <c r="A23" s="1" t="str">
        <f>CONCATENATE("Next, look to see if any of your ",inputPrYr!C6-2," expenditures can be reduced or eliminated. For example,")</f>
        <v>Next, look to see if any of your 2023 expenditures can be reduced or eliminated. For example,</v>
      </c>
    </row>
    <row r="24" spans="1:1">
      <c r="A24" s="1" t="s">
        <v>529</v>
      </c>
    </row>
    <row r="25" spans="1:1">
      <c r="A25" s="1" t="s">
        <v>530</v>
      </c>
    </row>
    <row r="27" spans="1:1">
      <c r="A27" s="1" t="str">
        <f>CONCATENATE("Additionally, do your ",inputPrYr!C6-2," receipts contain a reimbursement (e.g. FEMA)? If so, instead of")</f>
        <v>Additionally, do your 2023 receipts contain a reimbursement (e.g. FEMA)? If so, instead of</v>
      </c>
    </row>
    <row r="28" spans="1:1">
      <c r="A28" s="1" t="s">
        <v>531</v>
      </c>
    </row>
    <row r="30" spans="1:1">
      <c r="A30" s="1" t="s">
        <v>532</v>
      </c>
    </row>
    <row r="31" spans="1:1">
      <c r="A31" s="1" t="s">
        <v>533</v>
      </c>
    </row>
    <row r="32" spans="1:1">
      <c r="A32" s="1" t="s">
        <v>534</v>
      </c>
    </row>
    <row r="33" spans="1:1">
      <c r="A33" s="1" t="s">
        <v>535</v>
      </c>
    </row>
    <row r="34" spans="1:1">
      <c r="A34" s="1" t="s">
        <v>536</v>
      </c>
    </row>
    <row r="36" spans="1:1">
      <c r="A36" s="1" t="s">
        <v>537</v>
      </c>
    </row>
    <row r="37" spans="1:1">
      <c r="A37" s="1" t="s">
        <v>538</v>
      </c>
    </row>
    <row r="39" spans="1:1">
      <c r="A39" s="1" t="s">
        <v>539</v>
      </c>
    </row>
    <row r="40" spans="1:1">
      <c r="A40" s="1" t="s">
        <v>540</v>
      </c>
    </row>
    <row r="42" spans="1:1">
      <c r="A42" s="508" t="s">
        <v>541</v>
      </c>
    </row>
    <row r="44" spans="1:1">
      <c r="A44" s="1" t="s">
        <v>542</v>
      </c>
    </row>
    <row r="45" spans="1:1">
      <c r="A45" s="1" t="s">
        <v>543</v>
      </c>
    </row>
    <row r="46" spans="1:1">
      <c r="A46" s="1" t="s">
        <v>544</v>
      </c>
    </row>
    <row r="47" spans="1:1">
      <c r="A47" s="1" t="s">
        <v>545</v>
      </c>
    </row>
    <row r="48" spans="1:1">
      <c r="A48" s="1" t="s">
        <v>546</v>
      </c>
    </row>
    <row r="49" spans="1:1">
      <c r="A49" s="1" t="s">
        <v>547</v>
      </c>
    </row>
    <row r="50" spans="1:1">
      <c r="A50" s="1" t="s">
        <v>548</v>
      </c>
    </row>
    <row r="51" spans="1:1">
      <c r="A51" s="1" t="s">
        <v>549</v>
      </c>
    </row>
    <row r="53" spans="1:1">
      <c r="A53" s="1" t="s">
        <v>550</v>
      </c>
    </row>
    <row r="54" spans="1:1">
      <c r="A54" s="1" t="s">
        <v>551</v>
      </c>
    </row>
    <row r="56" spans="1:1">
      <c r="A56" s="508" t="str">
        <f>CONCATENATE("What if the ",inputPrYr!C6-2," financial records have been closed?")</f>
        <v>What if the 2023 financial records have been closed?</v>
      </c>
    </row>
    <row r="57" spans="1:1">
      <c r="A57" s="1" t="s">
        <v>552</v>
      </c>
    </row>
    <row r="58" spans="1:1">
      <c r="A58" s="1" t="str">
        <f>CONCATENATE("If the municipality financial records have been closed (i.e. an audit for ",inputPrYr!C6-2," has been completed, or")</f>
        <v>If the municipality financial records have been closed (i.e. an audit for 2023 has been completed, or</v>
      </c>
    </row>
    <row r="59" spans="1:1">
      <c r="A59" s="1" t="str">
        <f>CONCATENATE("the ",inputPrYr!C6," the violation cannot be fixed and must be shown as it occurred. ")</f>
        <v xml:space="preserve">the 2025 the violation cannot be fixed and must be shown as it occurred. </v>
      </c>
    </row>
    <row r="61" spans="1:1">
      <c r="A61" s="1" t="s">
        <v>553</v>
      </c>
    </row>
    <row r="62" spans="1:1">
      <c r="A62" s="1" t="s">
        <v>554</v>
      </c>
    </row>
    <row r="64" spans="1:1">
      <c r="A64" s="1" t="s">
        <v>555</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J92"/>
  <sheetViews>
    <sheetView workbookViewId="0">
      <selection sqref="A1:G2"/>
    </sheetView>
  </sheetViews>
  <sheetFormatPr defaultRowHeight="15.75"/>
  <cols>
    <col min="1" max="1" width="66.77734375" style="1" customWidth="1"/>
  </cols>
  <sheetData>
    <row r="1" spans="1:10" ht="15.75" customHeight="1">
      <c r="A1" s="796" t="s">
        <v>556</v>
      </c>
      <c r="B1" s="571"/>
      <c r="C1" s="571"/>
      <c r="D1" s="571"/>
      <c r="E1" s="571"/>
      <c r="F1" s="571"/>
      <c r="G1" s="571"/>
      <c r="H1" s="571"/>
      <c r="I1" s="571"/>
      <c r="J1" s="571"/>
    </row>
    <row r="2" spans="1:10" ht="15.75" customHeight="1">
      <c r="A2" s="796"/>
      <c r="B2" s="571"/>
      <c r="C2" s="571"/>
      <c r="D2" s="571"/>
      <c r="E2" s="571"/>
      <c r="F2" s="571"/>
      <c r="G2" s="571"/>
      <c r="H2" s="571"/>
      <c r="I2" s="571"/>
      <c r="J2" s="571"/>
    </row>
    <row r="3" spans="1:10">
      <c r="A3" s="573" t="s">
        <v>557</v>
      </c>
      <c r="B3" s="255"/>
      <c r="C3" s="255"/>
      <c r="D3" s="255"/>
      <c r="E3" s="255"/>
      <c r="F3" s="255"/>
      <c r="G3" s="255"/>
      <c r="H3" s="253"/>
      <c r="I3" s="253"/>
      <c r="J3" s="253"/>
    </row>
    <row r="5" spans="1:10">
      <c r="A5" s="1" t="str">
        <f>CONCATENATE("Welcome. You have been directed to this tab because your ",inputPrYr!C6-2," expenditures show that you ")</f>
        <v xml:space="preserve">Welcome. You have been directed to this tab because your 2023 expenditures show that you </v>
      </c>
      <c r="B5" s="571"/>
      <c r="C5" s="571"/>
      <c r="D5" s="571"/>
      <c r="E5" s="571"/>
      <c r="F5" s="571"/>
      <c r="G5" s="571"/>
      <c r="H5" s="571"/>
      <c r="I5" s="571"/>
      <c r="J5" s="571"/>
    </row>
    <row r="6" spans="1:10">
      <c r="A6" s="1" t="s">
        <v>558</v>
      </c>
      <c r="B6" s="571"/>
      <c r="C6" s="571"/>
      <c r="D6" s="571"/>
      <c r="E6" s="571"/>
      <c r="F6" s="571"/>
      <c r="G6" s="571"/>
      <c r="H6" s="571"/>
      <c r="I6" s="571"/>
      <c r="J6" s="571"/>
    </row>
    <row r="8" spans="1:10">
      <c r="A8" s="1" t="s">
        <v>559</v>
      </c>
      <c r="B8" s="571"/>
      <c r="C8" s="571"/>
      <c r="D8" s="571"/>
      <c r="E8" s="571"/>
      <c r="F8" s="571"/>
      <c r="G8" s="571"/>
      <c r="H8" s="571"/>
      <c r="I8" s="571"/>
      <c r="J8" s="571"/>
    </row>
    <row r="9" spans="1:10">
      <c r="A9" s="1" t="s">
        <v>560</v>
      </c>
      <c r="B9" s="571"/>
      <c r="C9" s="571"/>
      <c r="D9" s="571"/>
      <c r="E9" s="571"/>
      <c r="F9" s="571"/>
      <c r="G9" s="571"/>
      <c r="H9" s="571"/>
      <c r="I9" s="571"/>
      <c r="J9" s="571"/>
    </row>
    <row r="11" spans="1:10">
      <c r="A11" s="508" t="s">
        <v>561</v>
      </c>
      <c r="B11" s="571"/>
      <c r="C11" s="571"/>
      <c r="D11" s="571"/>
      <c r="E11" s="571"/>
      <c r="F11" s="571"/>
      <c r="G11" s="571"/>
      <c r="H11" s="571"/>
      <c r="I11" s="571"/>
      <c r="J11" s="571"/>
    </row>
    <row r="12" spans="1:10">
      <c r="A12" s="508"/>
      <c r="B12" s="571"/>
      <c r="C12" s="571"/>
      <c r="D12" s="571"/>
      <c r="E12" s="571"/>
      <c r="F12" s="571"/>
      <c r="G12" s="571"/>
      <c r="H12" s="571"/>
      <c r="I12" s="571"/>
      <c r="J12" s="571"/>
    </row>
    <row r="13" spans="1:10">
      <c r="A13" s="1" t="s">
        <v>562</v>
      </c>
      <c r="B13" s="571"/>
      <c r="C13" s="571"/>
      <c r="D13" s="571"/>
      <c r="E13" s="571"/>
      <c r="F13" s="571"/>
      <c r="G13" s="571"/>
      <c r="H13" s="571"/>
      <c r="I13" s="571"/>
      <c r="J13" s="571"/>
    </row>
    <row r="14" spans="1:10">
      <c r="A14" s="1" t="s">
        <v>563</v>
      </c>
      <c r="B14" s="571"/>
      <c r="C14" s="571"/>
      <c r="D14" s="571"/>
      <c r="E14" s="571"/>
      <c r="F14" s="571"/>
      <c r="G14" s="571"/>
      <c r="H14" s="571"/>
      <c r="I14" s="571"/>
      <c r="J14" s="571"/>
    </row>
    <row r="16" spans="1:10">
      <c r="A16" s="508" t="s">
        <v>564</v>
      </c>
      <c r="B16" s="571"/>
      <c r="C16" s="571"/>
      <c r="D16" s="571"/>
      <c r="E16" s="571"/>
      <c r="F16" s="571"/>
      <c r="G16" s="571"/>
      <c r="H16" s="571"/>
      <c r="I16" s="571"/>
      <c r="J16" s="571"/>
    </row>
    <row r="17" spans="1:8">
      <c r="A17" s="508"/>
      <c r="B17" s="571"/>
      <c r="C17" s="571"/>
      <c r="D17" s="571"/>
      <c r="E17" s="571"/>
      <c r="F17" s="571"/>
      <c r="G17" s="571"/>
      <c r="H17" s="571"/>
    </row>
    <row r="18" spans="1:8">
      <c r="A18" s="1" t="s">
        <v>565</v>
      </c>
      <c r="B18" s="571"/>
      <c r="C18" s="571"/>
      <c r="D18" s="571"/>
      <c r="E18" s="571"/>
      <c r="F18" s="571"/>
      <c r="G18" s="571"/>
      <c r="H18" s="571"/>
    </row>
    <row r="19" spans="1:8">
      <c r="A19" s="1" t="s">
        <v>566</v>
      </c>
      <c r="B19" s="571"/>
      <c r="C19" s="571"/>
      <c r="D19" s="571"/>
      <c r="E19" s="571"/>
      <c r="F19" s="571"/>
      <c r="G19" s="571"/>
      <c r="H19" s="571"/>
    </row>
    <row r="21" spans="1:8">
      <c r="A21" s="508" t="s">
        <v>567</v>
      </c>
      <c r="B21" s="571"/>
      <c r="C21" s="571"/>
      <c r="D21" s="571"/>
      <c r="E21" s="571"/>
      <c r="F21" s="571"/>
      <c r="G21" s="571"/>
      <c r="H21" s="571"/>
    </row>
    <row r="22" spans="1:8">
      <c r="A22" s="508"/>
      <c r="B22" s="571"/>
      <c r="C22" s="571"/>
      <c r="D22" s="571"/>
      <c r="E22" s="571"/>
      <c r="F22" s="571"/>
      <c r="G22" s="571"/>
      <c r="H22" s="571"/>
    </row>
    <row r="23" spans="1:8">
      <c r="A23" s="1" t="s">
        <v>568</v>
      </c>
      <c r="B23" s="571"/>
      <c r="C23" s="571"/>
      <c r="D23" s="571"/>
      <c r="E23" s="571"/>
      <c r="F23" s="571"/>
      <c r="G23" s="571"/>
      <c r="H23" s="571"/>
    </row>
    <row r="24" spans="1:8">
      <c r="A24" s="1" t="s">
        <v>569</v>
      </c>
      <c r="B24" s="571"/>
      <c r="C24" s="571"/>
      <c r="D24" s="571"/>
      <c r="E24" s="571"/>
      <c r="F24" s="571"/>
      <c r="G24" s="571"/>
      <c r="H24" s="571"/>
    </row>
    <row r="26" spans="1:8">
      <c r="A26" s="508" t="s">
        <v>570</v>
      </c>
      <c r="B26" s="571"/>
      <c r="C26" s="571"/>
      <c r="D26" s="571"/>
      <c r="E26" s="571"/>
      <c r="F26" s="571"/>
      <c r="G26" s="571"/>
      <c r="H26" s="571"/>
    </row>
    <row r="27" spans="1:8">
      <c r="A27" s="508"/>
      <c r="B27" s="571"/>
      <c r="C27" s="571"/>
      <c r="D27" s="571"/>
      <c r="E27" s="571"/>
      <c r="F27" s="571"/>
      <c r="G27" s="571"/>
      <c r="H27" s="571"/>
    </row>
    <row r="28" spans="1:8">
      <c r="A28" s="1" t="str">
        <f>CONCATENATE("If your financial records are not closed for ",inputPrYr!C6-2," (i.e.an audit has not been completed, or the")</f>
        <v>If your financial records are not closed for 2023 (i.e.an audit has not been completed, or the</v>
      </c>
      <c r="B28" s="254"/>
      <c r="C28" s="254"/>
      <c r="D28" s="254"/>
      <c r="E28" s="254"/>
      <c r="F28" s="254"/>
      <c r="G28" s="254"/>
      <c r="H28" s="254"/>
    </row>
    <row r="29" spans="1:8">
      <c r="A29" s="1" t="str">
        <f>CONCATENATE(inputPrYr!C6," adopted budget has not been submitted to the county clerk) then either your fund receipts will")</f>
        <v>2025 adopted budget has not been submitted to the county clerk) then either your fund receipts will</v>
      </c>
      <c r="B29" s="254"/>
      <c r="C29" s="254"/>
      <c r="D29" s="254"/>
      <c r="E29" s="254"/>
      <c r="F29" s="254"/>
      <c r="G29" s="254"/>
      <c r="H29" s="254"/>
    </row>
    <row r="30" spans="1:8">
      <c r="A30" s="1" t="s">
        <v>571</v>
      </c>
      <c r="B30" s="254"/>
      <c r="C30" s="254"/>
      <c r="D30" s="254"/>
      <c r="E30" s="254"/>
      <c r="F30" s="254"/>
      <c r="G30" s="254"/>
      <c r="H30" s="254"/>
    </row>
    <row r="31" spans="1:8">
      <c r="A31" s="1" t="s">
        <v>572</v>
      </c>
      <c r="B31" s="254"/>
      <c r="C31" s="254"/>
      <c r="D31" s="254"/>
      <c r="E31" s="254"/>
      <c r="F31" s="254"/>
      <c r="G31" s="254"/>
      <c r="H31" s="254"/>
    </row>
    <row r="32" spans="1:8">
      <c r="B32" s="254"/>
      <c r="C32" s="254"/>
      <c r="D32" s="254"/>
      <c r="E32" s="254"/>
      <c r="F32" s="254"/>
      <c r="G32" s="254"/>
      <c r="H32" s="254"/>
    </row>
    <row r="33" spans="1:8">
      <c r="B33" s="254"/>
      <c r="C33" s="254"/>
      <c r="D33" s="254"/>
      <c r="E33" s="254"/>
      <c r="F33" s="254"/>
      <c r="G33" s="254"/>
      <c r="H33" s="254"/>
    </row>
    <row r="34" spans="1:8">
      <c r="A34" s="1" t="s">
        <v>573</v>
      </c>
      <c r="B34" s="254"/>
      <c r="C34" s="254"/>
      <c r="D34" s="254"/>
      <c r="E34" s="254"/>
      <c r="F34" s="254"/>
      <c r="G34" s="254"/>
      <c r="H34" s="254"/>
    </row>
    <row r="35" spans="1:8">
      <c r="A35" s="1" t="s">
        <v>574</v>
      </c>
      <c r="B35" s="254"/>
      <c r="C35" s="254"/>
      <c r="D35" s="254"/>
      <c r="E35" s="254"/>
      <c r="F35" s="254"/>
      <c r="G35" s="254"/>
      <c r="H35" s="254"/>
    </row>
    <row r="36" spans="1:8">
      <c r="A36" s="1" t="s">
        <v>575</v>
      </c>
      <c r="B36" s="254"/>
      <c r="C36" s="254"/>
      <c r="D36" s="254"/>
      <c r="E36" s="254"/>
      <c r="F36" s="254"/>
      <c r="G36" s="254"/>
      <c r="H36" s="254"/>
    </row>
    <row r="37" spans="1:8">
      <c r="B37" s="254"/>
      <c r="C37" s="254"/>
      <c r="D37" s="254"/>
      <c r="E37" s="254"/>
      <c r="F37" s="254"/>
      <c r="G37" s="254"/>
      <c r="H37" s="254"/>
    </row>
    <row r="38" spans="1:8">
      <c r="A38" s="1" t="s">
        <v>576</v>
      </c>
      <c r="B38" s="254"/>
      <c r="C38" s="254"/>
      <c r="D38" s="254"/>
      <c r="E38" s="254"/>
      <c r="F38" s="254"/>
      <c r="G38" s="254"/>
      <c r="H38" s="254"/>
    </row>
    <row r="39" spans="1:8">
      <c r="A39" s="1" t="s">
        <v>577</v>
      </c>
      <c r="B39" s="254"/>
      <c r="C39" s="254"/>
      <c r="D39" s="254"/>
      <c r="E39" s="254"/>
      <c r="F39" s="254"/>
      <c r="G39" s="254"/>
      <c r="H39" s="254"/>
    </row>
    <row r="40" spans="1:8">
      <c r="A40" s="1" t="s">
        <v>578</v>
      </c>
      <c r="B40" s="254"/>
      <c r="C40" s="254"/>
      <c r="D40" s="254"/>
      <c r="E40" s="254"/>
      <c r="F40" s="254"/>
      <c r="G40" s="254"/>
      <c r="H40" s="254"/>
    </row>
    <row r="41" spans="1:8">
      <c r="B41" s="254"/>
      <c r="C41" s="254"/>
      <c r="D41" s="254"/>
      <c r="E41" s="254"/>
      <c r="F41" s="254"/>
      <c r="G41" s="254"/>
      <c r="H41" s="254"/>
    </row>
    <row r="42" spans="1:8">
      <c r="A42" s="508" t="s">
        <v>579</v>
      </c>
      <c r="B42" s="253"/>
      <c r="C42" s="253"/>
      <c r="D42" s="253"/>
      <c r="E42" s="253"/>
      <c r="F42" s="253"/>
      <c r="G42" s="253"/>
      <c r="H42" s="254"/>
    </row>
    <row r="43" spans="1:8">
      <c r="B43" s="254"/>
      <c r="C43" s="254"/>
      <c r="D43" s="254"/>
      <c r="E43" s="254"/>
      <c r="F43" s="254"/>
      <c r="G43" s="254"/>
      <c r="H43" s="254"/>
    </row>
    <row r="44" spans="1:8">
      <c r="A44" s="1" t="s">
        <v>580</v>
      </c>
      <c r="B44" s="254"/>
      <c r="C44" s="254"/>
      <c r="D44" s="254"/>
      <c r="E44" s="254"/>
      <c r="F44" s="254"/>
      <c r="G44" s="254"/>
      <c r="H44" s="254"/>
    </row>
    <row r="45" spans="1:8">
      <c r="A45" s="1" t="s">
        <v>581</v>
      </c>
      <c r="B45" s="254"/>
      <c r="C45" s="254"/>
      <c r="D45" s="254"/>
      <c r="E45" s="254"/>
      <c r="F45" s="254"/>
      <c r="G45" s="254"/>
      <c r="H45" s="254"/>
    </row>
    <row r="46" spans="1:8">
      <c r="B46" s="254"/>
      <c r="C46" s="254"/>
      <c r="D46" s="254"/>
      <c r="E46" s="254"/>
      <c r="F46" s="254"/>
      <c r="G46" s="254"/>
      <c r="H46" s="254"/>
    </row>
    <row r="47" spans="1:8">
      <c r="A47" s="1" t="s">
        <v>582</v>
      </c>
      <c r="B47" s="254"/>
      <c r="C47" s="254"/>
      <c r="D47" s="254"/>
      <c r="E47" s="254"/>
      <c r="F47" s="254"/>
      <c r="G47" s="254"/>
      <c r="H47" s="254"/>
    </row>
    <row r="48" spans="1:8">
      <c r="A48" s="1" t="s">
        <v>583</v>
      </c>
      <c r="B48" s="254"/>
      <c r="C48" s="254"/>
      <c r="D48" s="254"/>
      <c r="E48" s="254"/>
      <c r="F48" s="254"/>
      <c r="G48" s="254"/>
      <c r="H48" s="254"/>
    </row>
    <row r="49" spans="1:8">
      <c r="A49" s="1" t="s">
        <v>584</v>
      </c>
      <c r="B49" s="254"/>
      <c r="C49" s="254"/>
      <c r="D49" s="254"/>
      <c r="E49" s="254"/>
      <c r="F49" s="254"/>
      <c r="G49" s="254"/>
      <c r="H49" s="254"/>
    </row>
    <row r="50" spans="1:8">
      <c r="A50" s="1" t="s">
        <v>585</v>
      </c>
      <c r="B50" s="254"/>
      <c r="C50" s="254"/>
      <c r="D50" s="254"/>
      <c r="E50" s="254"/>
      <c r="F50" s="254"/>
      <c r="G50" s="254"/>
      <c r="H50" s="254"/>
    </row>
    <row r="51" spans="1:8">
      <c r="B51" s="254"/>
      <c r="C51" s="254"/>
      <c r="D51" s="254"/>
      <c r="E51" s="254"/>
      <c r="F51" s="254"/>
      <c r="G51" s="254"/>
      <c r="H51" s="254"/>
    </row>
    <row r="52" spans="1:8">
      <c r="B52" s="254"/>
      <c r="C52" s="254"/>
      <c r="D52" s="254"/>
      <c r="E52" s="254"/>
      <c r="F52" s="254"/>
      <c r="G52" s="254"/>
      <c r="H52" s="254"/>
    </row>
    <row r="53" spans="1:8">
      <c r="A53" s="1" t="s">
        <v>586</v>
      </c>
      <c r="B53" s="254"/>
      <c r="C53" s="254"/>
      <c r="D53" s="254"/>
      <c r="E53" s="254"/>
      <c r="F53" s="254"/>
      <c r="G53" s="254"/>
      <c r="H53" s="254"/>
    </row>
    <row r="54" spans="1:8">
      <c r="A54" s="1" t="s">
        <v>587</v>
      </c>
      <c r="B54" s="254"/>
      <c r="C54" s="254"/>
      <c r="D54" s="254"/>
      <c r="E54" s="254"/>
      <c r="F54" s="254"/>
      <c r="G54" s="254"/>
      <c r="H54" s="254"/>
    </row>
    <row r="55" spans="1:8">
      <c r="A55" s="1" t="s">
        <v>588</v>
      </c>
      <c r="B55" s="254"/>
      <c r="C55" s="254"/>
      <c r="D55" s="254"/>
      <c r="E55" s="254"/>
      <c r="F55" s="254"/>
      <c r="G55" s="254"/>
      <c r="H55" s="254"/>
    </row>
    <row r="56" spans="1:8">
      <c r="A56" s="1" t="s">
        <v>589</v>
      </c>
      <c r="B56" s="254"/>
      <c r="C56" s="254"/>
      <c r="D56" s="254"/>
      <c r="E56" s="254"/>
      <c r="F56" s="254"/>
      <c r="G56" s="254"/>
      <c r="H56" s="254"/>
    </row>
    <row r="57" spans="1:8">
      <c r="A57" s="1" t="s">
        <v>590</v>
      </c>
      <c r="B57" s="254"/>
      <c r="C57" s="254"/>
      <c r="D57" s="254"/>
      <c r="E57" s="254"/>
      <c r="F57" s="254"/>
      <c r="G57" s="254"/>
      <c r="H57" s="254"/>
    </row>
    <row r="58" spans="1:8">
      <c r="B58" s="254"/>
      <c r="C58" s="254"/>
      <c r="D58" s="254"/>
      <c r="E58" s="254"/>
      <c r="F58" s="254"/>
      <c r="G58" s="254"/>
      <c r="H58" s="254"/>
    </row>
    <row r="59" spans="1:8">
      <c r="A59" s="1" t="s">
        <v>591</v>
      </c>
      <c r="B59" s="254"/>
      <c r="C59" s="254"/>
      <c r="D59" s="254"/>
      <c r="E59" s="254"/>
      <c r="F59" s="254"/>
      <c r="G59" s="254"/>
      <c r="H59" s="254"/>
    </row>
    <row r="60" spans="1:8">
      <c r="A60" s="1" t="s">
        <v>592</v>
      </c>
      <c r="B60" s="254"/>
      <c r="C60" s="254"/>
      <c r="D60" s="254"/>
      <c r="E60" s="254"/>
      <c r="F60" s="254"/>
      <c r="G60" s="254"/>
      <c r="H60" s="254"/>
    </row>
    <row r="61" spans="1:8">
      <c r="B61" s="254"/>
      <c r="C61" s="254"/>
      <c r="D61" s="254"/>
      <c r="E61" s="254"/>
      <c r="F61" s="254"/>
      <c r="G61" s="254"/>
      <c r="H61" s="254"/>
    </row>
    <row r="62" spans="1:8">
      <c r="A62" s="1" t="s">
        <v>555</v>
      </c>
      <c r="B62" s="571"/>
      <c r="C62" s="571"/>
      <c r="D62" s="571"/>
      <c r="E62" s="571"/>
      <c r="F62" s="571"/>
      <c r="G62" s="571"/>
      <c r="H62" s="571"/>
    </row>
    <row r="63" spans="1:8">
      <c r="A63" s="508"/>
      <c r="B63" s="571"/>
      <c r="C63" s="571"/>
      <c r="D63" s="571"/>
      <c r="E63" s="571"/>
      <c r="F63" s="571"/>
      <c r="G63" s="571"/>
      <c r="H63" s="571"/>
    </row>
    <row r="90" spans="1:1">
      <c r="A90" s="508"/>
    </row>
    <row r="91" spans="1:1">
      <c r="A91" s="508"/>
    </row>
    <row r="92" spans="1:1">
      <c r="A92" s="508"/>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L55"/>
  <sheetViews>
    <sheetView workbookViewId="0">
      <selection sqref="A1:G2"/>
    </sheetView>
  </sheetViews>
  <sheetFormatPr defaultRowHeight="15.75"/>
  <cols>
    <col min="1" max="1" width="66.77734375" style="1" customWidth="1"/>
  </cols>
  <sheetData>
    <row r="1" spans="1:12" ht="15.75" customHeight="1">
      <c r="A1" s="796" t="s">
        <v>593</v>
      </c>
      <c r="B1" s="571"/>
      <c r="C1" s="571"/>
      <c r="D1" s="571"/>
      <c r="E1" s="571"/>
      <c r="F1" s="571"/>
      <c r="G1" s="571"/>
      <c r="H1" s="571"/>
      <c r="I1" s="571"/>
      <c r="J1" s="571"/>
      <c r="K1" s="571"/>
      <c r="L1" s="571"/>
    </row>
    <row r="2" spans="1:12" ht="15.75" customHeight="1">
      <c r="A2" s="796"/>
      <c r="B2" s="571"/>
      <c r="C2" s="571"/>
      <c r="D2" s="571"/>
      <c r="E2" s="571"/>
      <c r="F2" s="571"/>
      <c r="G2" s="571"/>
      <c r="H2" s="571"/>
      <c r="I2" s="571"/>
      <c r="J2" s="571"/>
      <c r="K2" s="571"/>
      <c r="L2" s="571"/>
    </row>
    <row r="3" spans="1:12">
      <c r="A3" s="573" t="s">
        <v>594</v>
      </c>
      <c r="B3" s="255"/>
      <c r="C3" s="255"/>
      <c r="D3" s="255"/>
      <c r="E3" s="255"/>
      <c r="F3" s="255"/>
      <c r="G3" s="255"/>
      <c r="H3" s="255"/>
      <c r="I3" s="255"/>
      <c r="J3" s="255"/>
      <c r="K3" s="255"/>
      <c r="L3" s="255"/>
    </row>
    <row r="4" spans="1:12">
      <c r="A4" s="573"/>
      <c r="B4" s="255"/>
      <c r="C4" s="255"/>
      <c r="D4" s="255"/>
      <c r="E4" s="255"/>
      <c r="F4" s="255"/>
      <c r="G4" s="255"/>
      <c r="H4" s="255"/>
      <c r="I4" s="255"/>
      <c r="J4" s="255"/>
      <c r="K4" s="255"/>
      <c r="L4" s="255"/>
    </row>
    <row r="5" spans="1:12">
      <c r="B5" s="571"/>
      <c r="C5" s="571"/>
      <c r="D5" s="571"/>
      <c r="E5" s="571"/>
      <c r="F5" s="571"/>
      <c r="G5" s="571"/>
      <c r="H5" s="571"/>
      <c r="I5" s="255"/>
      <c r="J5" s="255"/>
      <c r="K5" s="255"/>
      <c r="L5" s="255"/>
    </row>
    <row r="6" spans="1:12">
      <c r="A6" s="1" t="str">
        <f>CONCATENATE("Welcome.  You have been directed to this tab because your estimated ",inputPrYr!C6-1," total expenditures")</f>
        <v>Welcome.  You have been directed to this tab because your estimated 2024 total expenditures</v>
      </c>
      <c r="B6" s="571"/>
      <c r="C6" s="571"/>
      <c r="D6" s="571"/>
      <c r="E6" s="571"/>
      <c r="F6" s="571"/>
      <c r="G6" s="571"/>
      <c r="H6" s="571"/>
      <c r="I6" s="255"/>
      <c r="J6" s="255"/>
      <c r="K6" s="255"/>
      <c r="L6" s="255"/>
    </row>
    <row r="7" spans="1:12">
      <c r="A7" s="509" t="str">
        <f>CONCATENATE("exceed your ",inputPrYr!C6-1," budget authority.")</f>
        <v>exceed your 2024 budget authority.</v>
      </c>
      <c r="B7" s="571"/>
      <c r="C7" s="571"/>
      <c r="D7" s="571"/>
      <c r="E7" s="571"/>
      <c r="F7" s="571"/>
      <c r="G7" s="571"/>
      <c r="H7" s="571"/>
      <c r="I7" s="255"/>
      <c r="J7" s="255"/>
      <c r="K7" s="255"/>
      <c r="L7" s="255"/>
    </row>
    <row r="8" spans="1:12">
      <c r="B8" s="571"/>
      <c r="C8" s="571"/>
      <c r="D8" s="571"/>
      <c r="E8" s="571"/>
      <c r="F8" s="571"/>
      <c r="G8" s="571"/>
      <c r="H8" s="571"/>
      <c r="I8" s="255"/>
      <c r="J8" s="255"/>
      <c r="K8" s="255"/>
      <c r="L8" s="255"/>
    </row>
    <row r="9" spans="1:12">
      <c r="A9" s="1" t="s">
        <v>595</v>
      </c>
      <c r="B9" s="571"/>
      <c r="C9" s="571"/>
      <c r="D9" s="571"/>
      <c r="E9" s="571"/>
      <c r="F9" s="571"/>
      <c r="G9" s="571"/>
      <c r="H9" s="571"/>
      <c r="I9" s="255"/>
      <c r="J9" s="255"/>
      <c r="K9" s="255"/>
      <c r="L9" s="255"/>
    </row>
    <row r="10" spans="1:12">
      <c r="A10" s="1" t="s">
        <v>596</v>
      </c>
      <c r="B10" s="571"/>
      <c r="C10" s="571"/>
      <c r="D10" s="571"/>
      <c r="E10" s="571"/>
      <c r="F10" s="571"/>
      <c r="G10" s="571"/>
      <c r="H10" s="571"/>
      <c r="I10" s="255"/>
      <c r="J10" s="255"/>
      <c r="K10" s="255"/>
      <c r="L10" s="255"/>
    </row>
    <row r="11" spans="1:12">
      <c r="A11" s="1" t="s">
        <v>597</v>
      </c>
      <c r="B11" s="571"/>
      <c r="C11" s="571"/>
      <c r="D11" s="571"/>
      <c r="E11" s="571"/>
      <c r="F11" s="571"/>
      <c r="G11" s="571"/>
      <c r="H11" s="571"/>
      <c r="I11" s="255"/>
      <c r="J11" s="255"/>
      <c r="K11" s="255"/>
      <c r="L11" s="255"/>
    </row>
    <row r="12" spans="1:12">
      <c r="A12" s="573"/>
      <c r="B12" s="255"/>
      <c r="C12" s="255"/>
      <c r="D12" s="255"/>
      <c r="E12" s="255"/>
      <c r="F12" s="255"/>
      <c r="G12" s="255"/>
      <c r="H12" s="255"/>
      <c r="I12" s="255"/>
      <c r="J12" s="255"/>
      <c r="K12" s="255"/>
      <c r="L12" s="255"/>
    </row>
    <row r="13" spans="1:12">
      <c r="A13" s="508" t="s">
        <v>598</v>
      </c>
      <c r="B13" s="571"/>
      <c r="C13" s="571"/>
      <c r="D13" s="571"/>
      <c r="E13" s="571"/>
      <c r="F13" s="571"/>
      <c r="G13" s="571"/>
      <c r="H13" s="571"/>
      <c r="I13" s="571"/>
      <c r="J13" s="571"/>
      <c r="K13" s="571"/>
      <c r="L13" s="571"/>
    </row>
    <row r="14" spans="1:12">
      <c r="B14" s="254"/>
      <c r="C14" s="254"/>
      <c r="D14" s="254"/>
      <c r="E14" s="254"/>
      <c r="F14" s="254"/>
      <c r="G14" s="254"/>
      <c r="H14" s="571"/>
      <c r="I14" s="571"/>
      <c r="J14" s="571"/>
      <c r="K14" s="571"/>
      <c r="L14" s="571"/>
    </row>
    <row r="15" spans="1:12">
      <c r="A15" s="1" t="str">
        <f>CONCATENATE("Naturally, our preference would be that you consider your ",inputPrYr!C6-1," numbers to see what steps might be")</f>
        <v>Naturally, our preference would be that you consider your 2024 numbers to see what steps might be</v>
      </c>
      <c r="B15" s="254"/>
      <c r="C15" s="254"/>
      <c r="D15" s="254"/>
      <c r="E15" s="254"/>
      <c r="F15" s="254"/>
      <c r="G15" s="254"/>
      <c r="H15" s="571"/>
      <c r="I15" s="571"/>
      <c r="J15" s="571"/>
      <c r="K15" s="571"/>
      <c r="L15" s="571"/>
    </row>
    <row r="16" spans="1:12" ht="17.25" customHeight="1">
      <c r="A16" s="1" t="s">
        <v>599</v>
      </c>
      <c r="B16" s="254"/>
      <c r="C16" s="254"/>
      <c r="D16" s="254"/>
      <c r="E16" s="254"/>
      <c r="F16" s="254"/>
      <c r="G16" s="254"/>
      <c r="H16" s="571"/>
      <c r="I16" s="571"/>
      <c r="J16" s="571"/>
      <c r="K16" s="571"/>
      <c r="L16" s="571"/>
    </row>
    <row r="17" spans="1:7" ht="17.25" customHeight="1">
      <c r="A17" s="1" t="s">
        <v>600</v>
      </c>
      <c r="B17" s="254"/>
      <c r="C17" s="254"/>
      <c r="D17" s="254"/>
      <c r="E17" s="254"/>
      <c r="F17" s="254"/>
      <c r="G17" s="254"/>
    </row>
    <row r="19" spans="1:7">
      <c r="A19" s="508" t="s">
        <v>601</v>
      </c>
      <c r="B19" s="571"/>
      <c r="C19" s="571"/>
      <c r="D19" s="571"/>
      <c r="E19" s="571"/>
      <c r="F19" s="571"/>
      <c r="G19" s="571"/>
    </row>
    <row r="20" spans="1:7">
      <c r="A20" s="508"/>
      <c r="B20" s="571"/>
      <c r="C20" s="571"/>
      <c r="D20" s="571"/>
      <c r="E20" s="571"/>
      <c r="F20" s="571"/>
      <c r="G20" s="571"/>
    </row>
    <row r="21" spans="1:7">
      <c r="A21" s="1" t="s">
        <v>602</v>
      </c>
      <c r="B21" s="571"/>
      <c r="C21" s="571"/>
      <c r="D21" s="571"/>
      <c r="E21" s="571"/>
      <c r="F21" s="571"/>
      <c r="G21" s="571"/>
    </row>
    <row r="22" spans="1:7">
      <c r="A22" s="1" t="s">
        <v>603</v>
      </c>
      <c r="B22" s="254"/>
      <c r="C22" s="254"/>
      <c r="D22" s="254"/>
      <c r="E22" s="254"/>
      <c r="F22" s="254"/>
      <c r="G22" s="571"/>
    </row>
    <row r="23" spans="1:7">
      <c r="B23" s="254"/>
      <c r="C23" s="254"/>
      <c r="D23" s="254"/>
      <c r="E23" s="254"/>
      <c r="F23" s="254"/>
      <c r="G23" s="571"/>
    </row>
    <row r="24" spans="1:7">
      <c r="A24" s="508" t="s">
        <v>604</v>
      </c>
      <c r="B24" s="253"/>
      <c r="C24" s="253"/>
      <c r="D24" s="253"/>
      <c r="E24" s="253"/>
      <c r="F24" s="253"/>
      <c r="G24" s="253"/>
    </row>
    <row r="25" spans="1:7">
      <c r="B25" s="254"/>
      <c r="C25" s="254"/>
      <c r="D25" s="254"/>
      <c r="E25" s="254"/>
      <c r="F25" s="254"/>
      <c r="G25" s="571"/>
    </row>
    <row r="26" spans="1:7">
      <c r="A26" s="510" t="str">
        <f>CONCATENATE("Well, let's look to see if any of your ",inputPrYr!C6-1," expenditures can be reduced or eliminated.  For example,")</f>
        <v>Well, let's look to see if any of your 2024 expenditures can be reduced or eliminated.  For example,</v>
      </c>
      <c r="B26" s="254"/>
      <c r="C26" s="254"/>
      <c r="D26" s="254"/>
      <c r="E26" s="254"/>
      <c r="F26" s="254"/>
      <c r="G26" s="571"/>
    </row>
    <row r="27" spans="1:7">
      <c r="A27" s="510" t="s">
        <v>605</v>
      </c>
      <c r="B27" s="254"/>
      <c r="C27" s="254"/>
      <c r="D27" s="254"/>
      <c r="E27" s="254"/>
      <c r="F27" s="254"/>
      <c r="G27" s="571"/>
    </row>
    <row r="28" spans="1:7">
      <c r="A28" s="510" t="s">
        <v>606</v>
      </c>
      <c r="B28" s="254"/>
      <c r="C28" s="254"/>
      <c r="D28" s="254"/>
      <c r="E28" s="254"/>
      <c r="F28" s="254"/>
      <c r="G28" s="571"/>
    </row>
    <row r="29" spans="1:7">
      <c r="A29" s="510"/>
      <c r="B29" s="254"/>
      <c r="C29" s="254"/>
      <c r="D29" s="254"/>
      <c r="E29" s="254"/>
      <c r="F29" s="254"/>
      <c r="G29" s="571"/>
    </row>
    <row r="30" spans="1:7">
      <c r="A30" s="510" t="str">
        <f>CONCATENATE("Additionally, do your ",inputPrYr!C6-1," receipts contain a reimbursement (e.g. FEMA)?  If so, instead of showing")</f>
        <v>Additionally, do your 2024 receipts contain a reimbursement (e.g. FEMA)?  If so, instead of showing</v>
      </c>
      <c r="B30" s="254"/>
      <c r="C30" s="254"/>
      <c r="D30" s="254"/>
      <c r="E30" s="254"/>
      <c r="F30" s="254"/>
      <c r="G30" s="571"/>
    </row>
    <row r="31" spans="1:7">
      <c r="A31" s="510" t="s">
        <v>607</v>
      </c>
      <c r="B31" s="254"/>
      <c r="C31" s="254"/>
      <c r="D31" s="254"/>
      <c r="E31" s="254"/>
      <c r="F31" s="254"/>
      <c r="G31" s="571"/>
    </row>
    <row r="32" spans="1:7">
      <c r="A32" s="510"/>
      <c r="B32" s="254"/>
      <c r="C32" s="254"/>
      <c r="D32" s="254"/>
      <c r="E32" s="254"/>
      <c r="F32" s="254"/>
      <c r="G32" s="571"/>
    </row>
    <row r="33" spans="1:6">
      <c r="A33" s="510" t="s">
        <v>608</v>
      </c>
      <c r="B33" s="254"/>
      <c r="C33" s="254"/>
      <c r="D33" s="254"/>
      <c r="E33" s="254"/>
      <c r="F33" s="254"/>
    </row>
    <row r="34" spans="1:6">
      <c r="A34" s="510" t="s">
        <v>609</v>
      </c>
      <c r="B34" s="254"/>
      <c r="C34" s="254"/>
      <c r="D34" s="254"/>
      <c r="E34" s="254"/>
      <c r="F34" s="254"/>
    </row>
    <row r="35" spans="1:6">
      <c r="A35" s="510" t="s">
        <v>610</v>
      </c>
      <c r="B35" s="254"/>
      <c r="C35" s="254"/>
      <c r="D35" s="254"/>
      <c r="E35" s="254"/>
      <c r="F35" s="254"/>
    </row>
    <row r="36" spans="1:6">
      <c r="A36" s="510" t="s">
        <v>611</v>
      </c>
      <c r="B36" s="254"/>
      <c r="C36" s="254"/>
      <c r="D36" s="254"/>
      <c r="E36" s="254"/>
      <c r="F36" s="254"/>
    </row>
    <row r="37" spans="1:6">
      <c r="A37" s="510" t="s">
        <v>536</v>
      </c>
      <c r="B37" s="254"/>
      <c r="C37" s="254"/>
      <c r="D37" s="254"/>
      <c r="E37" s="254"/>
      <c r="F37" s="254"/>
    </row>
    <row r="38" spans="1:6">
      <c r="A38" s="510"/>
      <c r="B38" s="254"/>
      <c r="C38" s="254"/>
      <c r="D38" s="254"/>
      <c r="E38" s="254"/>
      <c r="F38" s="254"/>
    </row>
    <row r="39" spans="1:6">
      <c r="A39" s="510" t="s">
        <v>537</v>
      </c>
      <c r="B39" s="254"/>
      <c r="C39" s="254"/>
      <c r="D39" s="254"/>
      <c r="E39" s="254"/>
      <c r="F39" s="254"/>
    </row>
    <row r="40" spans="1:6">
      <c r="A40" s="510" t="s">
        <v>538</v>
      </c>
      <c r="B40" s="254"/>
      <c r="C40" s="254"/>
      <c r="D40" s="254"/>
      <c r="E40" s="254"/>
      <c r="F40" s="254"/>
    </row>
    <row r="41" spans="1:6">
      <c r="A41" s="510"/>
      <c r="B41" s="254"/>
      <c r="C41" s="254"/>
      <c r="D41" s="254"/>
      <c r="E41" s="254"/>
      <c r="F41" s="254"/>
    </row>
    <row r="42" spans="1:6">
      <c r="A42" s="510" t="s">
        <v>612</v>
      </c>
      <c r="B42" s="254"/>
      <c r="C42" s="254"/>
      <c r="D42" s="254"/>
      <c r="E42" s="254"/>
      <c r="F42" s="254"/>
    </row>
    <row r="43" spans="1:6">
      <c r="A43" s="510" t="s">
        <v>613</v>
      </c>
      <c r="B43" s="254"/>
      <c r="C43" s="254"/>
      <c r="D43" s="254"/>
      <c r="E43" s="254"/>
      <c r="F43" s="254"/>
    </row>
    <row r="44" spans="1:6">
      <c r="A44" s="510" t="s">
        <v>614</v>
      </c>
      <c r="B44" s="254"/>
      <c r="C44" s="254"/>
      <c r="D44" s="254"/>
      <c r="E44" s="254"/>
      <c r="F44" s="254"/>
    </row>
    <row r="45" spans="1:6">
      <c r="A45" s="510"/>
      <c r="B45" s="254"/>
      <c r="C45" s="254"/>
      <c r="D45" s="254"/>
      <c r="E45" s="254"/>
      <c r="F45" s="254"/>
    </row>
    <row r="46" spans="1:6">
      <c r="A46" s="510" t="s">
        <v>615</v>
      </c>
      <c r="B46" s="254"/>
      <c r="C46" s="254"/>
      <c r="D46" s="254"/>
      <c r="E46" s="254"/>
      <c r="F46" s="254"/>
    </row>
    <row r="47" spans="1:6">
      <c r="A47" s="510" t="s">
        <v>616</v>
      </c>
      <c r="B47" s="254"/>
      <c r="C47" s="254"/>
      <c r="D47" s="254"/>
      <c r="E47" s="254"/>
      <c r="F47" s="254"/>
    </row>
    <row r="48" spans="1:6">
      <c r="A48" s="510" t="s">
        <v>617</v>
      </c>
      <c r="B48" s="571"/>
      <c r="C48" s="571"/>
      <c r="D48" s="571"/>
      <c r="E48" s="571"/>
      <c r="F48" s="571"/>
    </row>
    <row r="50" spans="1:1">
      <c r="A50" s="1" t="s">
        <v>618</v>
      </c>
    </row>
    <row r="51" spans="1:1">
      <c r="A51" s="1" t="s">
        <v>619</v>
      </c>
    </row>
    <row r="52" spans="1:1">
      <c r="A52" s="1" t="s">
        <v>620</v>
      </c>
    </row>
    <row r="53" spans="1:1">
      <c r="A53" s="1" t="s">
        <v>621</v>
      </c>
    </row>
    <row r="55" spans="1:1">
      <c r="A55" s="1" t="s">
        <v>555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G59"/>
  <sheetViews>
    <sheetView workbookViewId="0">
      <selection sqref="A1:G2"/>
    </sheetView>
  </sheetViews>
  <sheetFormatPr defaultRowHeight="15.75"/>
  <cols>
    <col min="1" max="1" width="66.77734375" style="1" customWidth="1"/>
  </cols>
  <sheetData>
    <row r="1" spans="1:7" ht="15.75" customHeight="1">
      <c r="A1" s="796" t="s">
        <v>622</v>
      </c>
      <c r="B1" s="571"/>
      <c r="C1" s="571"/>
      <c r="D1" s="571"/>
      <c r="E1" s="571"/>
      <c r="F1" s="571"/>
      <c r="G1" s="571"/>
    </row>
    <row r="2" spans="1:7" ht="15.75" customHeight="1">
      <c r="A2" s="796"/>
      <c r="B2" s="571"/>
      <c r="C2" s="571"/>
      <c r="D2" s="571"/>
      <c r="E2" s="571"/>
      <c r="F2" s="571"/>
      <c r="G2" s="571"/>
    </row>
    <row r="3" spans="1:7">
      <c r="A3" s="573" t="s">
        <v>623</v>
      </c>
      <c r="B3" s="255"/>
      <c r="C3" s="255"/>
      <c r="D3" s="255"/>
      <c r="E3" s="255"/>
      <c r="F3" s="255"/>
      <c r="G3" s="255"/>
    </row>
    <row r="4" spans="1:7">
      <c r="A4" s="573"/>
      <c r="B4" s="255"/>
      <c r="C4" s="255"/>
      <c r="D4" s="255"/>
      <c r="E4" s="255"/>
      <c r="F4" s="255"/>
      <c r="G4" s="255"/>
    </row>
    <row r="5" spans="1:7">
      <c r="A5" s="1" t="str">
        <f>CONCATENATE("Welcome.  You have been directed to this tab because your ",inputPrYr!C6," estimated expenditures show")</f>
        <v>Welcome.  You have been directed to this tab because your 2025 estimated expenditures show</v>
      </c>
      <c r="B5" s="571"/>
      <c r="C5" s="571"/>
      <c r="D5" s="571"/>
      <c r="E5" s="571"/>
      <c r="F5" s="571"/>
      <c r="G5" s="571"/>
    </row>
    <row r="6" spans="1:7">
      <c r="A6" s="1" t="s">
        <v>624</v>
      </c>
      <c r="B6" s="571"/>
      <c r="C6" s="571"/>
      <c r="D6" s="571"/>
      <c r="E6" s="571"/>
      <c r="F6" s="571"/>
      <c r="G6" s="571"/>
    </row>
    <row r="8" spans="1:7">
      <c r="A8" s="1" t="s">
        <v>559</v>
      </c>
      <c r="B8" s="571"/>
      <c r="C8" s="571"/>
      <c r="D8" s="571"/>
      <c r="E8" s="571"/>
      <c r="F8" s="571"/>
      <c r="G8" s="571"/>
    </row>
    <row r="9" spans="1:7">
      <c r="A9" s="1" t="s">
        <v>560</v>
      </c>
      <c r="B9" s="571"/>
      <c r="C9" s="571"/>
      <c r="D9" s="571"/>
      <c r="E9" s="571"/>
      <c r="F9" s="571"/>
      <c r="G9" s="571"/>
    </row>
    <row r="10" spans="1:7">
      <c r="A10" s="573"/>
      <c r="B10" s="255"/>
      <c r="C10" s="255"/>
      <c r="D10" s="255"/>
      <c r="E10" s="255"/>
      <c r="F10" s="255"/>
      <c r="G10" s="255"/>
    </row>
    <row r="11" spans="1:7">
      <c r="A11" s="508" t="s">
        <v>625</v>
      </c>
      <c r="B11" s="571"/>
      <c r="C11" s="571"/>
      <c r="D11" s="571"/>
      <c r="E11" s="571"/>
      <c r="F11" s="571"/>
      <c r="G11" s="571"/>
    </row>
    <row r="13" spans="1:7">
      <c r="A13" s="1" t="s">
        <v>626</v>
      </c>
      <c r="B13" s="571"/>
      <c r="C13" s="571"/>
      <c r="D13" s="571"/>
      <c r="E13" s="571"/>
      <c r="F13" s="571"/>
      <c r="G13" s="571"/>
    </row>
    <row r="14" spans="1:7">
      <c r="A14" s="1" t="s">
        <v>627</v>
      </c>
      <c r="B14" s="571"/>
      <c r="C14" s="571"/>
      <c r="D14" s="571"/>
      <c r="E14" s="571"/>
      <c r="F14" s="571"/>
      <c r="G14" s="571"/>
    </row>
    <row r="16" spans="1:7">
      <c r="A16" s="1" t="s">
        <v>628</v>
      </c>
      <c r="B16" s="571"/>
      <c r="C16" s="571"/>
      <c r="D16" s="571"/>
      <c r="E16" s="571"/>
      <c r="F16" s="571"/>
      <c r="G16" s="571"/>
    </row>
    <row r="17" spans="1:7">
      <c r="A17" s="1" t="s">
        <v>629</v>
      </c>
      <c r="B17" s="571"/>
      <c r="C17" s="571"/>
      <c r="D17" s="571"/>
      <c r="E17" s="571"/>
      <c r="F17" s="571"/>
      <c r="G17" s="571"/>
    </row>
    <row r="19" spans="1:7">
      <c r="A19" s="508" t="s">
        <v>601</v>
      </c>
      <c r="B19" s="571"/>
      <c r="C19" s="571"/>
      <c r="D19" s="571"/>
      <c r="E19" s="571"/>
      <c r="F19" s="571"/>
      <c r="G19" s="571"/>
    </row>
    <row r="20" spans="1:7">
      <c r="A20" s="508"/>
      <c r="B20" s="571"/>
      <c r="C20" s="571"/>
      <c r="D20" s="571"/>
      <c r="E20" s="571"/>
      <c r="F20" s="571"/>
      <c r="G20" s="571"/>
    </row>
    <row r="21" spans="1:7">
      <c r="A21" s="1" t="s">
        <v>630</v>
      </c>
      <c r="B21" s="571"/>
      <c r="C21" s="571"/>
      <c r="D21" s="571"/>
      <c r="E21" s="571"/>
      <c r="F21" s="571"/>
      <c r="G21" s="571"/>
    </row>
    <row r="22" spans="1:7">
      <c r="A22" s="1" t="s">
        <v>631</v>
      </c>
      <c r="B22" s="254"/>
      <c r="C22" s="254"/>
      <c r="D22" s="254"/>
      <c r="E22" s="254"/>
      <c r="F22" s="254"/>
      <c r="G22" s="571"/>
    </row>
    <row r="23" spans="1:7">
      <c r="B23" s="254"/>
      <c r="C23" s="254"/>
      <c r="D23" s="254"/>
      <c r="E23" s="254"/>
      <c r="F23" s="254"/>
      <c r="G23" s="571"/>
    </row>
    <row r="25" spans="1:7">
      <c r="A25" s="508" t="s">
        <v>604</v>
      </c>
      <c r="B25" s="253"/>
      <c r="C25" s="253"/>
      <c r="D25" s="253"/>
      <c r="E25" s="253"/>
      <c r="F25" s="253"/>
      <c r="G25" s="253"/>
    </row>
    <row r="26" spans="1:7">
      <c r="A26" s="508"/>
      <c r="B26" s="253"/>
      <c r="C26" s="253"/>
      <c r="D26" s="253"/>
      <c r="E26" s="253"/>
      <c r="F26" s="253"/>
      <c r="G26" s="253"/>
    </row>
    <row r="27" spans="1:7">
      <c r="A27" s="1" t="s">
        <v>632</v>
      </c>
      <c r="B27" s="254"/>
      <c r="C27" s="254"/>
      <c r="D27" s="254"/>
      <c r="E27" s="254"/>
      <c r="F27" s="254"/>
      <c r="G27" s="254"/>
    </row>
    <row r="28" spans="1:7">
      <c r="A28" s="1" t="s">
        <v>633</v>
      </c>
      <c r="B28" s="254"/>
      <c r="C28" s="254"/>
      <c r="D28" s="254"/>
      <c r="E28" s="254"/>
      <c r="F28" s="254"/>
      <c r="G28" s="254"/>
    </row>
    <row r="29" spans="1:7">
      <c r="A29" s="1" t="s">
        <v>634</v>
      </c>
      <c r="B29" s="254"/>
      <c r="C29" s="254"/>
      <c r="D29" s="254"/>
      <c r="E29" s="254"/>
      <c r="F29" s="254"/>
      <c r="G29" s="254"/>
    </row>
    <row r="30" spans="1:7">
      <c r="A30" s="508"/>
      <c r="B30" s="253"/>
      <c r="C30" s="253"/>
      <c r="D30" s="253"/>
      <c r="E30" s="253"/>
      <c r="F30" s="253"/>
      <c r="G30" s="253"/>
    </row>
    <row r="31" spans="1:7">
      <c r="A31" s="510" t="str">
        <f>CONCATENATE("So, let's look to see if any of your ",inputPrYr!C6-1," expenditures can be reduced or eliminated. For example,")</f>
        <v>So, let's look to see if any of your 2024 expenditures can be reduced or eliminated. For example,</v>
      </c>
      <c r="B31" s="254"/>
      <c r="C31" s="254"/>
      <c r="D31" s="254"/>
      <c r="E31" s="254"/>
      <c r="F31" s="254"/>
      <c r="G31" s="571"/>
    </row>
    <row r="32" spans="1:7">
      <c r="A32" s="510" t="s">
        <v>529</v>
      </c>
      <c r="B32" s="254"/>
      <c r="C32" s="254"/>
      <c r="D32" s="254"/>
      <c r="E32" s="254"/>
      <c r="F32" s="254"/>
      <c r="G32" s="571"/>
    </row>
    <row r="33" spans="1:7">
      <c r="A33" s="510" t="s">
        <v>530</v>
      </c>
      <c r="B33" s="254"/>
      <c r="C33" s="254"/>
      <c r="D33" s="254"/>
      <c r="E33" s="254"/>
      <c r="F33" s="254"/>
      <c r="G33" s="571"/>
    </row>
    <row r="35" spans="1:7">
      <c r="A35" s="510" t="str">
        <f>CONCATENATE("Additionally, do your ",inputPrYr!C6-1," receipts contain a reimbursement (e.g. FEMA)?  If so, instead of")</f>
        <v>Additionally, do your 2024 receipts contain a reimbursement (e.g. FEMA)?  If so, instead of</v>
      </c>
      <c r="B35" s="254"/>
      <c r="C35" s="254"/>
      <c r="D35" s="254"/>
      <c r="E35" s="254"/>
      <c r="F35" s="254"/>
      <c r="G35" s="571"/>
    </row>
    <row r="36" spans="1:7">
      <c r="A36" s="510" t="s">
        <v>635</v>
      </c>
      <c r="B36" s="254"/>
      <c r="C36" s="254"/>
      <c r="D36" s="254"/>
      <c r="E36" s="254"/>
      <c r="F36" s="254"/>
      <c r="G36" s="571"/>
    </row>
    <row r="37" spans="1:7">
      <c r="B37" s="254"/>
      <c r="C37" s="254"/>
      <c r="D37" s="254"/>
      <c r="E37" s="254"/>
      <c r="F37" s="254"/>
      <c r="G37" s="254"/>
    </row>
    <row r="38" spans="1:7">
      <c r="A38" s="1" t="s">
        <v>636</v>
      </c>
      <c r="B38" s="254"/>
      <c r="C38" s="254"/>
      <c r="D38" s="254"/>
      <c r="E38" s="254"/>
      <c r="F38" s="254"/>
      <c r="G38" s="254"/>
    </row>
    <row r="39" spans="1:7">
      <c r="A39" s="1" t="s">
        <v>637</v>
      </c>
      <c r="B39" s="254"/>
      <c r="C39" s="254"/>
      <c r="D39" s="254"/>
      <c r="E39" s="254"/>
      <c r="F39" s="254"/>
      <c r="G39" s="254"/>
    </row>
    <row r="40" spans="1:7">
      <c r="A40" s="1" t="s">
        <v>638</v>
      </c>
      <c r="B40" s="254"/>
      <c r="C40" s="254"/>
      <c r="D40" s="254"/>
      <c r="E40" s="254"/>
      <c r="F40" s="254"/>
      <c r="G40" s="254"/>
    </row>
    <row r="41" spans="1:7">
      <c r="B41" s="254"/>
      <c r="C41" s="254"/>
      <c r="D41" s="254"/>
      <c r="E41" s="254"/>
      <c r="F41" s="254"/>
      <c r="G41" s="254"/>
    </row>
    <row r="42" spans="1:7">
      <c r="A42" s="510" t="s">
        <v>537</v>
      </c>
      <c r="B42" s="254"/>
      <c r="C42" s="254"/>
      <c r="D42" s="254"/>
      <c r="E42" s="254"/>
      <c r="F42" s="254"/>
      <c r="G42" s="571"/>
    </row>
    <row r="43" spans="1:7">
      <c r="A43" s="510" t="s">
        <v>538</v>
      </c>
      <c r="B43" s="254"/>
      <c r="C43" s="254"/>
      <c r="D43" s="254"/>
      <c r="E43" s="254"/>
      <c r="F43" s="254"/>
      <c r="G43" s="571"/>
    </row>
    <row r="44" spans="1:7">
      <c r="A44" s="510"/>
      <c r="B44" s="254"/>
      <c r="C44" s="254"/>
      <c r="D44" s="254"/>
      <c r="E44" s="254"/>
      <c r="F44" s="254"/>
      <c r="G44" s="571"/>
    </row>
    <row r="45" spans="1:7">
      <c r="A45" s="1" t="s">
        <v>639</v>
      </c>
      <c r="B45" s="254"/>
      <c r="C45" s="254"/>
      <c r="D45" s="254"/>
      <c r="E45" s="254"/>
      <c r="F45" s="254"/>
      <c r="G45" s="254"/>
    </row>
    <row r="46" spans="1:7">
      <c r="A46" s="1" t="s">
        <v>640</v>
      </c>
      <c r="B46" s="254"/>
      <c r="C46" s="254"/>
      <c r="D46" s="254"/>
      <c r="E46" s="254"/>
      <c r="F46" s="254"/>
      <c r="G46" s="254"/>
    </row>
    <row r="47" spans="1:7">
      <c r="A47" s="1" t="s">
        <v>641</v>
      </c>
      <c r="B47" s="254"/>
      <c r="C47" s="254"/>
      <c r="D47" s="254"/>
      <c r="E47" s="254"/>
      <c r="F47" s="254"/>
      <c r="G47" s="254"/>
    </row>
    <row r="49" spans="1:6">
      <c r="A49" s="510" t="s">
        <v>612</v>
      </c>
      <c r="B49" s="254"/>
      <c r="C49" s="254"/>
      <c r="D49" s="254"/>
      <c r="E49" s="254"/>
      <c r="F49" s="254"/>
    </row>
    <row r="50" spans="1:6">
      <c r="A50" s="510" t="s">
        <v>642</v>
      </c>
      <c r="B50" s="254"/>
      <c r="C50" s="254"/>
      <c r="D50" s="254"/>
      <c r="E50" s="254"/>
      <c r="F50" s="254"/>
    </row>
    <row r="51" spans="1:6">
      <c r="A51" s="510" t="s">
        <v>643</v>
      </c>
      <c r="B51" s="254"/>
      <c r="C51" s="254"/>
      <c r="D51" s="254"/>
      <c r="E51" s="254"/>
      <c r="F51" s="254"/>
    </row>
    <row r="53" spans="1:6">
      <c r="A53" s="1" t="s">
        <v>555</v>
      </c>
      <c r="B53" s="571"/>
      <c r="C53" s="571"/>
      <c r="D53" s="571"/>
      <c r="E53" s="571"/>
      <c r="F53" s="571"/>
    </row>
    <row r="59" spans="1:6">
      <c r="A59" s="508"/>
      <c r="B59" s="571"/>
      <c r="C59" s="571"/>
      <c r="D59" s="571"/>
      <c r="E59" s="571"/>
      <c r="F59" s="571"/>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G39"/>
  <sheetViews>
    <sheetView workbookViewId="0">
      <selection sqref="A1:G2"/>
    </sheetView>
  </sheetViews>
  <sheetFormatPr defaultRowHeight="15.75"/>
  <cols>
    <col min="1" max="1" width="66.77734375" style="1" customWidth="1"/>
  </cols>
  <sheetData>
    <row r="1" spans="1:7" ht="15.75" customHeight="1">
      <c r="A1" s="796" t="s">
        <v>644</v>
      </c>
      <c r="B1" s="571"/>
      <c r="C1" s="571"/>
      <c r="D1" s="571"/>
      <c r="E1" s="571"/>
      <c r="F1" s="571"/>
      <c r="G1" s="571"/>
    </row>
    <row r="2" spans="1:7" ht="15.75" customHeight="1">
      <c r="A2" s="796"/>
      <c r="B2" s="571"/>
      <c r="C2" s="571"/>
      <c r="D2" s="571"/>
      <c r="E2" s="571"/>
      <c r="F2" s="571"/>
      <c r="G2" s="571"/>
    </row>
    <row r="3" spans="1:7">
      <c r="A3" s="573" t="s">
        <v>645</v>
      </c>
      <c r="B3" s="255"/>
      <c r="C3" s="255"/>
      <c r="D3" s="255"/>
      <c r="E3" s="255"/>
      <c r="F3" s="255"/>
      <c r="G3" s="255"/>
    </row>
    <row r="4" spans="1:7">
      <c r="A4" s="573"/>
      <c r="B4" s="255"/>
      <c r="C4" s="255"/>
      <c r="D4" s="255"/>
      <c r="E4" s="255"/>
      <c r="F4" s="255"/>
      <c r="G4" s="255"/>
    </row>
    <row r="5" spans="1:7">
      <c r="A5" s="573"/>
      <c r="B5" s="255"/>
      <c r="C5" s="255"/>
      <c r="D5" s="255"/>
      <c r="E5" s="255"/>
      <c r="F5" s="255"/>
      <c r="G5" s="255"/>
    </row>
    <row r="6" spans="1:7">
      <c r="A6" s="1" t="str">
        <f>CONCATENATE("Welcome. You have been directed to this tab because your estimated ",inputPrYr!C6," total expenditures")</f>
        <v>Welcome. You have been directed to this tab because your estimated 2025 total expenditures</v>
      </c>
      <c r="B6" s="571"/>
      <c r="C6" s="571"/>
      <c r="D6" s="571"/>
      <c r="E6" s="571"/>
      <c r="F6" s="571"/>
      <c r="G6" s="571"/>
    </row>
    <row r="7" spans="1:7">
      <c r="A7" s="1" t="str">
        <f>CONCATENATE("your ",inputPrYr!C6," unemcumbered cash balance Dec 31.")</f>
        <v>your 2025 unemcumbered cash balance Dec 31.</v>
      </c>
      <c r="B7" s="571"/>
      <c r="C7" s="571"/>
      <c r="D7" s="571"/>
      <c r="E7" s="571"/>
      <c r="F7" s="571"/>
      <c r="G7" s="571"/>
    </row>
    <row r="9" spans="1:7">
      <c r="A9" s="1" t="s">
        <v>646</v>
      </c>
      <c r="B9" s="571"/>
      <c r="C9" s="571"/>
      <c r="D9" s="571"/>
      <c r="E9" s="571"/>
      <c r="F9" s="571"/>
      <c r="G9" s="571"/>
    </row>
    <row r="10" spans="1:7">
      <c r="A10" s="1" t="s">
        <v>647</v>
      </c>
      <c r="B10" s="571"/>
      <c r="C10" s="571"/>
      <c r="D10" s="571"/>
      <c r="E10" s="571"/>
      <c r="F10" s="571"/>
      <c r="G10" s="571"/>
    </row>
    <row r="12" spans="1:7">
      <c r="A12" s="508" t="s">
        <v>648</v>
      </c>
      <c r="B12" s="571"/>
      <c r="C12" s="571"/>
      <c r="D12" s="571"/>
      <c r="E12" s="571"/>
      <c r="F12" s="571"/>
      <c r="G12" s="571"/>
    </row>
    <row r="13" spans="1:7">
      <c r="A13" s="573"/>
      <c r="B13" s="255"/>
      <c r="C13" s="255"/>
      <c r="D13" s="255"/>
      <c r="E13" s="255"/>
      <c r="F13" s="255"/>
      <c r="G13" s="255"/>
    </row>
    <row r="14" spans="1:7">
      <c r="A14" s="1" t="s">
        <v>649</v>
      </c>
      <c r="B14" s="571"/>
      <c r="C14" s="571"/>
      <c r="D14" s="571"/>
      <c r="E14" s="571"/>
      <c r="F14" s="571"/>
      <c r="G14" s="571"/>
    </row>
    <row r="15" spans="1:7">
      <c r="A15" s="1" t="s">
        <v>650</v>
      </c>
      <c r="B15" s="571"/>
      <c r="C15" s="571"/>
      <c r="D15" s="571"/>
      <c r="E15" s="571"/>
      <c r="F15" s="571"/>
      <c r="G15" s="571"/>
    </row>
    <row r="17" spans="1:1">
      <c r="A17" s="508" t="s">
        <v>651</v>
      </c>
    </row>
    <row r="19" spans="1:1">
      <c r="A19" s="1" t="s">
        <v>652</v>
      </c>
    </row>
    <row r="20" spans="1:1">
      <c r="A20" s="1" t="s">
        <v>653</v>
      </c>
    </row>
    <row r="22" spans="1:1">
      <c r="A22" s="508" t="s">
        <v>654</v>
      </c>
    </row>
    <row r="24" spans="1:1">
      <c r="A24" s="1" t="s">
        <v>655</v>
      </c>
    </row>
    <row r="25" spans="1:1">
      <c r="A25" s="1" t="s">
        <v>656</v>
      </c>
    </row>
    <row r="26" spans="1:1">
      <c r="A26" s="1" t="s">
        <v>657</v>
      </c>
    </row>
    <row r="28" spans="1:1">
      <c r="A28" s="1" t="s">
        <v>658</v>
      </c>
    </row>
    <row r="29" spans="1:1">
      <c r="A29" s="1" t="s">
        <v>659</v>
      </c>
    </row>
    <row r="30" spans="1:1">
      <c r="A30" s="1" t="s">
        <v>660</v>
      </c>
    </row>
    <row r="32" spans="1:1">
      <c r="A32" s="1" t="s">
        <v>661</v>
      </c>
    </row>
    <row r="33" spans="1:1">
      <c r="A33" s="1" t="s">
        <v>662</v>
      </c>
    </row>
    <row r="34" spans="1:1">
      <c r="A34" s="1" t="s">
        <v>663</v>
      </c>
    </row>
    <row r="36" spans="1:1">
      <c r="A36" s="1" t="s">
        <v>664</v>
      </c>
    </row>
    <row r="37" spans="1:1">
      <c r="A37" s="1" t="s">
        <v>665</v>
      </c>
    </row>
    <row r="39" spans="1:1">
      <c r="A39" s="1" t="s">
        <v>555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1482-8C32-4D4B-9450-18C15EB0B383}">
  <sheetPr codeName="Sheet37"/>
  <dimension ref="A1:N245"/>
  <sheetViews>
    <sheetView workbookViewId="0">
      <selection sqref="A1:G2"/>
    </sheetView>
  </sheetViews>
  <sheetFormatPr defaultRowHeight="15"/>
  <cols>
    <col min="1" max="1" width="3.44140625" customWidth="1"/>
    <col min="2" max="2" width="8" customWidth="1"/>
  </cols>
  <sheetData>
    <row r="1" spans="1:5" ht="15.75" customHeight="1">
      <c r="A1" s="571"/>
      <c r="B1" s="571"/>
      <c r="C1" s="571"/>
      <c r="D1" s="571"/>
      <c r="E1" s="571"/>
    </row>
    <row r="2" spans="1:5" ht="9.75" customHeight="1">
      <c r="A2" s="571"/>
      <c r="B2" s="571"/>
      <c r="C2" s="571"/>
      <c r="D2" s="571"/>
      <c r="E2" s="571"/>
    </row>
    <row r="3" spans="1:5" ht="18">
      <c r="A3" s="549" t="s">
        <v>116</v>
      </c>
      <c r="B3" s="571"/>
      <c r="C3" s="571"/>
      <c r="D3" s="571"/>
      <c r="E3" s="571"/>
    </row>
    <row r="4" spans="1:5" ht="9.75" customHeight="1">
      <c r="A4" s="571"/>
      <c r="B4" s="537"/>
      <c r="C4" s="571"/>
      <c r="D4" s="571"/>
      <c r="E4" s="571"/>
    </row>
    <row r="5" spans="1:5" ht="15.75">
      <c r="A5" s="571"/>
      <c r="B5" s="538" t="s">
        <v>666</v>
      </c>
      <c r="C5" s="571"/>
      <c r="D5" s="571"/>
      <c r="E5" s="571"/>
    </row>
    <row r="6" spans="1:5" ht="8.1" customHeight="1">
      <c r="A6" s="571"/>
      <c r="B6" s="538"/>
      <c r="C6" s="571"/>
      <c r="D6" s="571"/>
      <c r="E6" s="571"/>
    </row>
    <row r="7" spans="1:5" ht="15.75">
      <c r="A7" s="571"/>
      <c r="B7" s="538" t="s">
        <v>667</v>
      </c>
      <c r="C7" s="571"/>
      <c r="D7" s="571"/>
      <c r="E7" s="571"/>
    </row>
    <row r="8" spans="1:5" ht="15.75">
      <c r="A8" s="571"/>
      <c r="B8" s="539" t="s">
        <v>668</v>
      </c>
      <c r="C8" s="571"/>
      <c r="D8" s="571"/>
      <c r="E8" s="571"/>
    </row>
    <row r="9" spans="1:5" ht="8.1" customHeight="1">
      <c r="A9" s="571"/>
      <c r="B9" s="539"/>
      <c r="C9" s="571"/>
      <c r="D9" s="571"/>
      <c r="E9" s="571"/>
    </row>
    <row r="10" spans="1:5" ht="15.75">
      <c r="A10" s="571"/>
      <c r="B10" s="571"/>
      <c r="C10" s="543" t="s">
        <v>669</v>
      </c>
      <c r="D10" s="538" t="s">
        <v>670</v>
      </c>
      <c r="E10" s="571"/>
    </row>
    <row r="11" spans="1:5" ht="15.75" customHeight="1">
      <c r="A11" s="571"/>
      <c r="B11" s="538"/>
      <c r="C11" s="571"/>
      <c r="D11" s="538" t="s">
        <v>671</v>
      </c>
      <c r="E11" s="571"/>
    </row>
    <row r="12" spans="1:5" ht="15.75" customHeight="1">
      <c r="A12" s="571"/>
      <c r="B12" s="538"/>
      <c r="C12" s="571"/>
      <c r="D12" s="538"/>
      <c r="E12" s="571"/>
    </row>
    <row r="13" spans="1:5" ht="15.75" customHeight="1">
      <c r="A13" s="571"/>
      <c r="B13" s="538" t="s">
        <v>672</v>
      </c>
      <c r="C13" s="571"/>
      <c r="D13" s="571"/>
      <c r="E13" s="538" t="s">
        <v>673</v>
      </c>
    </row>
    <row r="14" spans="1:5" ht="15.75" customHeight="1">
      <c r="A14" s="571"/>
      <c r="B14" s="538"/>
      <c r="C14" s="571"/>
      <c r="D14" s="571"/>
      <c r="E14" s="538" t="s">
        <v>674</v>
      </c>
    </row>
    <row r="15" spans="1:5" ht="15.75" customHeight="1">
      <c r="A15" s="571"/>
      <c r="B15" s="538"/>
      <c r="C15" s="571"/>
      <c r="D15" s="571"/>
      <c r="E15" s="538" t="s">
        <v>675</v>
      </c>
    </row>
    <row r="16" spans="1:5" ht="15.75" customHeight="1">
      <c r="A16" s="571"/>
      <c r="B16" s="538"/>
      <c r="C16" s="571"/>
      <c r="D16" s="571"/>
      <c r="E16" s="538" t="s">
        <v>676</v>
      </c>
    </row>
    <row r="17" spans="2:5" ht="15.75" customHeight="1">
      <c r="B17" s="538"/>
      <c r="C17" s="571"/>
      <c r="D17" s="571"/>
      <c r="E17" s="538"/>
    </row>
    <row r="18" spans="2:5" ht="15.75" customHeight="1">
      <c r="B18" s="538"/>
      <c r="C18" s="571"/>
      <c r="D18" s="571"/>
      <c r="E18" s="538"/>
    </row>
    <row r="19" spans="2:5" ht="15.75" customHeight="1">
      <c r="B19" s="538"/>
      <c r="C19" s="571"/>
      <c r="D19" s="571"/>
      <c r="E19" s="538"/>
    </row>
    <row r="20" spans="2:5" ht="15.75" customHeight="1">
      <c r="B20" s="538"/>
      <c r="C20" s="571"/>
      <c r="D20" s="571"/>
      <c r="E20" s="538"/>
    </row>
    <row r="21" spans="2:5" ht="15.75" customHeight="1">
      <c r="B21" s="538"/>
      <c r="C21" s="571"/>
      <c r="D21" s="571"/>
      <c r="E21" s="538"/>
    </row>
    <row r="22" spans="2:5" ht="15.75" customHeight="1">
      <c r="B22" s="538"/>
      <c r="C22" s="571"/>
      <c r="D22" s="571"/>
      <c r="E22" s="538"/>
    </row>
    <row r="23" spans="2:5" ht="15.75" customHeight="1">
      <c r="B23" s="538"/>
      <c r="C23" s="571"/>
      <c r="D23" s="571"/>
      <c r="E23" s="538"/>
    </row>
    <row r="24" spans="2:5" ht="15.75" customHeight="1">
      <c r="B24" s="538"/>
      <c r="C24" s="571"/>
      <c r="D24" s="571"/>
      <c r="E24" s="538"/>
    </row>
    <row r="25" spans="2:5" ht="15.75" customHeight="1">
      <c r="B25" s="538"/>
      <c r="C25" s="571"/>
      <c r="D25" s="571"/>
      <c r="E25" s="538"/>
    </row>
    <row r="26" spans="2:5" ht="15.75" customHeight="1">
      <c r="B26" s="538"/>
      <c r="C26" s="571"/>
      <c r="D26" s="571"/>
      <c r="E26" s="538"/>
    </row>
    <row r="27" spans="2:5" ht="15.75" customHeight="1">
      <c r="B27" s="538"/>
      <c r="C27" s="571"/>
      <c r="D27" s="571"/>
      <c r="E27" s="538"/>
    </row>
    <row r="28" spans="2:5" ht="15.75" customHeight="1">
      <c r="B28" s="538"/>
      <c r="C28" s="571"/>
      <c r="D28" s="571"/>
      <c r="E28" s="538"/>
    </row>
    <row r="29" spans="2:5" ht="15.75" customHeight="1">
      <c r="B29" s="538"/>
      <c r="C29" s="571"/>
      <c r="D29" s="571"/>
      <c r="E29" s="538"/>
    </row>
    <row r="30" spans="2:5" ht="15.75" customHeight="1">
      <c r="B30" s="538"/>
      <c r="C30" s="571"/>
      <c r="D30" s="571"/>
      <c r="E30" s="538"/>
    </row>
    <row r="31" spans="2:5" ht="15.75" customHeight="1">
      <c r="B31" s="538"/>
      <c r="C31" s="571"/>
      <c r="D31" s="571"/>
      <c r="E31" s="538"/>
    </row>
    <row r="32" spans="2:5" ht="15.75" customHeight="1">
      <c r="B32" s="538"/>
      <c r="C32" s="571"/>
      <c r="D32" s="571"/>
      <c r="E32" s="538"/>
    </row>
    <row r="33" spans="2:5" ht="15.75" customHeight="1">
      <c r="B33" s="538"/>
      <c r="C33" s="571"/>
      <c r="D33" s="571"/>
      <c r="E33" s="538"/>
    </row>
    <row r="34" spans="2:5" ht="15.75" customHeight="1">
      <c r="B34" s="538"/>
      <c r="C34" s="571"/>
      <c r="D34" s="571"/>
      <c r="E34" s="538"/>
    </row>
    <row r="35" spans="2:5" ht="15.75" customHeight="1">
      <c r="B35" s="538"/>
      <c r="C35" s="571"/>
      <c r="D35" s="571"/>
      <c r="E35" s="538"/>
    </row>
    <row r="36" spans="2:5" ht="15.75" customHeight="1">
      <c r="B36" s="538" t="s">
        <v>677</v>
      </c>
      <c r="C36" s="571"/>
      <c r="D36" s="538"/>
      <c r="E36" s="538" t="s">
        <v>678</v>
      </c>
    </row>
    <row r="37" spans="2:5" ht="15.75" customHeight="1">
      <c r="B37" s="538"/>
      <c r="C37" s="571"/>
      <c r="D37" s="538"/>
      <c r="E37" s="538" t="s">
        <v>679</v>
      </c>
    </row>
    <row r="38" spans="2:5" ht="15.75" customHeight="1">
      <c r="B38" s="538"/>
      <c r="C38" s="571"/>
      <c r="D38" s="538"/>
      <c r="E38" s="538" t="s">
        <v>680</v>
      </c>
    </row>
    <row r="39" spans="2:5" ht="15.75" customHeight="1">
      <c r="B39" s="538"/>
      <c r="C39" s="571"/>
      <c r="D39" s="538"/>
      <c r="E39" s="538" t="s">
        <v>681</v>
      </c>
    </row>
    <row r="40" spans="2:5" ht="15.75" customHeight="1">
      <c r="B40" s="571"/>
      <c r="C40" s="571"/>
      <c r="D40" s="571"/>
      <c r="E40" s="571"/>
    </row>
    <row r="41" spans="2:5" ht="15.75" customHeight="1">
      <c r="B41" s="538" t="s">
        <v>116</v>
      </c>
      <c r="C41" s="571"/>
      <c r="D41" s="571"/>
      <c r="E41" s="541" t="s">
        <v>682</v>
      </c>
    </row>
    <row r="42" spans="2:5" ht="15.75" customHeight="1">
      <c r="B42" s="538"/>
      <c r="C42" s="571"/>
      <c r="D42" s="571"/>
      <c r="E42" s="541"/>
    </row>
    <row r="43" spans="2:5" ht="15.75" customHeight="1">
      <c r="B43" s="571"/>
      <c r="C43" s="571"/>
      <c r="D43" s="571"/>
      <c r="E43" s="541"/>
    </row>
    <row r="44" spans="2:5" ht="15.75" customHeight="1">
      <c r="B44" s="538" t="s">
        <v>683</v>
      </c>
      <c r="C44" s="571"/>
      <c r="D44" s="538"/>
      <c r="E44" s="541" t="s">
        <v>684</v>
      </c>
    </row>
    <row r="45" spans="2:5" ht="15.75" customHeight="1">
      <c r="B45" s="538"/>
      <c r="C45" s="571"/>
      <c r="D45" s="538"/>
      <c r="E45" s="538"/>
    </row>
    <row r="46" spans="2:5" ht="15.75" customHeight="1">
      <c r="B46" s="538"/>
      <c r="C46" s="571"/>
      <c r="D46" s="538"/>
      <c r="E46" s="571"/>
    </row>
    <row r="47" spans="2:5" ht="15.75" customHeight="1">
      <c r="B47" s="538"/>
      <c r="C47" s="571"/>
      <c r="D47" s="538"/>
      <c r="E47" s="571"/>
    </row>
    <row r="48" spans="2:5" ht="15.75" customHeight="1">
      <c r="B48" s="538"/>
      <c r="C48" s="571"/>
      <c r="D48" s="538"/>
      <c r="E48" s="571"/>
    </row>
    <row r="49" spans="1:14" ht="15.75" customHeight="1">
      <c r="A49" s="571"/>
      <c r="B49" s="538"/>
      <c r="C49" s="571"/>
      <c r="D49" s="538"/>
      <c r="E49" s="571"/>
      <c r="F49" s="571"/>
      <c r="G49" s="571"/>
      <c r="H49" s="571"/>
      <c r="I49" s="571"/>
      <c r="J49" s="571"/>
      <c r="K49" s="571"/>
      <c r="L49" s="571"/>
      <c r="M49" s="571"/>
      <c r="N49" s="571"/>
    </row>
    <row r="50" spans="1:14" ht="15.75" customHeight="1">
      <c r="A50" s="571"/>
      <c r="B50" s="538"/>
      <c r="C50" s="571"/>
      <c r="D50" s="538"/>
      <c r="E50" s="571"/>
      <c r="F50" s="571"/>
      <c r="G50" s="571"/>
      <c r="H50" s="571"/>
      <c r="I50" s="571"/>
      <c r="J50" s="571"/>
      <c r="K50" s="571"/>
      <c r="L50" s="571"/>
      <c r="M50" s="571"/>
      <c r="N50" s="571"/>
    </row>
    <row r="51" spans="1:14" ht="15.75" customHeight="1">
      <c r="A51" s="571"/>
      <c r="B51" s="538"/>
      <c r="C51" s="571"/>
      <c r="D51" s="538"/>
      <c r="E51" s="571"/>
      <c r="F51" s="571"/>
      <c r="G51" s="571"/>
      <c r="H51" s="571"/>
      <c r="I51" s="571"/>
      <c r="J51" s="571"/>
      <c r="K51" s="571"/>
      <c r="L51" s="571"/>
      <c r="M51" s="571"/>
      <c r="N51" s="571"/>
    </row>
    <row r="52" spans="1:14" ht="15.75" customHeight="1">
      <c r="A52" s="571"/>
      <c r="B52" s="538"/>
      <c r="C52" s="571"/>
      <c r="D52" s="538"/>
      <c r="E52" s="571"/>
      <c r="F52" s="571"/>
      <c r="G52" s="571"/>
      <c r="H52" s="571"/>
      <c r="I52" s="571"/>
      <c r="J52" s="571"/>
      <c r="K52" s="571"/>
      <c r="L52" s="571"/>
      <c r="M52" s="571"/>
      <c r="N52" s="571"/>
    </row>
    <row r="53" spans="1:14" ht="15.75" customHeight="1">
      <c r="A53" s="571"/>
      <c r="B53" s="538"/>
      <c r="C53" s="571"/>
      <c r="D53" s="538"/>
      <c r="E53" s="571"/>
      <c r="F53" s="571"/>
      <c r="G53" s="571"/>
      <c r="H53" s="571"/>
      <c r="I53" s="571"/>
      <c r="J53" s="571"/>
      <c r="K53" s="571"/>
      <c r="L53" s="571"/>
      <c r="M53" s="571"/>
      <c r="N53" s="571"/>
    </row>
    <row r="54" spans="1:14" ht="15.75" customHeight="1">
      <c r="A54" s="571"/>
      <c r="B54" s="538"/>
      <c r="C54" s="571"/>
      <c r="D54" s="538"/>
      <c r="E54" s="571"/>
      <c r="F54" s="571"/>
      <c r="G54" s="571"/>
      <c r="H54" s="571"/>
      <c r="I54" s="571"/>
      <c r="J54" s="571"/>
      <c r="K54" s="571"/>
      <c r="L54" s="571"/>
      <c r="M54" s="571"/>
      <c r="N54" s="571"/>
    </row>
    <row r="55" spans="1:14" ht="15.75" customHeight="1">
      <c r="A55" s="571"/>
      <c r="B55" s="538"/>
      <c r="C55" s="571"/>
      <c r="D55" s="571"/>
      <c r="E55" s="571"/>
      <c r="F55" s="571"/>
      <c r="G55" s="571"/>
      <c r="H55" s="571"/>
      <c r="I55" s="571"/>
      <c r="J55" s="571"/>
      <c r="K55" s="571"/>
      <c r="L55" s="571"/>
      <c r="M55" s="571"/>
      <c r="N55" s="571"/>
    </row>
    <row r="56" spans="1:14" ht="15.75" customHeight="1">
      <c r="A56" s="571"/>
      <c r="B56" s="538"/>
      <c r="C56" s="571"/>
      <c r="D56" s="571"/>
      <c r="E56" s="571"/>
      <c r="F56" s="571"/>
      <c r="G56" s="571"/>
      <c r="H56" s="571"/>
      <c r="I56" s="571"/>
      <c r="J56" s="571"/>
      <c r="K56" s="571"/>
      <c r="L56" s="571"/>
      <c r="M56" s="571"/>
      <c r="N56" s="571"/>
    </row>
    <row r="57" spans="1:14" ht="15.75" customHeight="1">
      <c r="A57" s="571"/>
      <c r="B57" s="538"/>
      <c r="C57" s="571"/>
      <c r="D57" s="571"/>
      <c r="E57" s="571"/>
      <c r="F57" s="571"/>
      <c r="G57" s="571"/>
      <c r="H57" s="571"/>
      <c r="I57" s="571"/>
      <c r="J57" s="571"/>
      <c r="K57" s="571"/>
      <c r="L57" s="571"/>
      <c r="M57" s="571"/>
      <c r="N57" s="571"/>
    </row>
    <row r="58" spans="1:14" ht="15.75" customHeight="1">
      <c r="A58" s="571"/>
      <c r="B58" s="538"/>
      <c r="C58" s="571"/>
      <c r="D58" s="571"/>
      <c r="E58" s="571"/>
      <c r="F58" s="571"/>
      <c r="G58" s="571"/>
      <c r="H58" s="571"/>
      <c r="I58" s="571"/>
      <c r="J58" s="571"/>
      <c r="K58" s="571"/>
      <c r="L58" s="571"/>
      <c r="M58" s="571"/>
      <c r="N58" s="571"/>
    </row>
    <row r="59" spans="1:14" ht="3" customHeight="1">
      <c r="A59" s="545"/>
      <c r="B59" s="546"/>
      <c r="C59" s="545"/>
      <c r="D59" s="545"/>
      <c r="E59" s="545"/>
      <c r="F59" s="545"/>
      <c r="G59" s="545"/>
      <c r="H59" s="545"/>
      <c r="I59" s="545"/>
      <c r="J59" s="545"/>
      <c r="K59" s="545"/>
      <c r="L59" s="545"/>
      <c r="M59" s="545"/>
      <c r="N59" s="545"/>
    </row>
    <row r="60" spans="1:14" ht="15.75" customHeight="1">
      <c r="A60" s="571"/>
      <c r="B60" s="538"/>
      <c r="C60" s="571"/>
      <c r="D60" s="571"/>
      <c r="E60" s="571"/>
      <c r="F60" s="571"/>
      <c r="G60" s="571"/>
      <c r="H60" s="571"/>
      <c r="I60" s="571"/>
      <c r="J60" s="571"/>
      <c r="K60" s="571"/>
      <c r="L60" s="571"/>
      <c r="M60" s="571"/>
      <c r="N60" s="571"/>
    </row>
    <row r="61" spans="1:14" ht="15.75" customHeight="1">
      <c r="A61" s="797" t="s">
        <v>685</v>
      </c>
      <c r="B61" s="797"/>
      <c r="C61" s="797"/>
      <c r="D61" s="797"/>
      <c r="E61" s="797"/>
      <c r="F61" s="797"/>
      <c r="G61" s="797"/>
      <c r="H61" s="797"/>
      <c r="I61" s="797"/>
      <c r="J61" s="797"/>
      <c r="K61" s="544"/>
      <c r="L61" s="571"/>
      <c r="M61" s="571"/>
      <c r="N61" s="571"/>
    </row>
    <row r="62" spans="1:14" ht="21.75" customHeight="1">
      <c r="A62" s="797"/>
      <c r="B62" s="797"/>
      <c r="C62" s="797"/>
      <c r="D62" s="797"/>
      <c r="E62" s="797"/>
      <c r="F62" s="797"/>
      <c r="G62" s="797"/>
      <c r="H62" s="797"/>
      <c r="I62" s="797"/>
      <c r="J62" s="797"/>
      <c r="K62" s="544"/>
      <c r="L62" s="571"/>
      <c r="M62" s="571"/>
      <c r="N62" s="571"/>
    </row>
    <row r="63" spans="1:14" ht="15.75" customHeight="1">
      <c r="A63" s="571"/>
      <c r="B63" s="538"/>
      <c r="C63" s="571"/>
      <c r="D63" s="571"/>
      <c r="E63" s="571"/>
      <c r="F63" s="571"/>
      <c r="G63" s="571"/>
      <c r="H63" s="571"/>
      <c r="I63" s="571"/>
      <c r="J63" s="571"/>
      <c r="K63" s="571"/>
      <c r="L63" s="571"/>
      <c r="M63" s="571"/>
      <c r="N63" s="571"/>
    </row>
    <row r="64" spans="1:14" ht="15.75">
      <c r="A64" s="571"/>
      <c r="B64" s="538"/>
      <c r="C64" s="571"/>
      <c r="D64" s="571"/>
      <c r="E64" s="571"/>
      <c r="F64" s="571"/>
      <c r="G64" s="571"/>
      <c r="H64" s="571"/>
      <c r="I64" s="571"/>
      <c r="J64" s="571"/>
      <c r="K64" s="571"/>
      <c r="L64" s="571"/>
      <c r="M64" s="571"/>
      <c r="N64" s="571"/>
    </row>
    <row r="65" spans="2:2" ht="18.75" customHeight="1">
      <c r="B65" s="538"/>
    </row>
    <row r="66" spans="2:2" ht="13.5" customHeight="1">
      <c r="B66" s="538"/>
    </row>
    <row r="67" spans="2:2" ht="15.75">
      <c r="B67" s="538"/>
    </row>
    <row r="82" spans="12:12">
      <c r="L82" s="540"/>
    </row>
    <row r="214" spans="1:14" ht="3" customHeight="1">
      <c r="A214" s="545"/>
      <c r="B214" s="546"/>
      <c r="C214" s="545"/>
      <c r="D214" s="545"/>
      <c r="E214" s="545"/>
      <c r="F214" s="545"/>
      <c r="G214" s="545"/>
      <c r="H214" s="545"/>
      <c r="I214" s="545"/>
      <c r="J214" s="545"/>
      <c r="K214" s="545"/>
      <c r="L214" s="545"/>
      <c r="M214" s="545"/>
      <c r="N214" s="545"/>
    </row>
    <row r="217" spans="1:14" ht="18">
      <c r="A217" s="548" t="s">
        <v>686</v>
      </c>
      <c r="B217" s="547"/>
      <c r="C217" s="571"/>
      <c r="D217" s="571"/>
      <c r="E217" s="571"/>
      <c r="F217" s="571"/>
      <c r="G217" s="571"/>
      <c r="H217" s="571"/>
      <c r="I217" s="571"/>
      <c r="J217" s="571"/>
      <c r="K217" s="571"/>
      <c r="L217" s="571"/>
      <c r="M217" s="571"/>
      <c r="N217" s="571"/>
    </row>
    <row r="218" spans="1:14" ht="15.75">
      <c r="A218" s="571"/>
      <c r="B218" s="1"/>
      <c r="C218" s="571"/>
      <c r="D218" s="571"/>
      <c r="E218" s="571"/>
      <c r="F218" s="571"/>
      <c r="G218" s="571"/>
      <c r="H218" s="571"/>
      <c r="I218" s="571"/>
      <c r="J218" s="571"/>
      <c r="K218" s="571"/>
      <c r="L218" s="571"/>
      <c r="M218" s="571"/>
      <c r="N218" s="571"/>
    </row>
    <row r="219" spans="1:14" ht="30" customHeight="1">
      <c r="A219" s="571"/>
      <c r="B219" s="777" t="s">
        <v>687</v>
      </c>
      <c r="C219" s="777"/>
      <c r="D219" s="777"/>
      <c r="E219" s="777"/>
      <c r="F219" s="777"/>
      <c r="G219" s="777"/>
      <c r="H219" s="777"/>
      <c r="I219" s="777"/>
      <c r="J219" s="579"/>
      <c r="K219" s="571"/>
      <c r="L219" s="571"/>
      <c r="M219" s="571"/>
      <c r="N219" s="571"/>
    </row>
    <row r="220" spans="1:14" ht="15.75">
      <c r="A220" s="571"/>
      <c r="B220" s="359" t="s">
        <v>688</v>
      </c>
      <c r="C220" s="571"/>
      <c r="D220" s="571"/>
      <c r="E220" s="571"/>
      <c r="F220" s="571"/>
      <c r="G220" s="571"/>
      <c r="H220" s="571"/>
      <c r="I220" s="571"/>
      <c r="J220" s="571"/>
      <c r="K220" s="571"/>
      <c r="L220" s="571"/>
      <c r="M220" s="571"/>
      <c r="N220" s="571"/>
    </row>
    <row r="221" spans="1:14" ht="15.75">
      <c r="A221" s="571"/>
      <c r="B221" s="1"/>
      <c r="C221" s="571"/>
      <c r="D221" s="571"/>
      <c r="E221" s="571"/>
      <c r="F221" s="571"/>
      <c r="G221" s="571"/>
      <c r="H221" s="571"/>
      <c r="I221" s="571"/>
      <c r="J221" s="571"/>
      <c r="K221" s="571"/>
      <c r="L221" s="571"/>
      <c r="M221" s="571"/>
      <c r="N221" s="571"/>
    </row>
    <row r="222" spans="1:14" ht="45.75" customHeight="1">
      <c r="A222" s="571"/>
      <c r="B222" s="777" t="s">
        <v>689</v>
      </c>
      <c r="C222" s="777"/>
      <c r="D222" s="777"/>
      <c r="E222" s="777"/>
      <c r="F222" s="777"/>
      <c r="G222" s="777"/>
      <c r="H222" s="777"/>
      <c r="I222" s="571"/>
      <c r="J222" s="571"/>
      <c r="K222" s="571"/>
      <c r="L222" s="571"/>
      <c r="M222" s="571"/>
      <c r="N222" s="571"/>
    </row>
    <row r="223" spans="1:14" ht="15.75">
      <c r="A223" s="571"/>
      <c r="B223" s="359" t="s">
        <v>690</v>
      </c>
      <c r="C223" s="571"/>
      <c r="D223" s="571"/>
      <c r="E223" s="571"/>
      <c r="F223" s="571"/>
      <c r="G223" s="571"/>
      <c r="H223" s="571"/>
      <c r="I223" s="571"/>
      <c r="J223" s="571"/>
      <c r="K223" s="571"/>
      <c r="L223" s="571"/>
      <c r="M223" s="571"/>
      <c r="N223" s="571"/>
    </row>
    <row r="224" spans="1:14" ht="15.75">
      <c r="A224" s="571"/>
      <c r="B224" s="1"/>
      <c r="C224" s="571"/>
      <c r="D224" s="571"/>
      <c r="E224" s="571"/>
      <c r="F224" s="571"/>
      <c r="G224" s="571"/>
      <c r="H224" s="571"/>
      <c r="I224" s="571"/>
      <c r="J224" s="571"/>
      <c r="K224" s="571"/>
      <c r="L224" s="571"/>
      <c r="M224" s="571"/>
      <c r="N224" s="571"/>
    </row>
    <row r="225" spans="2:2" ht="15.75">
      <c r="B225" s="1" t="s">
        <v>691</v>
      </c>
    </row>
    <row r="226" spans="2:2" ht="15.75">
      <c r="B226" s="359" t="s">
        <v>692</v>
      </c>
    </row>
    <row r="227" spans="2:2" ht="15.75">
      <c r="B227" s="1"/>
    </row>
    <row r="228" spans="2:2" ht="15.75">
      <c r="B228" s="1" t="s">
        <v>693</v>
      </c>
    </row>
    <row r="229" spans="2:2" ht="15.75">
      <c r="B229" s="359" t="s">
        <v>694</v>
      </c>
    </row>
    <row r="230" spans="2:2" ht="15.75">
      <c r="B230" s="1"/>
    </row>
    <row r="231" spans="2:2" ht="15.75">
      <c r="B231" s="1" t="s">
        <v>695</v>
      </c>
    </row>
    <row r="232" spans="2:2" ht="15.75">
      <c r="B232" s="359" t="s">
        <v>696</v>
      </c>
    </row>
    <row r="233" spans="2:2" ht="15.75">
      <c r="B233" s="1"/>
    </row>
    <row r="234" spans="2:2" ht="15.75">
      <c r="B234" s="1" t="s">
        <v>697</v>
      </c>
    </row>
    <row r="235" spans="2:2" ht="15.75">
      <c r="B235" s="359" t="s">
        <v>698</v>
      </c>
    </row>
    <row r="236" spans="2:2" ht="15.75">
      <c r="B236" s="1"/>
    </row>
    <row r="237" spans="2:2" ht="15.75">
      <c r="B237" s="1" t="s">
        <v>699</v>
      </c>
    </row>
    <row r="238" spans="2:2" ht="15.75">
      <c r="B238" s="359" t="s">
        <v>700</v>
      </c>
    </row>
    <row r="239" spans="2:2" ht="15.75">
      <c r="B239" s="1"/>
    </row>
    <row r="240" spans="2:2" ht="15.75">
      <c r="B240" s="1" t="s">
        <v>701</v>
      </c>
    </row>
    <row r="241" spans="2:2" ht="15.75">
      <c r="B241" s="359" t="s">
        <v>702</v>
      </c>
    </row>
    <row r="242" spans="2:2" ht="15.75">
      <c r="B242" s="1"/>
    </row>
    <row r="243" spans="2:2" ht="15.75">
      <c r="B243" s="1" t="s">
        <v>703</v>
      </c>
    </row>
    <row r="244" spans="2:2" ht="15.75">
      <c r="B244" s="359" t="s">
        <v>704</v>
      </c>
    </row>
    <row r="245" spans="2:2" ht="15.75">
      <c r="B245" s="1"/>
    </row>
  </sheetData>
  <sheetProtection sheet="1" objects="1" scenarios="1"/>
  <mergeCells count="3">
    <mergeCell ref="B219:I219"/>
    <mergeCell ref="B222:H222"/>
    <mergeCell ref="A61:J62"/>
  </mergeCells>
  <hyperlinks>
    <hyperlink ref="B244" r:id="rId1" xr:uid="{889B8D8B-1227-4620-B0F1-247C1856CAE1}"/>
  </hyperlinks>
  <pageMargins left="0.7" right="0.7" top="0.75" bottom="0.75" header="0.3" footer="0.3"/>
  <pageSetup orientation="landscape"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A316"/>
  <sheetViews>
    <sheetView workbookViewId="0">
      <selection activeCell="A12" sqref="A12"/>
    </sheetView>
  </sheetViews>
  <sheetFormatPr defaultColWidth="8.88671875" defaultRowHeight="15.75"/>
  <cols>
    <col min="1" max="1" width="83.6640625" style="32" customWidth="1"/>
    <col min="2" max="16384" width="8.88671875" style="31"/>
  </cols>
  <sheetData>
    <row r="1" spans="1:1">
      <c r="A1" s="511" t="s">
        <v>705</v>
      </c>
    </row>
    <row r="2" spans="1:1">
      <c r="A2" s="32" t="s">
        <v>706</v>
      </c>
    </row>
    <row r="3" spans="1:1">
      <c r="A3" s="32" t="s">
        <v>707</v>
      </c>
    </row>
    <row r="4" spans="1:1">
      <c r="A4" s="31" t="s">
        <v>708</v>
      </c>
    </row>
    <row r="5" spans="1:1">
      <c r="A5" s="31" t="s">
        <v>709</v>
      </c>
    </row>
    <row r="7" spans="1:1">
      <c r="A7" s="511" t="s">
        <v>710</v>
      </c>
    </row>
    <row r="8" spans="1:1">
      <c r="A8" s="32" t="s">
        <v>711</v>
      </c>
    </row>
    <row r="9" spans="1:1" ht="17.25" customHeight="1">
      <c r="A9" s="32" t="s">
        <v>712</v>
      </c>
    </row>
    <row r="10" spans="1:1">
      <c r="A10" s="32" t="s">
        <v>713</v>
      </c>
    </row>
    <row r="11" spans="1:1">
      <c r="A11" s="32" t="s">
        <v>714</v>
      </c>
    </row>
    <row r="12" spans="1:1">
      <c r="A12" s="32" t="s">
        <v>715</v>
      </c>
    </row>
    <row r="13" spans="1:1">
      <c r="A13" s="32" t="s">
        <v>716</v>
      </c>
    </row>
    <row r="15" spans="1:1">
      <c r="A15" s="511" t="s">
        <v>717</v>
      </c>
    </row>
    <row r="16" spans="1:1">
      <c r="A16" s="32" t="s">
        <v>718</v>
      </c>
    </row>
    <row r="17" spans="1:1">
      <c r="A17" s="32" t="s">
        <v>719</v>
      </c>
    </row>
    <row r="18" spans="1:1" ht="31.5">
      <c r="A18" s="32" t="s">
        <v>720</v>
      </c>
    </row>
    <row r="19" spans="1:1" ht="31.5">
      <c r="A19" s="32" t="s">
        <v>721</v>
      </c>
    </row>
    <row r="20" spans="1:1">
      <c r="A20" s="32" t="s">
        <v>722</v>
      </c>
    </row>
    <row r="21" spans="1:1" ht="31.5">
      <c r="A21" s="32" t="s">
        <v>723</v>
      </c>
    </row>
    <row r="22" spans="1:1">
      <c r="A22" s="32" t="s">
        <v>724</v>
      </c>
    </row>
    <row r="23" spans="1:1">
      <c r="A23" s="32" t="s">
        <v>725</v>
      </c>
    </row>
    <row r="24" spans="1:1">
      <c r="A24" s="32" t="s">
        <v>726</v>
      </c>
    </row>
    <row r="25" spans="1:1">
      <c r="A25" s="32" t="s">
        <v>727</v>
      </c>
    </row>
    <row r="27" spans="1:1">
      <c r="A27" s="511" t="s">
        <v>728</v>
      </c>
    </row>
    <row r="28" spans="1:1">
      <c r="A28" s="32" t="s">
        <v>729</v>
      </c>
    </row>
    <row r="29" spans="1:1">
      <c r="A29" s="32" t="s">
        <v>730</v>
      </c>
    </row>
    <row r="30" spans="1:1">
      <c r="A30" s="32" t="s">
        <v>731</v>
      </c>
    </row>
    <row r="31" spans="1:1">
      <c r="A31" s="32" t="s">
        <v>732</v>
      </c>
    </row>
    <row r="32" spans="1:1">
      <c r="A32" s="32" t="s">
        <v>733</v>
      </c>
    </row>
    <row r="34" spans="1:1">
      <c r="A34" s="512" t="s">
        <v>734</v>
      </c>
    </row>
    <row r="35" spans="1:1">
      <c r="A35" s="32" t="s">
        <v>735</v>
      </c>
    </row>
    <row r="36" spans="1:1" ht="31.5">
      <c r="A36" s="32" t="s">
        <v>736</v>
      </c>
    </row>
    <row r="37" spans="1:1">
      <c r="A37" s="32" t="s">
        <v>737</v>
      </c>
    </row>
    <row r="38" spans="1:1">
      <c r="A38" s="32" t="s">
        <v>738</v>
      </c>
    </row>
    <row r="39" spans="1:1">
      <c r="A39" s="32" t="s">
        <v>739</v>
      </c>
    </row>
    <row r="42" spans="1:1">
      <c r="A42" s="512" t="s">
        <v>740</v>
      </c>
    </row>
    <row r="43" spans="1:1">
      <c r="A43" s="32" t="s">
        <v>741</v>
      </c>
    </row>
    <row r="44" spans="1:1">
      <c r="A44" s="32" t="s">
        <v>742</v>
      </c>
    </row>
    <row r="45" spans="1:1">
      <c r="A45" s="32" t="s">
        <v>743</v>
      </c>
    </row>
    <row r="46" spans="1:1">
      <c r="A46" s="32" t="s">
        <v>744</v>
      </c>
    </row>
    <row r="47" spans="1:1">
      <c r="A47" s="32" t="s">
        <v>745</v>
      </c>
    </row>
    <row r="48" spans="1:1">
      <c r="A48" s="32" t="s">
        <v>746</v>
      </c>
    </row>
    <row r="50" spans="1:1">
      <c r="A50" s="512" t="s">
        <v>747</v>
      </c>
    </row>
    <row r="51" spans="1:1">
      <c r="A51" s="32" t="s">
        <v>748</v>
      </c>
    </row>
    <row r="52" spans="1:1">
      <c r="A52" s="32" t="s">
        <v>749</v>
      </c>
    </row>
    <row r="53" spans="1:1">
      <c r="A53" s="32" t="s">
        <v>750</v>
      </c>
    </row>
    <row r="54" spans="1:1">
      <c r="A54" s="32" t="s">
        <v>751</v>
      </c>
    </row>
    <row r="55" spans="1:1">
      <c r="A55" s="32" t="s">
        <v>752</v>
      </c>
    </row>
    <row r="56" spans="1:1">
      <c r="A56" s="32" t="s">
        <v>753</v>
      </c>
    </row>
    <row r="57" spans="1:1">
      <c r="A57" s="32" t="s">
        <v>754</v>
      </c>
    </row>
    <row r="58" spans="1:1">
      <c r="A58" s="32" t="s">
        <v>755</v>
      </c>
    </row>
    <row r="60" spans="1:1">
      <c r="A60" s="512" t="s">
        <v>756</v>
      </c>
    </row>
    <row r="61" spans="1:1">
      <c r="A61" s="455" t="s">
        <v>757</v>
      </c>
    </row>
    <row r="62" spans="1:1">
      <c r="A62" s="455" t="s">
        <v>758</v>
      </c>
    </row>
    <row r="64" spans="1:1">
      <c r="A64" s="513" t="s">
        <v>759</v>
      </c>
    </row>
    <row r="65" spans="1:1">
      <c r="A65" s="579" t="s">
        <v>760</v>
      </c>
    </row>
    <row r="67" spans="1:1">
      <c r="A67" s="513" t="s">
        <v>761</v>
      </c>
    </row>
    <row r="68" spans="1:1">
      <c r="A68" s="579" t="s">
        <v>762</v>
      </c>
    </row>
    <row r="69" spans="1:1">
      <c r="A69" s="579" t="s">
        <v>763</v>
      </c>
    </row>
    <row r="70" spans="1:1">
      <c r="A70" s="579" t="s">
        <v>764</v>
      </c>
    </row>
    <row r="71" spans="1:1">
      <c r="A71" s="579" t="s">
        <v>765</v>
      </c>
    </row>
    <row r="72" spans="1:1">
      <c r="A72" s="579" t="s">
        <v>766</v>
      </c>
    </row>
    <row r="73" spans="1:1">
      <c r="A73" s="579" t="s">
        <v>767</v>
      </c>
    </row>
    <row r="75" spans="1:1">
      <c r="A75" s="514" t="s">
        <v>768</v>
      </c>
    </row>
    <row r="76" spans="1:1">
      <c r="A76" s="455" t="s">
        <v>769</v>
      </c>
    </row>
    <row r="77" spans="1:1">
      <c r="A77" s="32" t="s">
        <v>770</v>
      </c>
    </row>
    <row r="79" spans="1:1">
      <c r="A79" s="514" t="s">
        <v>771</v>
      </c>
    </row>
    <row r="80" spans="1:1">
      <c r="A80" s="455" t="s">
        <v>772</v>
      </c>
    </row>
    <row r="82" spans="1:1">
      <c r="A82" s="514" t="s">
        <v>773</v>
      </c>
    </row>
    <row r="83" spans="1:1">
      <c r="A83" s="455" t="s">
        <v>774</v>
      </c>
    </row>
    <row r="85" spans="1:1">
      <c r="A85" s="514" t="s">
        <v>775</v>
      </c>
    </row>
    <row r="86" spans="1:1">
      <c r="A86" s="455" t="s">
        <v>776</v>
      </c>
    </row>
    <row r="88" spans="1:1">
      <c r="A88" s="514" t="s">
        <v>777</v>
      </c>
    </row>
    <row r="89" spans="1:1">
      <c r="A89" s="455" t="s">
        <v>778</v>
      </c>
    </row>
    <row r="91" spans="1:1">
      <c r="A91" s="514" t="s">
        <v>779</v>
      </c>
    </row>
    <row r="92" spans="1:1">
      <c r="A92" s="455" t="s">
        <v>780</v>
      </c>
    </row>
    <row r="94" spans="1:1">
      <c r="A94" s="514" t="s">
        <v>781</v>
      </c>
    </row>
    <row r="95" spans="1:1">
      <c r="A95" s="481" t="s">
        <v>782</v>
      </c>
    </row>
    <row r="97" spans="1:1">
      <c r="A97" s="514" t="s">
        <v>783</v>
      </c>
    </row>
    <row r="98" spans="1:1">
      <c r="A98" s="32" t="s">
        <v>784</v>
      </c>
    </row>
    <row r="100" spans="1:1">
      <c r="A100" s="514" t="s">
        <v>785</v>
      </c>
    </row>
    <row r="101" spans="1:1">
      <c r="A101" s="32" t="s">
        <v>786</v>
      </c>
    </row>
    <row r="103" spans="1:1">
      <c r="A103" s="514" t="s">
        <v>787</v>
      </c>
    </row>
    <row r="104" spans="1:1">
      <c r="A104" s="32" t="s">
        <v>788</v>
      </c>
    </row>
    <row r="106" spans="1:1">
      <c r="A106" s="514" t="s">
        <v>789</v>
      </c>
    </row>
    <row r="107" spans="1:1">
      <c r="A107" s="515" t="s">
        <v>790</v>
      </c>
    </row>
    <row r="109" spans="1:1">
      <c r="A109" s="514" t="s">
        <v>791</v>
      </c>
    </row>
    <row r="110" spans="1:1">
      <c r="A110" s="32" t="s">
        <v>792</v>
      </c>
    </row>
    <row r="112" spans="1:1">
      <c r="A112" s="514" t="s">
        <v>793</v>
      </c>
    </row>
    <row r="113" spans="1:1">
      <c r="A113" s="32" t="s">
        <v>794</v>
      </c>
    </row>
    <row r="114" spans="1:1">
      <c r="A114" s="32" t="s">
        <v>795</v>
      </c>
    </row>
    <row r="116" spans="1:1">
      <c r="A116" s="514" t="s">
        <v>796</v>
      </c>
    </row>
    <row r="117" spans="1:1">
      <c r="A117" s="516" t="s">
        <v>797</v>
      </c>
    </row>
    <row r="119" spans="1:1">
      <c r="A119" s="514" t="s">
        <v>798</v>
      </c>
    </row>
    <row r="120" spans="1:1">
      <c r="A120" s="515" t="s">
        <v>799</v>
      </c>
    </row>
    <row r="121" spans="1:1">
      <c r="A121" s="32" t="s">
        <v>800</v>
      </c>
    </row>
    <row r="122" spans="1:1">
      <c r="A122" s="32" t="s">
        <v>801</v>
      </c>
    </row>
    <row r="123" spans="1:1">
      <c r="A123" s="32" t="s">
        <v>802</v>
      </c>
    </row>
    <row r="124" spans="1:1">
      <c r="A124" s="32" t="s">
        <v>803</v>
      </c>
    </row>
    <row r="125" spans="1:1">
      <c r="A125" s="32" t="s">
        <v>804</v>
      </c>
    </row>
    <row r="126" spans="1:1">
      <c r="A126" s="32" t="s">
        <v>805</v>
      </c>
    </row>
    <row r="127" spans="1:1" ht="48.75" customHeight="1">
      <c r="A127" s="32" t="s">
        <v>806</v>
      </c>
    </row>
    <row r="128" spans="1:1" ht="31.5">
      <c r="A128" s="32" t="s">
        <v>807</v>
      </c>
    </row>
    <row r="129" spans="1:1" ht="36" customHeight="1">
      <c r="A129" s="32" t="s">
        <v>808</v>
      </c>
    </row>
    <row r="130" spans="1:1">
      <c r="A130" s="32" t="s">
        <v>809</v>
      </c>
    </row>
    <row r="131" spans="1:1">
      <c r="A131" s="32" t="s">
        <v>810</v>
      </c>
    </row>
    <row r="132" spans="1:1">
      <c r="A132" s="32" t="s">
        <v>811</v>
      </c>
    </row>
    <row r="133" spans="1:1">
      <c r="A133" s="32" t="s">
        <v>812</v>
      </c>
    </row>
    <row r="134" spans="1:1">
      <c r="A134" s="32" t="s">
        <v>813</v>
      </c>
    </row>
    <row r="135" spans="1:1">
      <c r="A135" s="32" t="s">
        <v>814</v>
      </c>
    </row>
    <row r="136" spans="1:1" ht="47.25">
      <c r="A136" s="32" t="s">
        <v>815</v>
      </c>
    </row>
    <row r="137" spans="1:1">
      <c r="A137" s="481" t="s">
        <v>816</v>
      </c>
    </row>
    <row r="138" spans="1:1" ht="31.5">
      <c r="A138" s="32" t="s">
        <v>817</v>
      </c>
    </row>
    <row r="139" spans="1:1">
      <c r="A139" s="32" t="s">
        <v>818</v>
      </c>
    </row>
    <row r="140" spans="1:1">
      <c r="A140" s="32" t="s">
        <v>819</v>
      </c>
    </row>
    <row r="141" spans="1:1">
      <c r="A141" s="32" t="s">
        <v>820</v>
      </c>
    </row>
    <row r="142" spans="1:1">
      <c r="A142" s="32" t="s">
        <v>821</v>
      </c>
    </row>
    <row r="143" spans="1:1" ht="15.75" customHeight="1">
      <c r="A143" s="32" t="s">
        <v>822</v>
      </c>
    </row>
    <row r="144" spans="1:1">
      <c r="A144" s="32" t="s">
        <v>823</v>
      </c>
    </row>
    <row r="145" spans="1:1">
      <c r="A145" s="32" t="s">
        <v>824</v>
      </c>
    </row>
    <row r="146" spans="1:1" ht="31.5">
      <c r="A146" s="32" t="s">
        <v>825</v>
      </c>
    </row>
    <row r="147" spans="1:1">
      <c r="A147" s="32" t="s">
        <v>826</v>
      </c>
    </row>
    <row r="148" spans="1:1">
      <c r="A148" s="32" t="s">
        <v>827</v>
      </c>
    </row>
    <row r="149" spans="1:1">
      <c r="A149" s="32" t="s">
        <v>828</v>
      </c>
    </row>
    <row r="150" spans="1:1" ht="15.75" customHeight="1">
      <c r="A150" s="32" t="s">
        <v>829</v>
      </c>
    </row>
    <row r="151" spans="1:1">
      <c r="A151" s="32" t="s">
        <v>830</v>
      </c>
    </row>
    <row r="152" spans="1:1">
      <c r="A152" s="32" t="s">
        <v>831</v>
      </c>
    </row>
    <row r="153" spans="1:1">
      <c r="A153" s="32" t="s">
        <v>832</v>
      </c>
    </row>
    <row r="154" spans="1:1">
      <c r="A154" s="32" t="s">
        <v>833</v>
      </c>
    </row>
    <row r="156" spans="1:1">
      <c r="A156" s="514" t="s">
        <v>834</v>
      </c>
    </row>
    <row r="157" spans="1:1" ht="31.5">
      <c r="A157" s="32" t="s">
        <v>835</v>
      </c>
    </row>
    <row r="159" spans="1:1">
      <c r="A159" s="514" t="s">
        <v>836</v>
      </c>
    </row>
    <row r="160" spans="1:1" ht="15.75" customHeight="1">
      <c r="A160" s="32" t="s">
        <v>837</v>
      </c>
    </row>
    <row r="161" spans="1:1">
      <c r="A161" s="32" t="s">
        <v>838</v>
      </c>
    </row>
    <row r="163" spans="1:1">
      <c r="A163" s="514" t="s">
        <v>839</v>
      </c>
    </row>
    <row r="164" spans="1:1">
      <c r="A164" s="32" t="s">
        <v>840</v>
      </c>
    </row>
    <row r="165" spans="1:1" ht="19.5" customHeight="1"/>
    <row r="166" spans="1:1">
      <c r="A166" s="514" t="s">
        <v>841</v>
      </c>
    </row>
    <row r="167" spans="1:1">
      <c r="A167" s="32" t="s">
        <v>842</v>
      </c>
    </row>
    <row r="169" spans="1:1">
      <c r="A169" s="514" t="s">
        <v>843</v>
      </c>
    </row>
    <row r="170" spans="1:1">
      <c r="A170" s="329" t="s">
        <v>844</v>
      </c>
    </row>
    <row r="171" spans="1:1">
      <c r="A171" s="329" t="s">
        <v>845</v>
      </c>
    </row>
    <row r="173" spans="1:1">
      <c r="A173" s="517" t="s">
        <v>846</v>
      </c>
    </row>
    <row r="174" spans="1:1">
      <c r="A174" s="32" t="s">
        <v>847</v>
      </c>
    </row>
    <row r="175" spans="1:1">
      <c r="A175" s="32" t="s">
        <v>848</v>
      </c>
    </row>
    <row r="176" spans="1:1">
      <c r="A176" s="32" t="s">
        <v>849</v>
      </c>
    </row>
    <row r="178" spans="1:1">
      <c r="A178" s="517" t="s">
        <v>850</v>
      </c>
    </row>
    <row r="179" spans="1:1">
      <c r="A179" s="329" t="s">
        <v>851</v>
      </c>
    </row>
    <row r="180" spans="1:1">
      <c r="A180" s="329" t="s">
        <v>852</v>
      </c>
    </row>
    <row r="181" spans="1:1" ht="31.5">
      <c r="A181" s="329" t="s">
        <v>853</v>
      </c>
    </row>
    <row r="182" spans="1:1">
      <c r="A182" s="329" t="s">
        <v>854</v>
      </c>
    </row>
    <row r="183" spans="1:1">
      <c r="A183" s="329" t="s">
        <v>855</v>
      </c>
    </row>
    <row r="184" spans="1:1">
      <c r="A184" s="329" t="s">
        <v>856</v>
      </c>
    </row>
    <row r="185" spans="1:1">
      <c r="A185" s="329" t="s">
        <v>857</v>
      </c>
    </row>
    <row r="186" spans="1:1">
      <c r="A186" s="329" t="s">
        <v>858</v>
      </c>
    </row>
    <row r="187" spans="1:1">
      <c r="A187" s="329" t="s">
        <v>859</v>
      </c>
    </row>
    <row r="188" spans="1:1">
      <c r="A188" s="329" t="s">
        <v>860</v>
      </c>
    </row>
    <row r="189" spans="1:1">
      <c r="A189" s="329" t="s">
        <v>861</v>
      </c>
    </row>
    <row r="190" spans="1:1">
      <c r="A190" s="329" t="s">
        <v>862</v>
      </c>
    </row>
    <row r="191" spans="1:1">
      <c r="A191" s="329" t="s">
        <v>863</v>
      </c>
    </row>
    <row r="192" spans="1:1">
      <c r="A192" s="329" t="s">
        <v>864</v>
      </c>
    </row>
    <row r="193" spans="1:1">
      <c r="A193" s="329" t="s">
        <v>865</v>
      </c>
    </row>
    <row r="194" spans="1:1">
      <c r="A194" s="329" t="s">
        <v>866</v>
      </c>
    </row>
    <row r="195" spans="1:1" ht="18" customHeight="1">
      <c r="A195" s="329" t="s">
        <v>867</v>
      </c>
    </row>
    <row r="196" spans="1:1">
      <c r="A196" s="329" t="s">
        <v>868</v>
      </c>
    </row>
    <row r="197" spans="1:1">
      <c r="A197" s="329" t="s">
        <v>869</v>
      </c>
    </row>
    <row r="198" spans="1:1">
      <c r="A198" s="329" t="s">
        <v>870</v>
      </c>
    </row>
    <row r="199" spans="1:1">
      <c r="A199" s="329" t="s">
        <v>871</v>
      </c>
    </row>
    <row r="200" spans="1:1" ht="16.5" customHeight="1">
      <c r="A200" s="329" t="s">
        <v>872</v>
      </c>
    </row>
    <row r="201" spans="1:1">
      <c r="A201" s="329" t="s">
        <v>873</v>
      </c>
    </row>
    <row r="202" spans="1:1">
      <c r="A202" s="329" t="s">
        <v>874</v>
      </c>
    </row>
    <row r="203" spans="1:1">
      <c r="A203" s="329" t="s">
        <v>875</v>
      </c>
    </row>
    <row r="204" spans="1:1">
      <c r="A204" s="329" t="s">
        <v>876</v>
      </c>
    </row>
    <row r="205" spans="1:1">
      <c r="A205" s="329" t="s">
        <v>877</v>
      </c>
    </row>
    <row r="206" spans="1:1">
      <c r="A206" s="329" t="s">
        <v>878</v>
      </c>
    </row>
    <row r="208" spans="1:1">
      <c r="A208" s="517" t="s">
        <v>879</v>
      </c>
    </row>
    <row r="209" spans="1:1">
      <c r="A209" s="32" t="s">
        <v>880</v>
      </c>
    </row>
    <row r="210" spans="1:1" ht="17.25" customHeight="1">
      <c r="A210" s="32" t="s">
        <v>881</v>
      </c>
    </row>
    <row r="211" spans="1:1">
      <c r="A211" s="32" t="s">
        <v>882</v>
      </c>
    </row>
    <row r="213" spans="1:1">
      <c r="A213" s="517" t="s">
        <v>883</v>
      </c>
    </row>
    <row r="214" spans="1:1">
      <c r="A214" s="32" t="s">
        <v>884</v>
      </c>
    </row>
    <row r="215" spans="1:1">
      <c r="A215" s="32" t="s">
        <v>885</v>
      </c>
    </row>
    <row r="216" spans="1:1" ht="21.75" customHeight="1"/>
    <row r="217" spans="1:1">
      <c r="A217" s="517" t="s">
        <v>886</v>
      </c>
    </row>
    <row r="218" spans="1:1" ht="16.5" customHeight="1">
      <c r="A218" s="518" t="s">
        <v>887</v>
      </c>
    </row>
    <row r="219" spans="1:1">
      <c r="A219" s="518" t="s">
        <v>888</v>
      </c>
    </row>
    <row r="220" spans="1:1">
      <c r="A220" s="518" t="s">
        <v>889</v>
      </c>
    </row>
    <row r="221" spans="1:1">
      <c r="A221" s="32" t="s">
        <v>890</v>
      </c>
    </row>
    <row r="223" spans="1:1">
      <c r="A223" s="511" t="s">
        <v>891</v>
      </c>
    </row>
    <row r="224" spans="1:1">
      <c r="A224" s="519" t="s">
        <v>892</v>
      </c>
    </row>
    <row r="225" spans="1:1">
      <c r="A225" s="32" t="s">
        <v>893</v>
      </c>
    </row>
    <row r="226" spans="1:1">
      <c r="A226" s="32" t="s">
        <v>894</v>
      </c>
    </row>
    <row r="227" spans="1:1" ht="16.5" customHeight="1">
      <c r="A227" s="459" t="s">
        <v>895</v>
      </c>
    </row>
    <row r="228" spans="1:1">
      <c r="A228" s="32" t="s">
        <v>896</v>
      </c>
    </row>
    <row r="229" spans="1:1">
      <c r="A229" s="32" t="s">
        <v>897</v>
      </c>
    </row>
    <row r="230" spans="1:1">
      <c r="A230" s="32" t="s">
        <v>898</v>
      </c>
    </row>
    <row r="231" spans="1:1">
      <c r="A231" s="32" t="s">
        <v>899</v>
      </c>
    </row>
    <row r="232" spans="1:1">
      <c r="A232" s="32" t="s">
        <v>900</v>
      </c>
    </row>
    <row r="234" spans="1:1">
      <c r="A234" s="511" t="s">
        <v>901</v>
      </c>
    </row>
    <row r="235" spans="1:1">
      <c r="A235" s="32" t="s">
        <v>902</v>
      </c>
    </row>
    <row r="236" spans="1:1">
      <c r="A236" s="32" t="s">
        <v>903</v>
      </c>
    </row>
    <row r="237" spans="1:1">
      <c r="A237" s="32" t="s">
        <v>904</v>
      </c>
    </row>
    <row r="238" spans="1:1">
      <c r="A238" s="32" t="s">
        <v>905</v>
      </c>
    </row>
    <row r="240" spans="1:1">
      <c r="A240" s="511" t="s">
        <v>906</v>
      </c>
    </row>
    <row r="241" spans="1:1">
      <c r="A241" s="32" t="s">
        <v>907</v>
      </c>
    </row>
    <row r="243" spans="1:1">
      <c r="A243" s="511" t="s">
        <v>908</v>
      </c>
    </row>
    <row r="244" spans="1:1" ht="32.25" customHeight="1">
      <c r="A244" s="32" t="s">
        <v>909</v>
      </c>
    </row>
    <row r="245" spans="1:1" ht="36" customHeight="1"/>
    <row r="246" spans="1:1" ht="35.25" customHeight="1">
      <c r="A246" s="511" t="s">
        <v>910</v>
      </c>
    </row>
    <row r="247" spans="1:1" ht="18" customHeight="1">
      <c r="A247" s="32" t="s">
        <v>911</v>
      </c>
    </row>
    <row r="248" spans="1:1" ht="36" customHeight="1">
      <c r="A248" s="32" t="s">
        <v>912</v>
      </c>
    </row>
    <row r="249" spans="1:1">
      <c r="A249" s="32" t="s">
        <v>913</v>
      </c>
    </row>
    <row r="250" spans="1:1" ht="33.75" customHeight="1"/>
    <row r="251" spans="1:1" ht="18.75" customHeight="1">
      <c r="A251" s="511" t="s">
        <v>914</v>
      </c>
    </row>
    <row r="252" spans="1:1" ht="17.25" customHeight="1">
      <c r="A252" s="32" t="s">
        <v>915</v>
      </c>
    </row>
    <row r="253" spans="1:1" ht="17.25" customHeight="1">
      <c r="A253" s="32" t="s">
        <v>916</v>
      </c>
    </row>
    <row r="254" spans="1:1">
      <c r="A254" s="32" t="s">
        <v>917</v>
      </c>
    </row>
    <row r="255" spans="1:1">
      <c r="A255" s="32" t="s">
        <v>918</v>
      </c>
    </row>
    <row r="256" spans="1:1">
      <c r="A256" s="32" t="s">
        <v>919</v>
      </c>
    </row>
    <row r="257" spans="1:1">
      <c r="A257" s="32" t="s">
        <v>920</v>
      </c>
    </row>
    <row r="258" spans="1:1" ht="31.5">
      <c r="A258" s="32" t="s">
        <v>921</v>
      </c>
    </row>
    <row r="259" spans="1:1" ht="14.25" customHeight="1">
      <c r="A259" s="32" t="s">
        <v>922</v>
      </c>
    </row>
    <row r="260" spans="1:1" ht="31.5">
      <c r="A260" s="32" t="s">
        <v>923</v>
      </c>
    </row>
    <row r="261" spans="1:1">
      <c r="A261" s="32" t="s">
        <v>924</v>
      </c>
    </row>
    <row r="262" spans="1:1" ht="31.5">
      <c r="A262" s="32" t="s">
        <v>925</v>
      </c>
    </row>
    <row r="263" spans="1:1">
      <c r="A263" s="32" t="s">
        <v>926</v>
      </c>
    </row>
    <row r="264" spans="1:1" ht="31.5">
      <c r="A264" s="32" t="s">
        <v>927</v>
      </c>
    </row>
    <row r="265" spans="1:1">
      <c r="A265" s="32" t="s">
        <v>928</v>
      </c>
    </row>
    <row r="266" spans="1:1">
      <c r="A266" s="32" t="s">
        <v>929</v>
      </c>
    </row>
    <row r="267" spans="1:1">
      <c r="A267" s="32" t="s">
        <v>930</v>
      </c>
    </row>
    <row r="268" spans="1:1" ht="18" customHeight="1">
      <c r="A268" s="32" t="s">
        <v>931</v>
      </c>
    </row>
    <row r="269" spans="1:1" ht="51" customHeight="1">
      <c r="A269" s="32" t="s">
        <v>932</v>
      </c>
    </row>
    <row r="270" spans="1:1">
      <c r="A270" s="32" t="s">
        <v>933</v>
      </c>
    </row>
    <row r="272" spans="1:1">
      <c r="A272" s="511" t="s">
        <v>934</v>
      </c>
    </row>
    <row r="273" spans="1:1">
      <c r="A273" s="32" t="s">
        <v>935</v>
      </c>
    </row>
    <row r="274" spans="1:1">
      <c r="A274" s="32" t="s">
        <v>936</v>
      </c>
    </row>
    <row r="275" spans="1:1">
      <c r="A275" s="32" t="s">
        <v>937</v>
      </c>
    </row>
    <row r="276" spans="1:1">
      <c r="A276" s="32" t="s">
        <v>938</v>
      </c>
    </row>
    <row r="277" spans="1:1">
      <c r="A277" s="511" t="s">
        <v>939</v>
      </c>
    </row>
    <row r="278" spans="1:1" ht="31.5">
      <c r="A278" s="32" t="s">
        <v>940</v>
      </c>
    </row>
    <row r="279" spans="1:1">
      <c r="A279" s="32" t="s">
        <v>941</v>
      </c>
    </row>
    <row r="282" spans="1:1">
      <c r="A282" s="511" t="s">
        <v>942</v>
      </c>
    </row>
    <row r="283" spans="1:1" ht="47.25">
      <c r="A283" s="32" t="s">
        <v>943</v>
      </c>
    </row>
    <row r="284" spans="1:1">
      <c r="A284" s="32" t="s">
        <v>944</v>
      </c>
    </row>
    <row r="285" spans="1:1">
      <c r="A285" s="32" t="s">
        <v>945</v>
      </c>
    </row>
    <row r="286" spans="1:1">
      <c r="A286" s="32" t="s">
        <v>946</v>
      </c>
    </row>
    <row r="287" spans="1:1">
      <c r="A287" s="32" t="s">
        <v>947</v>
      </c>
    </row>
    <row r="288" spans="1:1">
      <c r="A288" s="32" t="s">
        <v>948</v>
      </c>
    </row>
    <row r="289" spans="1:1">
      <c r="A289" s="32" t="s">
        <v>949</v>
      </c>
    </row>
    <row r="290" spans="1:1">
      <c r="A290" s="32" t="s">
        <v>950</v>
      </c>
    </row>
    <row r="291" spans="1:1">
      <c r="A291" s="32" t="s">
        <v>951</v>
      </c>
    </row>
    <row r="292" spans="1:1" ht="31.5">
      <c r="A292" s="32" t="s">
        <v>952</v>
      </c>
    </row>
    <row r="293" spans="1:1" ht="31.5">
      <c r="A293" s="32" t="s">
        <v>953</v>
      </c>
    </row>
    <row r="294" spans="1:1">
      <c r="A294" s="32" t="s">
        <v>954</v>
      </c>
    </row>
    <row r="295" spans="1:1">
      <c r="A295" s="32" t="s">
        <v>955</v>
      </c>
    </row>
    <row r="296" spans="1:1">
      <c r="A296" s="32" t="s">
        <v>956</v>
      </c>
    </row>
    <row r="297" spans="1:1">
      <c r="A297" s="32" t="s">
        <v>957</v>
      </c>
    </row>
    <row r="298" spans="1:1">
      <c r="A298" s="32" t="s">
        <v>958</v>
      </c>
    </row>
    <row r="299" spans="1:1" ht="31.5">
      <c r="A299" s="32" t="s">
        <v>959</v>
      </c>
    </row>
    <row r="300" spans="1:1">
      <c r="A300" s="32" t="s">
        <v>960</v>
      </c>
    </row>
    <row r="301" spans="1:1">
      <c r="A301" s="32" t="s">
        <v>961</v>
      </c>
    </row>
    <row r="302" spans="1:1" ht="31.5">
      <c r="A302" s="32" t="s">
        <v>962</v>
      </c>
    </row>
    <row r="303" spans="1:1">
      <c r="A303" s="32" t="s">
        <v>963</v>
      </c>
    </row>
    <row r="304" spans="1:1">
      <c r="A304" s="32" t="s">
        <v>964</v>
      </c>
    </row>
    <row r="305" spans="1:1" ht="19.5" customHeight="1">
      <c r="A305" s="32" t="s">
        <v>965</v>
      </c>
    </row>
    <row r="306" spans="1:1" ht="18" customHeight="1">
      <c r="A306" s="32" t="s">
        <v>966</v>
      </c>
    </row>
    <row r="307" spans="1:1">
      <c r="A307" s="32" t="s">
        <v>967</v>
      </c>
    </row>
    <row r="308" spans="1:1">
      <c r="A308" s="32" t="s">
        <v>968</v>
      </c>
    </row>
    <row r="309" spans="1:1">
      <c r="A309" s="32" t="s">
        <v>969</v>
      </c>
    </row>
    <row r="310" spans="1:1">
      <c r="A310" s="32" t="s">
        <v>970</v>
      </c>
    </row>
    <row r="311" spans="1:1">
      <c r="A311" s="32" t="s">
        <v>971</v>
      </c>
    </row>
    <row r="312" spans="1:1" ht="31.5">
      <c r="A312" s="32" t="s">
        <v>972</v>
      </c>
    </row>
    <row r="313" spans="1:1">
      <c r="A313" s="32" t="s">
        <v>973</v>
      </c>
    </row>
    <row r="315" spans="1:1">
      <c r="A315" s="32" t="s">
        <v>974</v>
      </c>
    </row>
    <row r="316" spans="1:1">
      <c r="A316" s="32" t="s">
        <v>975</v>
      </c>
    </row>
  </sheetData>
  <sheetProtection sheet="1" objects="1" scenarios="1"/>
  <phoneticPr fontId="9"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49"/>
  <sheetViews>
    <sheetView zoomScale="80" zoomScaleNormal="80" workbookViewId="0">
      <selection sqref="A1:F2"/>
    </sheetView>
  </sheetViews>
  <sheetFormatPr defaultRowHeight="15.75"/>
  <cols>
    <col min="1" max="1" width="17.21875" customWidth="1"/>
    <col min="2" max="2" width="16.109375" customWidth="1"/>
    <col min="8" max="8" width="12.6640625" style="1" customWidth="1"/>
    <col min="9" max="9" width="12.44140625" style="1" customWidth="1"/>
    <col min="10" max="11" width="8.88671875" style="1"/>
  </cols>
  <sheetData>
    <row r="1" spans="1:14" ht="15">
      <c r="A1" s="636" t="s">
        <v>135</v>
      </c>
      <c r="B1" s="636"/>
      <c r="C1" s="636"/>
      <c r="D1" s="636"/>
      <c r="E1" s="636"/>
      <c r="F1" s="636"/>
      <c r="G1" s="571"/>
      <c r="H1" s="626" t="s">
        <v>136</v>
      </c>
      <c r="I1" s="626"/>
      <c r="J1" s="626"/>
      <c r="K1" s="626"/>
      <c r="L1" s="571"/>
      <c r="M1" s="571"/>
      <c r="N1" s="571"/>
    </row>
    <row r="2" spans="1:14" ht="20.25" customHeight="1">
      <c r="A2" s="636"/>
      <c r="B2" s="636"/>
      <c r="C2" s="636"/>
      <c r="D2" s="636"/>
      <c r="E2" s="636"/>
      <c r="F2" s="636"/>
      <c r="G2" s="571"/>
      <c r="H2" s="626"/>
      <c r="I2" s="626"/>
      <c r="J2" s="626"/>
      <c r="K2" s="626"/>
      <c r="L2" s="571"/>
      <c r="M2" s="571"/>
      <c r="N2" s="571"/>
    </row>
    <row r="3" spans="1:14" ht="18" customHeight="1">
      <c r="A3" s="637" t="s">
        <v>137</v>
      </c>
      <c r="B3" s="637"/>
      <c r="C3" s="637"/>
      <c r="D3" s="637"/>
      <c r="E3" s="637"/>
      <c r="F3" s="637"/>
      <c r="G3" s="571"/>
      <c r="H3" s="252" t="s">
        <v>138</v>
      </c>
      <c r="I3" s="627" t="s">
        <v>139</v>
      </c>
      <c r="J3" s="628"/>
      <c r="K3" s="629"/>
      <c r="L3" s="571"/>
      <c r="M3" s="571"/>
      <c r="N3" s="571"/>
    </row>
    <row r="4" spans="1:14" ht="18" customHeight="1">
      <c r="A4" s="637"/>
      <c r="B4" s="637"/>
      <c r="C4" s="637"/>
      <c r="D4" s="637"/>
      <c r="E4" s="637"/>
      <c r="F4" s="637"/>
      <c r="G4" s="571"/>
      <c r="H4" s="252"/>
      <c r="I4" s="252"/>
      <c r="L4" s="571"/>
      <c r="M4" s="571"/>
      <c r="N4" s="571"/>
    </row>
    <row r="5" spans="1:14" ht="18" customHeight="1">
      <c r="A5" s="637"/>
      <c r="B5" s="637"/>
      <c r="C5" s="637"/>
      <c r="D5" s="637"/>
      <c r="E5" s="637"/>
      <c r="F5" s="637"/>
      <c r="G5" s="571"/>
      <c r="H5" s="252" t="s">
        <v>140</v>
      </c>
      <c r="I5" s="627" t="s">
        <v>141</v>
      </c>
      <c r="J5" s="628"/>
      <c r="K5" s="629"/>
      <c r="L5" s="571"/>
      <c r="M5" s="571"/>
      <c r="N5" s="571"/>
    </row>
    <row r="6" spans="1:14" ht="18" customHeight="1">
      <c r="A6" s="637"/>
      <c r="B6" s="637"/>
      <c r="C6" s="637"/>
      <c r="D6" s="637"/>
      <c r="E6" s="637"/>
      <c r="F6" s="637"/>
      <c r="G6" s="571"/>
      <c r="H6" s="252"/>
      <c r="I6" s="252"/>
      <c r="L6" s="571"/>
      <c r="M6" s="571"/>
      <c r="N6" s="571"/>
    </row>
    <row r="7" spans="1:14" ht="18" customHeight="1">
      <c r="A7" s="637"/>
      <c r="B7" s="637"/>
      <c r="C7" s="637"/>
      <c r="D7" s="637"/>
      <c r="E7" s="637"/>
      <c r="F7" s="637"/>
      <c r="G7" s="571"/>
      <c r="H7" s="252" t="s">
        <v>142</v>
      </c>
      <c r="I7" s="627" t="s">
        <v>143</v>
      </c>
      <c r="J7" s="628"/>
      <c r="K7" s="629"/>
      <c r="L7" s="571"/>
      <c r="M7" s="571"/>
      <c r="N7" s="571"/>
    </row>
    <row r="8" spans="1:14" ht="18" customHeight="1">
      <c r="A8" s="637"/>
      <c r="B8" s="637"/>
      <c r="C8" s="637"/>
      <c r="D8" s="637"/>
      <c r="E8" s="637"/>
      <c r="F8" s="637"/>
      <c r="G8" s="571"/>
      <c r="H8" s="252"/>
      <c r="I8" s="252"/>
      <c r="L8" s="571"/>
      <c r="M8" s="571"/>
      <c r="N8" s="571"/>
    </row>
    <row r="9" spans="1:14" ht="18" customHeight="1">
      <c r="A9" s="637"/>
      <c r="B9" s="637"/>
      <c r="C9" s="637"/>
      <c r="D9" s="637"/>
      <c r="E9" s="637"/>
      <c r="F9" s="637"/>
      <c r="G9" s="571"/>
      <c r="H9" s="252" t="s">
        <v>144</v>
      </c>
      <c r="I9" s="627" t="s">
        <v>145</v>
      </c>
      <c r="J9" s="628"/>
      <c r="K9" s="629"/>
      <c r="L9" s="571"/>
      <c r="M9" s="571"/>
      <c r="N9" s="571"/>
    </row>
    <row r="10" spans="1:14" ht="18" customHeight="1">
      <c r="A10" s="637"/>
      <c r="B10" s="637"/>
      <c r="C10" s="637"/>
      <c r="D10" s="637"/>
      <c r="E10" s="637"/>
      <c r="F10" s="637"/>
      <c r="G10" s="571"/>
      <c r="H10" s="252"/>
      <c r="I10" s="252"/>
      <c r="L10" s="571"/>
      <c r="M10" s="571"/>
      <c r="N10" s="571"/>
    </row>
    <row r="11" spans="1:14" ht="18" customHeight="1">
      <c r="A11" s="637"/>
      <c r="B11" s="637"/>
      <c r="C11" s="637"/>
      <c r="D11" s="637"/>
      <c r="E11" s="637"/>
      <c r="F11" s="637"/>
      <c r="G11" s="571"/>
      <c r="H11" s="252" t="s">
        <v>146</v>
      </c>
      <c r="I11" s="630" t="s">
        <v>145</v>
      </c>
      <c r="J11" s="631"/>
      <c r="K11" s="632"/>
      <c r="L11" s="571"/>
      <c r="M11" s="571"/>
      <c r="N11" s="571"/>
    </row>
    <row r="12" spans="1:14" ht="18" customHeight="1">
      <c r="A12" s="637"/>
      <c r="B12" s="637"/>
      <c r="C12" s="637"/>
      <c r="D12" s="637"/>
      <c r="E12" s="637"/>
      <c r="F12" s="637"/>
      <c r="G12" s="571"/>
      <c r="L12" s="571"/>
      <c r="M12" s="571"/>
      <c r="N12" s="571"/>
    </row>
    <row r="13" spans="1:14" ht="21" customHeight="1">
      <c r="A13" s="626" t="s">
        <v>147</v>
      </c>
      <c r="B13" s="626"/>
      <c r="C13" s="626"/>
      <c r="D13" s="626"/>
      <c r="E13" s="626"/>
      <c r="F13" s="626"/>
      <c r="G13" s="626"/>
      <c r="H13" s="626"/>
      <c r="I13" s="626"/>
      <c r="J13" s="626"/>
      <c r="K13" s="626"/>
      <c r="L13" s="571"/>
      <c r="M13" s="497"/>
      <c r="N13" s="497"/>
    </row>
    <row r="14" spans="1:14">
      <c r="A14" s="498" t="s">
        <v>148</v>
      </c>
      <c r="B14" s="627"/>
      <c r="C14" s="628"/>
      <c r="D14" s="628"/>
      <c r="E14" s="629"/>
      <c r="F14" s="571"/>
      <c r="G14" s="571"/>
      <c r="H14" s="625" t="s">
        <v>149</v>
      </c>
      <c r="I14" s="625"/>
      <c r="J14" s="625"/>
      <c r="K14" s="625"/>
      <c r="L14" s="571"/>
      <c r="M14" s="571"/>
      <c r="N14" s="571"/>
    </row>
    <row r="15" spans="1:14">
      <c r="A15" s="498"/>
      <c r="B15" s="374"/>
      <c r="C15" s="501"/>
      <c r="D15" s="501"/>
      <c r="E15" s="501"/>
      <c r="F15" s="571"/>
      <c r="G15" s="571"/>
      <c r="H15" s="625"/>
      <c r="I15" s="625"/>
      <c r="J15" s="625"/>
      <c r="K15" s="625"/>
      <c r="L15" s="571"/>
      <c r="M15" s="571"/>
      <c r="N15" s="571"/>
    </row>
    <row r="16" spans="1:14">
      <c r="A16" s="498" t="s">
        <v>138</v>
      </c>
      <c r="B16" s="627"/>
      <c r="C16" s="628"/>
      <c r="D16" s="628"/>
      <c r="E16" s="629"/>
      <c r="F16" s="571"/>
      <c r="G16" s="571"/>
      <c r="H16" s="625"/>
      <c r="I16" s="625"/>
      <c r="J16" s="625"/>
      <c r="K16" s="625"/>
      <c r="L16" s="571"/>
      <c r="M16" s="571"/>
      <c r="N16" s="571"/>
    </row>
    <row r="17" spans="1:11">
      <c r="A17" s="499"/>
      <c r="B17" s="502"/>
      <c r="C17" s="502"/>
      <c r="D17" s="501"/>
      <c r="E17" s="502"/>
      <c r="F17" s="251"/>
      <c r="G17" s="571"/>
      <c r="H17" s="625"/>
      <c r="I17" s="625"/>
      <c r="J17" s="625"/>
      <c r="K17" s="625"/>
    </row>
    <row r="18" spans="1:11">
      <c r="A18" s="500" t="s">
        <v>140</v>
      </c>
      <c r="B18" s="627"/>
      <c r="C18" s="628"/>
      <c r="D18" s="628"/>
      <c r="E18" s="629"/>
      <c r="F18" s="251"/>
      <c r="G18" s="571"/>
      <c r="H18" s="625"/>
      <c r="I18" s="625"/>
      <c r="J18" s="625"/>
      <c r="K18" s="625"/>
    </row>
    <row r="19" spans="1:11">
      <c r="A19" s="496" t="s">
        <v>150</v>
      </c>
      <c r="B19" s="501"/>
      <c r="C19" s="501"/>
      <c r="D19" s="371"/>
      <c r="E19" s="502"/>
      <c r="F19" s="251"/>
      <c r="G19" s="571"/>
      <c r="H19" s="625"/>
      <c r="I19" s="625"/>
      <c r="J19" s="625"/>
      <c r="K19" s="625"/>
    </row>
    <row r="20" spans="1:11">
      <c r="A20" s="500" t="s">
        <v>142</v>
      </c>
      <c r="B20" s="630"/>
      <c r="C20" s="631"/>
      <c r="D20" s="631"/>
      <c r="E20" s="632"/>
      <c r="F20" s="251"/>
      <c r="G20" s="571"/>
      <c r="H20" s="625"/>
      <c r="I20" s="625"/>
      <c r="J20" s="625"/>
      <c r="K20" s="625"/>
    </row>
    <row r="21" spans="1:11">
      <c r="A21" s="500"/>
      <c r="B21" s="371"/>
      <c r="C21" s="252"/>
      <c r="D21" s="252"/>
      <c r="E21" s="502"/>
      <c r="F21" s="251"/>
      <c r="G21" s="571"/>
      <c r="H21" s="625"/>
      <c r="I21" s="625"/>
      <c r="J21" s="625"/>
      <c r="K21" s="625"/>
    </row>
    <row r="22" spans="1:11">
      <c r="A22" s="500" t="s">
        <v>144</v>
      </c>
      <c r="B22" s="633"/>
      <c r="C22" s="634"/>
      <c r="D22" s="634"/>
      <c r="E22" s="635"/>
      <c r="F22" s="251"/>
      <c r="G22" s="571"/>
      <c r="H22" s="625"/>
      <c r="I22" s="625"/>
      <c r="J22" s="625"/>
      <c r="K22" s="625"/>
    </row>
    <row r="23" spans="1:11">
      <c r="A23" s="500"/>
      <c r="B23" s="371"/>
      <c r="C23" s="252"/>
      <c r="D23" s="252"/>
      <c r="E23" s="502"/>
      <c r="F23" s="251"/>
      <c r="G23" s="571"/>
      <c r="H23" s="625"/>
      <c r="I23" s="625"/>
      <c r="J23" s="625"/>
      <c r="K23" s="625"/>
    </row>
    <row r="24" spans="1:11">
      <c r="A24" s="500" t="s">
        <v>151</v>
      </c>
      <c r="B24" s="633"/>
      <c r="C24" s="634"/>
      <c r="D24" s="634"/>
      <c r="E24" s="635"/>
      <c r="F24" s="251"/>
      <c r="G24" s="571"/>
      <c r="H24" s="625"/>
      <c r="I24" s="625"/>
      <c r="J24" s="625"/>
      <c r="K24" s="625"/>
    </row>
    <row r="27" spans="1:11" ht="21" customHeight="1">
      <c r="A27" s="626" t="s">
        <v>152</v>
      </c>
      <c r="B27" s="626"/>
      <c r="C27" s="626"/>
      <c r="D27" s="626"/>
      <c r="E27" s="626"/>
      <c r="F27" s="626"/>
      <c r="G27" s="626"/>
      <c r="H27" s="626"/>
      <c r="I27" s="626"/>
      <c r="J27" s="626"/>
      <c r="K27" s="626"/>
    </row>
    <row r="28" spans="1:11" ht="15.75" customHeight="1">
      <c r="A28" s="498" t="s">
        <v>148</v>
      </c>
      <c r="B28" s="627"/>
      <c r="C28" s="628"/>
      <c r="D28" s="628"/>
      <c r="E28" s="629"/>
      <c r="F28" s="571"/>
      <c r="G28" s="571"/>
      <c r="H28" s="625" t="s">
        <v>153</v>
      </c>
      <c r="I28" s="625"/>
      <c r="J28" s="625"/>
      <c r="K28" s="625"/>
    </row>
    <row r="29" spans="1:11">
      <c r="A29" s="498"/>
      <c r="B29" s="374"/>
      <c r="C29" s="571"/>
      <c r="D29" s="571"/>
      <c r="E29" s="571"/>
      <c r="F29" s="571"/>
      <c r="G29" s="571"/>
      <c r="H29" s="625"/>
      <c r="I29" s="625"/>
      <c r="J29" s="625"/>
      <c r="K29" s="625"/>
    </row>
    <row r="30" spans="1:11">
      <c r="A30" s="498" t="s">
        <v>138</v>
      </c>
      <c r="B30" s="627"/>
      <c r="C30" s="628"/>
      <c r="D30" s="628"/>
      <c r="E30" s="629"/>
      <c r="F30" s="571"/>
      <c r="G30" s="571"/>
      <c r="H30" s="625"/>
      <c r="I30" s="625"/>
      <c r="J30" s="625"/>
      <c r="K30" s="625"/>
    </row>
    <row r="31" spans="1:11">
      <c r="A31" s="499"/>
      <c r="B31" s="251"/>
      <c r="C31" s="251"/>
      <c r="D31" s="571"/>
      <c r="E31" s="251"/>
      <c r="F31" s="251"/>
      <c r="G31" s="571"/>
      <c r="H31" s="625"/>
      <c r="I31" s="625"/>
      <c r="J31" s="625"/>
      <c r="K31" s="625"/>
    </row>
    <row r="32" spans="1:11">
      <c r="A32" s="500" t="s">
        <v>140</v>
      </c>
      <c r="B32" s="627"/>
      <c r="C32" s="628"/>
      <c r="D32" s="628"/>
      <c r="E32" s="629"/>
      <c r="F32" s="251"/>
      <c r="G32" s="571"/>
      <c r="H32" s="625"/>
      <c r="I32" s="625"/>
      <c r="J32" s="625"/>
      <c r="K32" s="625"/>
    </row>
    <row r="33" spans="1:11">
      <c r="A33" s="496" t="s">
        <v>150</v>
      </c>
      <c r="B33" s="571"/>
      <c r="C33" s="571"/>
      <c r="D33" s="371"/>
      <c r="E33" s="251"/>
      <c r="F33" s="251"/>
      <c r="G33" s="571"/>
      <c r="H33" s="625"/>
      <c r="I33" s="625"/>
      <c r="J33" s="625"/>
      <c r="K33" s="625"/>
    </row>
    <row r="34" spans="1:11">
      <c r="A34" s="500" t="s">
        <v>142</v>
      </c>
      <c r="B34" s="630"/>
      <c r="C34" s="631"/>
      <c r="D34" s="631"/>
      <c r="E34" s="632"/>
      <c r="F34" s="251"/>
      <c r="G34" s="571"/>
      <c r="H34" s="625"/>
      <c r="I34" s="625"/>
      <c r="J34" s="625"/>
      <c r="K34" s="625"/>
    </row>
    <row r="35" spans="1:11">
      <c r="A35" s="500"/>
      <c r="B35" s="371"/>
      <c r="C35" s="252"/>
      <c r="D35" s="252"/>
      <c r="E35" s="251"/>
      <c r="F35" s="251"/>
      <c r="G35" s="571"/>
      <c r="H35" s="625"/>
      <c r="I35" s="625"/>
      <c r="J35" s="625"/>
      <c r="K35" s="625"/>
    </row>
    <row r="36" spans="1:11">
      <c r="A36" s="500" t="s">
        <v>144</v>
      </c>
      <c r="B36" s="633"/>
      <c r="C36" s="634"/>
      <c r="D36" s="634"/>
      <c r="E36" s="635"/>
      <c r="F36" s="251"/>
      <c r="G36" s="571"/>
      <c r="H36" s="625"/>
      <c r="I36" s="625"/>
      <c r="J36" s="625"/>
      <c r="K36" s="625"/>
    </row>
    <row r="37" spans="1:11">
      <c r="A37" s="500"/>
      <c r="B37" s="371"/>
      <c r="C37" s="252"/>
      <c r="D37" s="252"/>
      <c r="E37" s="251"/>
      <c r="F37" s="251"/>
      <c r="G37" s="571"/>
      <c r="H37" s="625"/>
      <c r="I37" s="625"/>
      <c r="J37" s="625"/>
      <c r="K37" s="625"/>
    </row>
    <row r="38" spans="1:11">
      <c r="A38" s="500" t="s">
        <v>151</v>
      </c>
      <c r="B38" s="633"/>
      <c r="C38" s="634"/>
      <c r="D38" s="634"/>
      <c r="E38" s="635"/>
      <c r="F38" s="251"/>
      <c r="G38" s="571"/>
      <c r="H38" s="625"/>
      <c r="I38" s="625"/>
      <c r="J38" s="625"/>
      <c r="K38" s="625"/>
    </row>
    <row r="39" spans="1:11" ht="15.75" customHeight="1">
      <c r="A39" s="571"/>
      <c r="B39" s="571"/>
      <c r="C39" s="571"/>
      <c r="D39" s="571"/>
      <c r="E39" s="571"/>
      <c r="F39" s="571"/>
      <c r="G39" s="571"/>
      <c r="H39" s="625"/>
      <c r="I39" s="625"/>
      <c r="J39" s="625"/>
      <c r="K39" s="625"/>
    </row>
    <row r="41" spans="1:11" ht="21" customHeight="1">
      <c r="A41" s="626" t="s">
        <v>154</v>
      </c>
      <c r="B41" s="626"/>
      <c r="C41" s="626"/>
      <c r="D41" s="626"/>
      <c r="E41" s="626"/>
      <c r="F41" s="626"/>
      <c r="G41" s="626"/>
      <c r="H41" s="626"/>
      <c r="I41" s="626"/>
      <c r="J41" s="626"/>
      <c r="K41" s="626"/>
    </row>
    <row r="42" spans="1:11" ht="15.75" customHeight="1">
      <c r="A42" s="500" t="s">
        <v>140</v>
      </c>
      <c r="B42" s="627"/>
      <c r="C42" s="628"/>
      <c r="D42" s="628"/>
      <c r="E42" s="629"/>
      <c r="F42" s="251"/>
      <c r="G42" s="571"/>
      <c r="H42" s="625" t="s">
        <v>155</v>
      </c>
      <c r="I42" s="625"/>
      <c r="J42" s="625"/>
      <c r="K42" s="625"/>
    </row>
    <row r="43" spans="1:11">
      <c r="A43" s="496" t="s">
        <v>150</v>
      </c>
      <c r="B43" s="501"/>
      <c r="C43" s="501"/>
      <c r="D43" s="371"/>
      <c r="E43" s="502"/>
      <c r="F43" s="251"/>
      <c r="G43" s="571"/>
      <c r="H43" s="625"/>
      <c r="I43" s="625"/>
      <c r="J43" s="625"/>
      <c r="K43" s="625"/>
    </row>
    <row r="44" spans="1:11">
      <c r="A44" s="500" t="s">
        <v>142</v>
      </c>
      <c r="B44" s="630"/>
      <c r="C44" s="631"/>
      <c r="D44" s="631"/>
      <c r="E44" s="632"/>
      <c r="F44" s="251"/>
      <c r="G44" s="571"/>
      <c r="H44" s="625"/>
      <c r="I44" s="625"/>
      <c r="J44" s="625"/>
      <c r="K44" s="625"/>
    </row>
    <row r="45" spans="1:11">
      <c r="A45" s="500"/>
      <c r="B45" s="371"/>
      <c r="C45" s="252"/>
      <c r="D45" s="252"/>
      <c r="E45" s="502"/>
      <c r="F45" s="251"/>
      <c r="G45" s="571"/>
      <c r="H45" s="625"/>
      <c r="I45" s="625"/>
      <c r="J45" s="625"/>
      <c r="K45" s="625"/>
    </row>
    <row r="46" spans="1:11">
      <c r="A46" s="500" t="s">
        <v>144</v>
      </c>
      <c r="B46" s="633"/>
      <c r="C46" s="634"/>
      <c r="D46" s="634"/>
      <c r="E46" s="635"/>
      <c r="F46" s="251"/>
      <c r="G46" s="571"/>
      <c r="H46" s="625"/>
      <c r="I46" s="625"/>
      <c r="J46" s="625"/>
      <c r="K46" s="625"/>
    </row>
    <row r="47" spans="1:11" ht="15.75" customHeight="1">
      <c r="A47" s="571"/>
      <c r="B47" s="571"/>
      <c r="C47" s="571"/>
      <c r="D47" s="571"/>
      <c r="E47" s="571"/>
      <c r="F47" s="571"/>
      <c r="G47" s="571"/>
      <c r="H47" s="625"/>
      <c r="I47" s="625"/>
      <c r="J47" s="625"/>
      <c r="K47" s="625"/>
    </row>
    <row r="48" spans="1:11" ht="15.75" customHeight="1">
      <c r="A48" s="571"/>
      <c r="B48" s="571"/>
      <c r="C48" s="571"/>
      <c r="D48" s="571"/>
      <c r="E48" s="571"/>
      <c r="F48" s="571"/>
      <c r="G48" s="571"/>
      <c r="H48" s="625"/>
      <c r="I48" s="625"/>
      <c r="J48" s="625"/>
      <c r="K48" s="625"/>
    </row>
    <row r="49" spans="8:11" ht="15.75" customHeight="1">
      <c r="H49" s="625"/>
      <c r="I49" s="625"/>
      <c r="J49" s="625"/>
      <c r="K49" s="625"/>
    </row>
  </sheetData>
  <sheetProtection sheet="1"/>
  <mergeCells count="29">
    <mergeCell ref="H1:K2"/>
    <mergeCell ref="H14:K24"/>
    <mergeCell ref="I3:K3"/>
    <mergeCell ref="I5:K5"/>
    <mergeCell ref="I7:K7"/>
    <mergeCell ref="I9:K9"/>
    <mergeCell ref="I11:K11"/>
    <mergeCell ref="B18:E18"/>
    <mergeCell ref="B20:E20"/>
    <mergeCell ref="B28:E28"/>
    <mergeCell ref="B30:E30"/>
    <mergeCell ref="A1:F2"/>
    <mergeCell ref="A3:F12"/>
    <mergeCell ref="H42:K49"/>
    <mergeCell ref="A13:K13"/>
    <mergeCell ref="A27:K27"/>
    <mergeCell ref="A41:K41"/>
    <mergeCell ref="H28:K39"/>
    <mergeCell ref="B42:E42"/>
    <mergeCell ref="B44:E44"/>
    <mergeCell ref="B46:E46"/>
    <mergeCell ref="B32:E32"/>
    <mergeCell ref="B34:E34"/>
    <mergeCell ref="B36:E36"/>
    <mergeCell ref="B38:E38"/>
    <mergeCell ref="B22:E22"/>
    <mergeCell ref="B24:E24"/>
    <mergeCell ref="B14:E14"/>
    <mergeCell ref="B16:E16"/>
  </mergeCells>
  <pageMargins left="0.7" right="0.7" top="0.75" bottom="0.75" header="0.3" footer="0.3"/>
  <pageSetup scale="5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sqref="A1:A40"/>
    </sheetView>
  </sheetViews>
  <sheetFormatPr defaultRowHeight="15"/>
  <cols>
    <col min="1" max="1" width="116" customWidth="1"/>
  </cols>
  <sheetData>
    <row r="1" spans="1:1" ht="15.75" customHeight="1">
      <c r="A1" s="638" t="s">
        <v>156</v>
      </c>
    </row>
    <row r="2" spans="1:1" ht="15.75" customHeight="1">
      <c r="A2" s="638"/>
    </row>
    <row r="3" spans="1:1" ht="15.75" customHeight="1">
      <c r="A3" s="638"/>
    </row>
    <row r="4" spans="1:1" ht="15.75" customHeight="1">
      <c r="A4" s="638"/>
    </row>
    <row r="5" spans="1:1" ht="15.75" customHeight="1">
      <c r="A5" s="638"/>
    </row>
    <row r="6" spans="1:1" ht="15.75" customHeight="1">
      <c r="A6" s="638"/>
    </row>
    <row r="7" spans="1:1" ht="15.75" customHeight="1">
      <c r="A7" s="638"/>
    </row>
    <row r="8" spans="1:1" ht="15.75" customHeight="1">
      <c r="A8" s="638"/>
    </row>
    <row r="9" spans="1:1" ht="15.75" customHeight="1">
      <c r="A9" s="638"/>
    </row>
    <row r="10" spans="1:1" ht="15.75" customHeight="1">
      <c r="A10" s="638"/>
    </row>
    <row r="11" spans="1:1" ht="15.75" customHeight="1">
      <c r="A11" s="638"/>
    </row>
    <row r="12" spans="1:1" ht="15.75" customHeight="1">
      <c r="A12" s="638"/>
    </row>
    <row r="13" spans="1:1" ht="15.75" customHeight="1">
      <c r="A13" s="638"/>
    </row>
    <row r="14" spans="1:1" ht="15.75" customHeight="1">
      <c r="A14" s="638"/>
    </row>
    <row r="15" spans="1:1" ht="15.75" customHeight="1">
      <c r="A15" s="638"/>
    </row>
    <row r="16" spans="1:1" ht="15.75" customHeight="1">
      <c r="A16" s="638"/>
    </row>
    <row r="17" spans="1:1" ht="15.75" customHeight="1">
      <c r="A17" s="638"/>
    </row>
    <row r="18" spans="1:1" ht="15.75" customHeight="1">
      <c r="A18" s="638"/>
    </row>
    <row r="19" spans="1:1" ht="15.75" customHeight="1">
      <c r="A19" s="638"/>
    </row>
    <row r="20" spans="1:1" ht="15.75" customHeight="1">
      <c r="A20" s="638"/>
    </row>
    <row r="21" spans="1:1" ht="15.75" customHeight="1">
      <c r="A21" s="638"/>
    </row>
    <row r="22" spans="1:1" ht="15.75" customHeight="1">
      <c r="A22" s="638"/>
    </row>
    <row r="23" spans="1:1" ht="15.75" customHeight="1">
      <c r="A23" s="638"/>
    </row>
    <row r="24" spans="1:1" ht="15.75" customHeight="1">
      <c r="A24" s="638"/>
    </row>
    <row r="25" spans="1:1" ht="15.75" customHeight="1">
      <c r="A25" s="638"/>
    </row>
    <row r="26" spans="1:1" ht="15.75" customHeight="1">
      <c r="A26" s="638"/>
    </row>
    <row r="27" spans="1:1" ht="15.75" customHeight="1">
      <c r="A27" s="638"/>
    </row>
    <row r="28" spans="1:1" ht="15.75" customHeight="1">
      <c r="A28" s="638"/>
    </row>
    <row r="29" spans="1:1" ht="15.75" customHeight="1">
      <c r="A29" s="638"/>
    </row>
    <row r="30" spans="1:1" ht="15.75" customHeight="1">
      <c r="A30" s="638"/>
    </row>
    <row r="31" spans="1:1" ht="15.75" customHeight="1">
      <c r="A31" s="638"/>
    </row>
    <row r="32" spans="1:1" ht="15.75" customHeight="1">
      <c r="A32" s="638"/>
    </row>
    <row r="33" spans="1:1" ht="15.75" customHeight="1">
      <c r="A33" s="638"/>
    </row>
    <row r="34" spans="1:1" ht="15.75" customHeight="1">
      <c r="A34" s="638"/>
    </row>
    <row r="35" spans="1:1" ht="15.75" customHeight="1">
      <c r="A35" s="638"/>
    </row>
    <row r="36" spans="1:1" ht="15.75" customHeight="1">
      <c r="A36" s="638"/>
    </row>
    <row r="37" spans="1:1" ht="15.75" customHeight="1">
      <c r="A37" s="638"/>
    </row>
    <row r="38" spans="1:1" ht="15.75" customHeight="1">
      <c r="A38" s="638"/>
    </row>
    <row r="39" spans="1:1" ht="15.75" customHeight="1">
      <c r="A39" s="638"/>
    </row>
    <row r="40" spans="1:1" ht="15.75" customHeight="1">
      <c r="A40" s="638"/>
    </row>
  </sheetData>
  <sheetProtection sheet="1" objects="1" scenarios="1"/>
  <mergeCells count="1">
    <mergeCell ref="A1:A40"/>
  </mergeCells>
  <pageMargins left="0.7" right="0.7" top="0.75" bottom="0.75" header="0.3" footer="0.3"/>
  <pageSetup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F65"/>
  <sheetViews>
    <sheetView workbookViewId="0">
      <selection activeCell="F44" sqref="F44"/>
    </sheetView>
  </sheetViews>
  <sheetFormatPr defaultColWidth="8.88671875" defaultRowHeight="15" customHeight="1"/>
  <cols>
    <col min="1" max="1" width="24.44140625" style="92" customWidth="1"/>
    <col min="2" max="2" width="11.33203125" style="92" customWidth="1"/>
    <col min="3" max="3" width="5.77734375" style="92" customWidth="1"/>
    <col min="4" max="5" width="13.88671875" style="92" customWidth="1"/>
    <col min="6" max="6" width="13" style="92" customWidth="1"/>
    <col min="7" max="16384" width="8.88671875" style="92"/>
  </cols>
  <sheetData>
    <row r="1" spans="1:6" ht="15" customHeight="1">
      <c r="A1" s="90"/>
      <c r="B1" s="90"/>
      <c r="C1" s="90"/>
      <c r="D1" s="90"/>
      <c r="E1" s="90"/>
      <c r="F1" s="91">
        <f>inputPrYr!$C$6</f>
        <v>2025</v>
      </c>
    </row>
    <row r="2" spans="1:6" ht="15" customHeight="1">
      <c r="A2" s="36"/>
      <c r="B2" s="36"/>
      <c r="C2" s="38" t="s">
        <v>157</v>
      </c>
      <c r="D2" s="36"/>
      <c r="E2" s="36"/>
      <c r="F2" s="93"/>
    </row>
    <row r="3" spans="1:6" s="37" customFormat="1" ht="15" customHeight="1">
      <c r="A3" s="643" t="str">
        <f>CONCATENATE("To the Clerk of ",inputPrYr!D4,", State of Kansas")</f>
        <v>To the Clerk of , State of Kansas</v>
      </c>
      <c r="B3" s="590"/>
      <c r="C3" s="590"/>
      <c r="D3" s="590"/>
      <c r="E3" s="590"/>
      <c r="F3" s="590"/>
    </row>
    <row r="4" spans="1:6" s="37" customFormat="1" ht="15" customHeight="1">
      <c r="A4" s="43" t="s">
        <v>158</v>
      </c>
      <c r="B4" s="42"/>
      <c r="C4" s="42"/>
      <c r="D4" s="42"/>
      <c r="E4" s="42"/>
      <c r="F4" s="42"/>
    </row>
    <row r="5" spans="1:6" s="37" customFormat="1" ht="15" customHeight="1">
      <c r="A5" s="589">
        <f>(inputPrYr!D3)</f>
        <v>0</v>
      </c>
      <c r="B5" s="589"/>
      <c r="C5" s="589"/>
      <c r="D5" s="589"/>
      <c r="E5" s="589"/>
      <c r="F5" s="589"/>
    </row>
    <row r="6" spans="1:6" s="37" customFormat="1" ht="15" customHeight="1">
      <c r="A6" s="43" t="s">
        <v>159</v>
      </c>
      <c r="B6" s="42"/>
      <c r="C6" s="42"/>
      <c r="D6" s="42"/>
      <c r="E6" s="42"/>
      <c r="F6" s="42"/>
    </row>
    <row r="7" spans="1:6" s="37" customFormat="1" ht="15" customHeight="1">
      <c r="A7" s="43" t="s">
        <v>160</v>
      </c>
      <c r="B7" s="42"/>
      <c r="C7" s="42"/>
      <c r="D7" s="42"/>
      <c r="E7" s="42"/>
      <c r="F7" s="42"/>
    </row>
    <row r="8" spans="1:6" s="37" customFormat="1" ht="15" customHeight="1">
      <c r="A8" s="43" t="str">
        <f>CONCATENATE("maximum expenditure for the various funds for the year ",D11,"; and")</f>
        <v>maximum expenditure for the various funds for the year 2025; and</v>
      </c>
      <c r="B8" s="42"/>
      <c r="C8" s="42"/>
      <c r="D8" s="42"/>
      <c r="E8" s="42"/>
      <c r="F8" s="42"/>
    </row>
    <row r="9" spans="1:6" s="37" customFormat="1" ht="15" customHeight="1">
      <c r="A9" s="43" t="str">
        <f>CONCATENATE("(3) the Amount(s) of ",F1-1," Ad Valorem Tax are within statutory limitations.")</f>
        <v>(3) the Amount(s) of 2024 Ad Valorem Tax are within statutory limitations.</v>
      </c>
      <c r="B9" s="42"/>
      <c r="C9" s="42"/>
      <c r="D9" s="42"/>
      <c r="E9" s="42"/>
      <c r="F9" s="42"/>
    </row>
    <row r="10" spans="1:6" ht="15" customHeight="1">
      <c r="A10" s="94"/>
      <c r="B10" s="95"/>
      <c r="C10" s="95"/>
      <c r="D10" s="96"/>
      <c r="E10" s="95"/>
      <c r="F10" s="95"/>
    </row>
    <row r="11" spans="1:6" ht="15" customHeight="1">
      <c r="A11" s="36"/>
      <c r="B11" s="36"/>
      <c r="C11" s="97"/>
      <c r="D11" s="98">
        <f>inputPrYr!$C$6</f>
        <v>2025</v>
      </c>
      <c r="E11" s="99" t="s">
        <v>161</v>
      </c>
      <c r="F11" s="100"/>
    </row>
    <row r="12" spans="1:6" ht="16.5" customHeight="1">
      <c r="A12" s="95"/>
      <c r="B12" s="36"/>
      <c r="C12" s="101"/>
      <c r="D12" s="103"/>
      <c r="E12" s="644" t="str">
        <f>CONCATENATE("Amount of ",$F$1-1," Ad Valorem Tax")</f>
        <v>Amount of 2024 Ad Valorem Tax</v>
      </c>
      <c r="F12" s="652" t="s">
        <v>162</v>
      </c>
    </row>
    <row r="13" spans="1:6" ht="14.25" customHeight="1">
      <c r="A13" s="36"/>
      <c r="B13" s="36"/>
      <c r="C13" s="103" t="s">
        <v>163</v>
      </c>
      <c r="D13" s="104" t="s">
        <v>132</v>
      </c>
      <c r="E13" s="645"/>
      <c r="F13" s="653"/>
    </row>
    <row r="14" spans="1:6" ht="14.25" customHeight="1">
      <c r="A14" s="105" t="s">
        <v>164</v>
      </c>
      <c r="B14" s="61"/>
      <c r="C14" s="106" t="s">
        <v>165</v>
      </c>
      <c r="D14" s="106" t="s">
        <v>166</v>
      </c>
      <c r="E14" s="646"/>
      <c r="F14" s="654"/>
    </row>
    <row r="15" spans="1:6" ht="15" customHeight="1">
      <c r="A15" s="102" t="s">
        <v>167</v>
      </c>
      <c r="B15" s="108"/>
      <c r="C15" s="107">
        <v>2</v>
      </c>
      <c r="D15" s="36"/>
      <c r="E15" s="36"/>
      <c r="F15" s="97"/>
    </row>
    <row r="16" spans="1:6" ht="15" customHeight="1">
      <c r="A16" s="558" t="s">
        <v>168</v>
      </c>
      <c r="B16" s="67"/>
      <c r="C16" s="109">
        <v>3</v>
      </c>
      <c r="D16" s="36"/>
      <c r="E16" s="36"/>
      <c r="F16" s="97"/>
    </row>
    <row r="17" spans="1:6" ht="15" customHeight="1">
      <c r="A17" s="558" t="s">
        <v>169</v>
      </c>
      <c r="B17" s="67"/>
      <c r="C17" s="109">
        <v>4</v>
      </c>
      <c r="D17" s="36"/>
      <c r="E17" s="36"/>
      <c r="F17" s="97"/>
    </row>
    <row r="18" spans="1:6" ht="15" customHeight="1">
      <c r="A18" s="558" t="s">
        <v>170</v>
      </c>
      <c r="B18" s="67"/>
      <c r="C18" s="109">
        <v>5</v>
      </c>
      <c r="D18" s="36"/>
      <c r="E18" s="36"/>
      <c r="F18" s="97"/>
    </row>
    <row r="19" spans="1:6" ht="15" customHeight="1">
      <c r="A19" s="179" t="str">
        <f>IF(inputPrYr!D20="","","Computation to Determine State Library Grant")</f>
        <v/>
      </c>
      <c r="B19" s="61"/>
      <c r="C19" s="109" t="str">
        <f>IF(inputPrYr!D20="","",'Library Grant'!F39)</f>
        <v/>
      </c>
      <c r="D19" s="36"/>
      <c r="E19" s="36"/>
      <c r="F19" s="97"/>
    </row>
    <row r="20" spans="1:6" ht="15" customHeight="1">
      <c r="A20" s="110" t="s">
        <v>117</v>
      </c>
      <c r="B20" s="111" t="s">
        <v>171</v>
      </c>
      <c r="C20" s="569"/>
      <c r="D20" s="36"/>
      <c r="E20" s="36"/>
      <c r="F20" s="97"/>
    </row>
    <row r="21" spans="1:6" ht="15" customHeight="1">
      <c r="A21" s="557" t="s">
        <v>90</v>
      </c>
      <c r="B21" s="112" t="str">
        <f>inputPrYr!C18</f>
        <v>12-101a</v>
      </c>
      <c r="C21" s="107">
        <f>IF(General!C72&gt;0,General!C72,"")</f>
        <v>6</v>
      </c>
      <c r="D21" s="280" t="str">
        <f>IF((General!$E$59)&lt;&gt;0,General!$E$59,"")</f>
        <v/>
      </c>
      <c r="E21" s="378">
        <f>IF((General!$E$66)&lt;&gt;0,(General!$E$66),0)</f>
        <v>0</v>
      </c>
      <c r="F21" s="542" t="str">
        <f>IF(AND(General!E66=0,F38&gt;=0)," ",IF(AND(E21&gt;0,F38=0), " ", IF(AND(E21&gt;0,F38&gt;0),ROUND(E21/F38*1000,3))))</f>
        <v xml:space="preserve"> </v>
      </c>
    </row>
    <row r="22" spans="1:6" ht="15" customHeight="1">
      <c r="A22" s="557" t="s">
        <v>92</v>
      </c>
      <c r="B22" s="112" t="s">
        <v>93</v>
      </c>
      <c r="C22" s="107" t="str">
        <f>IF('DebtSvs-Library'!C89&gt;0,'DebtSvs-Library'!C89,"")</f>
        <v/>
      </c>
      <c r="D22" s="280" t="str">
        <f>IF(('DebtSvs-Library'!$E$34)&lt;&gt;0,('DebtSvs-Library'!$E$34),"")</f>
        <v/>
      </c>
      <c r="E22" s="378">
        <f>IF(('DebtSvs-Library'!$E$41)&lt;&gt;0,('DebtSvs-Library'!$E$41),0)</f>
        <v>0</v>
      </c>
      <c r="F22" s="542" t="str">
        <f>IF(AND('DebtSvs-Library'!E41=0,F38&gt;=0)," ",IF(AND(E22&gt;0,F38=0), " ", IF(AND(E22&gt;0,F38&gt;0),ROUND(E22/F38*1000,3))))</f>
        <v xml:space="preserve"> </v>
      </c>
    </row>
    <row r="23" spans="1:6" ht="15" customHeight="1">
      <c r="A23" s="62" t="str">
        <f>IF((inputPrYr!$B20&gt;"  "),(inputPrYr!$B20),"  ")</f>
        <v>Library</v>
      </c>
      <c r="B23" s="112" t="str">
        <f>IF((inputPrYr!$C20&gt;"  "),(inputPrYr!$C20),"  ")</f>
        <v>12-1220</v>
      </c>
      <c r="C23" s="107" t="str">
        <f>IF('DebtSvs-Library'!C89&gt;0,'DebtSvs-Library'!C89,"")</f>
        <v/>
      </c>
      <c r="D23" s="280" t="str">
        <f>IF(('DebtSvs-Library'!$E$75)&lt;&gt;0,('DebtSvs-Library'!$E$75),"")</f>
        <v/>
      </c>
      <c r="E23" s="378">
        <f>IF(('DebtSvs-Library'!$E$82)&lt;&gt;0,('DebtSvs-Library'!$E$82),0)</f>
        <v>0</v>
      </c>
      <c r="F23" s="542" t="str">
        <f>IF(AND('DebtSvs-Library'!E82=0,F38&gt;=0)," ",IF(AND(E23&gt;0,F38=0), " ", IF(AND(E23&gt;0,F38&gt;0),ROUND(E23/F38*1000,3))))</f>
        <v xml:space="preserve"> </v>
      </c>
    </row>
    <row r="24" spans="1:6" ht="15" customHeight="1">
      <c r="A24" s="62" t="str">
        <f>IF((inputPrYr!$B22&gt;"  "),(inputPrYr!$B22),"  ")</f>
        <v xml:space="preserve">  </v>
      </c>
      <c r="B24" s="112" t="str">
        <f>IF((inputPrYr!$C22&gt;"  "),(inputPrYr!$C22),"  ")</f>
        <v xml:space="preserve">  </v>
      </c>
      <c r="C24" s="107" t="str">
        <f>IF('Levy Page 9'!C88&gt;0,'Levy Page 9'!C88," ")</f>
        <v xml:space="preserve"> </v>
      </c>
      <c r="D24" s="280" t="str">
        <f>IF(('Levy Page 9'!$E$34)&lt;&gt;0,('Levy Page 9'!$E$34),"")</f>
        <v/>
      </c>
      <c r="E24" s="378">
        <f>IF(('Levy Page 9'!$E$41)&lt;&gt;0,('Levy Page 9'!$E$41),0)</f>
        <v>0</v>
      </c>
      <c r="F24" s="542" t="str">
        <f>IF(AND('Levy Page 9'!E41=0,F38&gt;=0)," ",IF(AND(E24&gt;0,F38=0), " ", IF(AND(E24&gt;0,F38&gt;0),ROUND(E24/F38*1000,3))))</f>
        <v xml:space="preserve"> </v>
      </c>
    </row>
    <row r="25" spans="1:6" ht="15" customHeight="1">
      <c r="A25" s="62" t="str">
        <f>IF((inputPrYr!$B23&gt;"  "),(inputPrYr!$B23),"  ")</f>
        <v xml:space="preserve">  </v>
      </c>
      <c r="B25" s="112" t="str">
        <f>IF((inputPrYr!$C23&gt;"  "),(inputPrYr!$C23),"  ")</f>
        <v xml:space="preserve">  </v>
      </c>
      <c r="C25" s="107" t="str">
        <f>IF('Levy Page 9'!C88&gt;0,'Levy Page 9'!C88," ")</f>
        <v xml:space="preserve"> </v>
      </c>
      <c r="D25" s="280" t="str">
        <f>IF(('Levy Page 9'!$E$75)&lt;&gt;0,('Levy Page 9'!$E$75),"")</f>
        <v/>
      </c>
      <c r="E25" s="378">
        <f>IF(('Levy Page 9'!$E$82)&lt;&gt;0,('Levy Page 9'!$E$82),0)</f>
        <v>0</v>
      </c>
      <c r="F25" s="542" t="str">
        <f>IF(AND('Levy Page 9'!E82=0,F38&gt;=0)," ",IF(AND(E25&gt;0,F38=0), " ", IF(AND(E25&gt;0,F38&gt;0),ROUND(E25/F38*1000,3))))</f>
        <v xml:space="preserve"> </v>
      </c>
    </row>
    <row r="26" spans="1:6" ht="15" customHeight="1">
      <c r="A26" s="62" t="str">
        <f>IF((inputPrYr!$B24&gt;"  "),(inputPrYr!$B24),"  ")</f>
        <v xml:space="preserve">  </v>
      </c>
      <c r="B26" s="112" t="str">
        <f>IF((inputPrYr!$C24&gt;"  "),(inputPrYr!$C24),"  ")</f>
        <v xml:space="preserve">  </v>
      </c>
      <c r="C26" s="107" t="str">
        <f>IF('Levy Page 10'!C88&gt;0,'Levy Page 10'!C88," ")</f>
        <v xml:space="preserve"> </v>
      </c>
      <c r="D26" s="280" t="str">
        <f>IF(('Levy Page 10'!$E$34)&lt;&gt;0,('Levy Page 10'!$E$34),"")</f>
        <v/>
      </c>
      <c r="E26" s="378">
        <f>IF(('Levy Page 10'!$E$41)&lt;&gt;0,('Levy Page 10'!$E$41),0)</f>
        <v>0</v>
      </c>
      <c r="F26" s="542" t="str">
        <f>IF(AND('Levy Page 10'!E41=0,F38&gt;=0)," ",IF(AND(E26&gt;0,F38=0), " ", IF(AND(E26&gt;0,F38&gt;0),ROUND(E26/F38*1000,3))))</f>
        <v xml:space="preserve"> </v>
      </c>
    </row>
    <row r="27" spans="1:6" ht="15" customHeight="1">
      <c r="A27" s="62" t="str">
        <f>IF((inputPrYr!$B25&gt;"  "),(inputPrYr!$B25),"  ")</f>
        <v xml:space="preserve">  </v>
      </c>
      <c r="B27" s="112" t="str">
        <f>IF((inputPrYr!$C25&gt;"  "),(inputPrYr!$C25),"  ")</f>
        <v xml:space="preserve">  </v>
      </c>
      <c r="C27" s="107" t="str">
        <f>IF('Levy Page 10'!C88&gt;0,'Levy Page 10'!C88," ")</f>
        <v xml:space="preserve"> </v>
      </c>
      <c r="D27" s="280" t="str">
        <f>IF(('Levy Page 10'!$E$75)&lt;&gt;0,('Levy Page 10'!$E$75),"")</f>
        <v/>
      </c>
      <c r="E27" s="378">
        <f>IF(('Levy Page 10'!$E$82)&lt;&gt;0,('Levy Page 10'!$E$82),0)</f>
        <v>0</v>
      </c>
      <c r="F27" s="542" t="str">
        <f>IF(AND('Levy Page 10'!E82=0,F38&gt;=0)," ",IF(AND(E27&gt;0,F38=0), " ", IF(AND(E27&gt;0,F38&gt;0),ROUND(E27/F38*1000,3))))</f>
        <v xml:space="preserve"> </v>
      </c>
    </row>
    <row r="28" spans="1:6" ht="15" customHeight="1">
      <c r="A28" s="114" t="str">
        <f>IF((inputPrYr!$B29&gt;"  "),(inputPrYr!$B29),"  ")</f>
        <v>Special Highway</v>
      </c>
      <c r="B28" s="67"/>
      <c r="C28" s="109" t="str">
        <f>IF('Spec Hwy'!C67&gt;0,'Spec Hwy'!C67," ")</f>
        <v xml:space="preserve"> </v>
      </c>
      <c r="D28" s="280" t="str">
        <f>IF(('Spec Hwy'!$E$25)&lt;&gt;0,('Spec Hwy'!$E$25),"")</f>
        <v/>
      </c>
      <c r="E28" s="142"/>
      <c r="F28" s="569"/>
    </row>
    <row r="29" spans="1:6" ht="15" customHeight="1">
      <c r="A29" s="114" t="str">
        <f>IF((inputPrYr!$B30&gt;"  "),(inputPrYr!$B30),"  ")</f>
        <v xml:space="preserve">  </v>
      </c>
      <c r="B29" s="67"/>
      <c r="C29" s="109" t="str">
        <f>IF('Spec Hwy'!C67&gt;0,'Spec Hwy'!C67," ")</f>
        <v xml:space="preserve"> </v>
      </c>
      <c r="D29" s="280" t="str">
        <f>IF(('Spec Hwy'!$E$59)&lt;&gt;0,('Spec Hwy'!$E$59),"")</f>
        <v/>
      </c>
      <c r="E29" s="142"/>
      <c r="F29" s="569"/>
    </row>
    <row r="30" spans="1:6" ht="15" customHeight="1">
      <c r="A30" s="115" t="str">
        <f>IF((inputPrYr!$B31&gt;"  "),(inputPrYr!$B31),"  ")</f>
        <v xml:space="preserve">  </v>
      </c>
      <c r="B30" s="67"/>
      <c r="C30" s="109" t="str">
        <f>IF('No Levy Page 12'!C68&gt;0,'No Levy Page 12'!C68," ")</f>
        <v xml:space="preserve"> </v>
      </c>
      <c r="D30" s="280" t="str">
        <f>IF(('No Levy Page 12'!$E$29)&lt;&gt;0,('No Levy Page 12'!$E$29),"")</f>
        <v/>
      </c>
      <c r="E30" s="142"/>
      <c r="F30" s="569"/>
    </row>
    <row r="31" spans="1:6" ht="15" customHeight="1">
      <c r="A31" s="115" t="str">
        <f>IF((inputPrYr!$B32&gt;"  "),(inputPrYr!$B32),"  ")</f>
        <v xml:space="preserve">  </v>
      </c>
      <c r="B31" s="67"/>
      <c r="C31" s="109" t="str">
        <f>IF('No Levy Page 12'!C68&gt;0,'No Levy Page 12'!C68," ")</f>
        <v xml:space="preserve"> </v>
      </c>
      <c r="D31" s="280" t="str">
        <f>IF(('No Levy Page 12'!$E$60)&lt;&gt;0,('No Levy Page 12'!$E$60),"")</f>
        <v/>
      </c>
      <c r="E31" s="142"/>
      <c r="F31" s="569"/>
    </row>
    <row r="32" spans="1:6" ht="15" customHeight="1">
      <c r="A32" s="115" t="str">
        <f>IF((inputPrYr!$B33&gt;"  "),(inputPrYr!$B33),"  ")</f>
        <v xml:space="preserve">  </v>
      </c>
      <c r="B32" s="67"/>
      <c r="C32" s="109" t="str">
        <f>IF('No Levy Page 13'!C68&gt;0,'No Levy Page 13'!C68," ")</f>
        <v xml:space="preserve"> </v>
      </c>
      <c r="D32" s="280" t="str">
        <f>IF(('No Levy Page 13'!$E$29)&lt;&gt;0,('No Levy Page 13'!$E$29),"")</f>
        <v/>
      </c>
      <c r="E32" s="142"/>
      <c r="F32" s="569"/>
    </row>
    <row r="33" spans="1:6" ht="15" customHeight="1">
      <c r="A33" s="116" t="str">
        <f>IF((inputPrYr!$B34&gt;"  "),(inputPrYr!$B34),"  ")</f>
        <v xml:space="preserve">  </v>
      </c>
      <c r="B33" s="67"/>
      <c r="C33" s="109" t="str">
        <f>IF('No Levy Page 13'!C68&gt;0,'No Levy Page 13'!C68," ")</f>
        <v xml:space="preserve"> </v>
      </c>
      <c r="D33" s="280" t="str">
        <f>IF(('No Levy Page 13'!$E$60)&lt;&gt;0,('No Levy Page 13'!$E$60),"")</f>
        <v/>
      </c>
      <c r="E33" s="142"/>
      <c r="F33" s="569"/>
    </row>
    <row r="34" spans="1:6" ht="15" customHeight="1">
      <c r="A34" s="115" t="str">
        <f>IF((inputPrYr!$B36&gt;"  "),(inputPrYr!$B36),"  ")</f>
        <v xml:space="preserve">  </v>
      </c>
      <c r="B34" s="67"/>
      <c r="C34" s="109" t="str">
        <f>IF('Single No Levy Page 14'!C57&gt;0,'Single No Levy Page 14'!C57," ")</f>
        <v xml:space="preserve"> </v>
      </c>
      <c r="D34" s="280" t="str">
        <f>IF(('Single No Levy Page 14'!$E$49)&lt;&gt;0,('Single No Levy Page 14'!$E$49),"")</f>
        <v/>
      </c>
      <c r="E34" s="142"/>
      <c r="F34" s="569"/>
    </row>
    <row r="35" spans="1:6" ht="15" customHeight="1" thickBot="1">
      <c r="A35" s="114" t="str">
        <f>IF((inputPrYr!$B39&gt;"  "),('Non-Budgeted Funds'!$A3),"  ")</f>
        <v xml:space="preserve">  </v>
      </c>
      <c r="B35" s="67"/>
      <c r="C35" s="109" t="str">
        <f>IF('Non-Budgeted Funds'!F37&gt;0,'Non-Budgeted Funds'!F37," ")</f>
        <v xml:space="preserve"> </v>
      </c>
      <c r="D35" s="529"/>
      <c r="E35" s="530"/>
      <c r="F35" s="531"/>
    </row>
    <row r="36" spans="1:6" ht="16.5" customHeight="1">
      <c r="A36" s="190" t="s">
        <v>172</v>
      </c>
      <c r="B36" s="66"/>
      <c r="C36" s="283" t="s">
        <v>173</v>
      </c>
      <c r="D36" s="550">
        <f>SUM(D21:D34)</f>
        <v>0</v>
      </c>
      <c r="E36" s="550">
        <f>SUM(E21:E34)</f>
        <v>0</v>
      </c>
      <c r="F36" s="362" t="str">
        <f>IF(SUM(F21:F27)=0,"",SUM(F21:F27))</f>
        <v/>
      </c>
    </row>
    <row r="37" spans="1:6" ht="15" customHeight="1">
      <c r="A37" s="647" t="s">
        <v>174</v>
      </c>
      <c r="B37" s="648"/>
      <c r="C37" s="107" t="str">
        <f>IF('Budget Hearing Notice'!D52&gt;0, 'Budget Hearing Notice'!D52, " ")</f>
        <v xml:space="preserve"> </v>
      </c>
      <c r="D37" s="118"/>
      <c r="E37" s="36"/>
      <c r="F37" s="282" t="s">
        <v>175</v>
      </c>
    </row>
    <row r="38" spans="1:6" ht="15" customHeight="1">
      <c r="A38" s="649" t="s">
        <v>176</v>
      </c>
      <c r="B38" s="649"/>
      <c r="C38" s="107" t="str">
        <f>IF('Combined Rate-Bud Hearing Notic'!D52&gt;0, 'Combined Rate-Bud Hearing Notic'!D52, " ")</f>
        <v xml:space="preserve"> </v>
      </c>
      <c r="D38" s="118"/>
      <c r="E38" s="36"/>
      <c r="F38" s="657"/>
    </row>
    <row r="39" spans="1:6" ht="15" customHeight="1">
      <c r="A39" s="649" t="s">
        <v>177</v>
      </c>
      <c r="B39" s="649"/>
      <c r="C39" s="107" t="str">
        <f>IF('RNR Hearing Notice'!E17&gt;0, 'RNR Hearing Notice'!E17, " ")</f>
        <v xml:space="preserve"> </v>
      </c>
      <c r="D39" s="118"/>
      <c r="E39" s="36"/>
      <c r="F39" s="658"/>
    </row>
    <row r="40" spans="1:6" ht="15" customHeight="1">
      <c r="A40" s="650" t="s">
        <v>178</v>
      </c>
      <c r="B40" s="651"/>
      <c r="C40" s="107" t="str">
        <f>IF('NR Rebate'!C32&gt;0,'NR Rebate'!C32,"")</f>
        <v/>
      </c>
      <c r="D40" s="567"/>
      <c r="E40" s="36"/>
      <c r="F40" s="655" t="str">
        <f>CONCATENATE("Nov 1, ",F1-1," Total Assessed Valuation")</f>
        <v>Nov 1, 2024 Total Assessed Valuation</v>
      </c>
    </row>
    <row r="41" spans="1:6" ht="15" customHeight="1">
      <c r="A41" s="39"/>
      <c r="B41" s="36"/>
      <c r="C41" s="556"/>
      <c r="D41" s="122"/>
      <c r="E41" s="478"/>
      <c r="F41" s="656"/>
    </row>
    <row r="42" spans="1:6" ht="15" customHeight="1">
      <c r="A42" s="38"/>
      <c r="B42" s="559"/>
      <c r="C42" s="559"/>
      <c r="D42" s="307"/>
      <c r="E42" s="308"/>
      <c r="F42" s="36"/>
    </row>
    <row r="43" spans="1:6" ht="15" customHeight="1">
      <c r="A43" s="38"/>
      <c r="B43" s="559"/>
      <c r="C43" s="559"/>
      <c r="D43" s="641" t="s">
        <v>179</v>
      </c>
      <c r="E43" s="642"/>
      <c r="F43" s="438">
        <f>inputOth!C20</f>
        <v>0</v>
      </c>
    </row>
    <row r="44" spans="1:6" ht="15" customHeight="1">
      <c r="A44" s="639" t="s">
        <v>180</v>
      </c>
      <c r="B44" s="640"/>
      <c r="C44" s="640"/>
      <c r="D44" s="640"/>
      <c r="E44" s="640"/>
      <c r="F44" s="438" t="str">
        <f>IF(E36&gt;inputPrYr!E26, "YES", "NO")</f>
        <v>NO</v>
      </c>
    </row>
    <row r="45" spans="1:6" ht="15" customHeight="1">
      <c r="A45" s="305"/>
      <c r="B45" s="304"/>
      <c r="C45" s="306"/>
      <c r="D45" s="36"/>
      <c r="E45" s="36"/>
      <c r="F45" s="318"/>
    </row>
    <row r="46" spans="1:6" ht="15" customHeight="1">
      <c r="A46" s="39" t="s">
        <v>181</v>
      </c>
      <c r="B46" s="36"/>
      <c r="C46" s="75"/>
      <c r="D46" s="304"/>
      <c r="E46" s="304"/>
      <c r="F46" s="36"/>
    </row>
    <row r="47" spans="1:6" ht="15" customHeight="1">
      <c r="A47" s="250"/>
      <c r="B47" s="36"/>
      <c r="C47" s="36"/>
      <c r="D47" s="36"/>
      <c r="E47" s="318"/>
      <c r="F47" s="36"/>
    </row>
    <row r="48" spans="1:6" ht="15" customHeight="1">
      <c r="A48" s="119"/>
      <c r="B48" s="36"/>
      <c r="C48" s="318" t="s">
        <v>182</v>
      </c>
      <c r="D48" s="36"/>
      <c r="E48" s="36"/>
      <c r="F48" s="36"/>
    </row>
    <row r="49" spans="1:6" ht="15" customHeight="1">
      <c r="A49" s="36" t="s">
        <v>183</v>
      </c>
      <c r="B49" s="36"/>
      <c r="C49" s="36"/>
      <c r="D49" s="36"/>
      <c r="E49" s="36"/>
      <c r="F49" s="68"/>
    </row>
    <row r="50" spans="1:6" ht="15" customHeight="1">
      <c r="A50" s="250"/>
      <c r="B50" s="177"/>
      <c r="C50" s="318" t="s">
        <v>182</v>
      </c>
      <c r="D50" s="36"/>
      <c r="E50" s="36"/>
      <c r="F50" s="68"/>
    </row>
    <row r="51" spans="1:6" ht="15" customHeight="1">
      <c r="A51" s="119"/>
      <c r="B51" s="36"/>
      <c r="C51" s="39"/>
      <c r="D51" s="36"/>
      <c r="E51" s="68"/>
      <c r="F51" s="68"/>
    </row>
    <row r="52" spans="1:6" ht="15" customHeight="1">
      <c r="A52" s="36" t="s">
        <v>184</v>
      </c>
      <c r="B52" s="36"/>
      <c r="C52" s="318" t="s">
        <v>182</v>
      </c>
      <c r="D52" s="36"/>
      <c r="E52" s="68"/>
      <c r="F52" s="68"/>
    </row>
    <row r="53" spans="1:6" ht="15" customHeight="1">
      <c r="A53" s="250"/>
      <c r="B53" s="39"/>
      <c r="C53" s="36"/>
      <c r="D53" s="36"/>
      <c r="E53" s="68"/>
      <c r="F53" s="68"/>
    </row>
    <row r="54" spans="1:6" ht="15" customHeight="1">
      <c r="A54" s="177"/>
      <c r="B54" s="36"/>
      <c r="C54" s="318" t="s">
        <v>182</v>
      </c>
      <c r="D54" s="36"/>
      <c r="E54" s="68"/>
      <c r="F54" s="380"/>
    </row>
    <row r="55" spans="1:6" ht="15" customHeight="1">
      <c r="A55" s="36"/>
      <c r="B55" s="36"/>
      <c r="C55" s="36"/>
      <c r="D55" s="36"/>
      <c r="E55" s="68"/>
      <c r="F55" s="68"/>
    </row>
    <row r="56" spans="1:6" ht="15" customHeight="1">
      <c r="A56" s="40" t="s">
        <v>185</v>
      </c>
      <c r="B56" s="120">
        <f>inputPrYr!$C$6-1</f>
        <v>2024</v>
      </c>
      <c r="C56" s="318" t="s">
        <v>182</v>
      </c>
      <c r="D56" s="68"/>
      <c r="E56" s="379"/>
      <c r="F56" s="121"/>
    </row>
    <row r="57" spans="1:6" ht="15" customHeight="1">
      <c r="A57" s="36"/>
      <c r="B57" s="36"/>
      <c r="C57" s="68"/>
      <c r="D57" s="36"/>
      <c r="E57" s="68"/>
      <c r="F57" s="36"/>
    </row>
    <row r="58" spans="1:6" ht="15" customHeight="1">
      <c r="A58" s="366"/>
      <c r="B58" s="36"/>
      <c r="C58" s="318" t="s">
        <v>182</v>
      </c>
      <c r="D58" s="121"/>
      <c r="E58" s="121"/>
      <c r="F58" s="36"/>
    </row>
    <row r="59" spans="1:6" ht="15" customHeight="1">
      <c r="A59" s="556" t="s">
        <v>186</v>
      </c>
      <c r="B59" s="36"/>
      <c r="C59" s="121" t="s">
        <v>187</v>
      </c>
      <c r="D59" s="36"/>
      <c r="E59" s="36"/>
      <c r="F59" s="36"/>
    </row>
    <row r="60" spans="1:6" ht="15" customHeight="1">
      <c r="A60" s="36"/>
      <c r="B60" s="36"/>
      <c r="C60" s="36"/>
      <c r="D60" s="36"/>
      <c r="E60" s="36"/>
      <c r="F60" s="36"/>
    </row>
    <row r="61" spans="1:6" ht="15" customHeight="1">
      <c r="A61" s="36"/>
      <c r="B61" s="36"/>
      <c r="C61" s="36"/>
      <c r="D61" s="36"/>
      <c r="E61" s="36"/>
      <c r="F61" s="36"/>
    </row>
    <row r="62" spans="1:6" ht="15" customHeight="1">
      <c r="A62" s="36"/>
      <c r="B62" s="36"/>
      <c r="C62" s="36"/>
      <c r="D62" s="36"/>
      <c r="E62" s="36"/>
      <c r="F62" s="36"/>
    </row>
    <row r="63" spans="1:6" ht="15" hidden="1" customHeight="1">
      <c r="A63" s="36"/>
      <c r="B63" s="36"/>
      <c r="C63" s="36"/>
      <c r="D63" s="36"/>
      <c r="E63" s="36"/>
      <c r="F63" s="36"/>
    </row>
    <row r="64" spans="1:6" ht="15" customHeight="1">
      <c r="A64" s="36"/>
      <c r="B64" s="36"/>
      <c r="C64" s="36"/>
      <c r="D64" s="36"/>
      <c r="E64" s="36"/>
      <c r="F64" s="36"/>
    </row>
    <row r="65" spans="1:4" ht="15" customHeight="1">
      <c r="A65" s="31"/>
      <c r="B65" s="31"/>
      <c r="C65" s="31"/>
      <c r="D65" s="285"/>
    </row>
  </sheetData>
  <sheetProtection sheet="1" objects="1" scenarios="1"/>
  <mergeCells count="12">
    <mergeCell ref="A44:E44"/>
    <mergeCell ref="D43:E43"/>
    <mergeCell ref="A3:F3"/>
    <mergeCell ref="E12:E14"/>
    <mergeCell ref="A37:B37"/>
    <mergeCell ref="A39:B39"/>
    <mergeCell ref="A40:B40"/>
    <mergeCell ref="A38:B38"/>
    <mergeCell ref="F12:F14"/>
    <mergeCell ref="A5:F5"/>
    <mergeCell ref="F40:F41"/>
    <mergeCell ref="F38:F39"/>
  </mergeCells>
  <phoneticPr fontId="0" type="noConversion"/>
  <conditionalFormatting sqref="F44">
    <cfRule type="containsText" dxfId="143" priority="1" operator="containsText" text="YES">
      <formula>NOT(ISERROR(SEARCH("YES",F44)))</formula>
    </cfRule>
  </conditionalFormatting>
  <pageMargins left="1" right="0.5" top="1" bottom="0.5" header="0.5" footer="0.5"/>
  <pageSetup scale="76" orientation="portrait" blackAndWhite="1"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V51"/>
  <sheetViews>
    <sheetView workbookViewId="0"/>
  </sheetViews>
  <sheetFormatPr defaultColWidth="8.88671875" defaultRowHeight="15" customHeight="1"/>
  <cols>
    <col min="1" max="1" width="10.77734375" style="37" customWidth="1"/>
    <col min="2" max="3" width="17.44140625" style="37" customWidth="1"/>
    <col min="4" max="4" width="10.77734375" style="37" customWidth="1"/>
    <col min="5" max="5" width="11" style="37" customWidth="1"/>
    <col min="6" max="9" width="10.77734375" style="37" customWidth="1"/>
    <col min="10" max="16384" width="8.88671875" style="37"/>
  </cols>
  <sheetData>
    <row r="1" spans="1:22" ht="15" customHeight="1">
      <c r="A1" s="36"/>
      <c r="B1" s="36"/>
      <c r="C1" s="36"/>
      <c r="D1" s="36"/>
      <c r="E1" s="36"/>
      <c r="F1" s="36"/>
      <c r="G1" s="36"/>
      <c r="H1" s="36"/>
      <c r="I1" s="36"/>
    </row>
    <row r="2" spans="1:22" ht="15" customHeight="1">
      <c r="A2" s="36"/>
      <c r="B2" s="75">
        <f>inputPrYr!D3</f>
        <v>0</v>
      </c>
      <c r="C2" s="36"/>
      <c r="D2" s="36"/>
      <c r="E2" s="36"/>
      <c r="F2" s="555"/>
      <c r="G2" s="555"/>
      <c r="H2" s="555"/>
      <c r="I2" s="91"/>
    </row>
    <row r="3" spans="1:22" ht="15" customHeight="1">
      <c r="A3" s="36"/>
      <c r="B3" s="36"/>
      <c r="C3" s="36"/>
      <c r="D3" s="36"/>
      <c r="E3" s="36"/>
      <c r="F3" s="36"/>
      <c r="G3" s="36"/>
      <c r="H3" s="36"/>
      <c r="I3" s="91">
        <f>inputPrYr!$C$6</f>
        <v>2025</v>
      </c>
    </row>
    <row r="4" spans="1:22" ht="20.25" customHeight="1">
      <c r="A4" s="662" t="s">
        <v>188</v>
      </c>
      <c r="B4" s="662"/>
      <c r="C4" s="662"/>
      <c r="D4" s="662"/>
      <c r="E4" s="662"/>
      <c r="F4" s="662"/>
      <c r="G4" s="662"/>
      <c r="H4" s="662"/>
      <c r="I4" s="662"/>
      <c r="N4" s="663"/>
      <c r="O4" s="663"/>
      <c r="P4" s="663"/>
      <c r="Q4" s="663"/>
      <c r="R4" s="663"/>
      <c r="S4" s="663"/>
      <c r="T4" s="663"/>
      <c r="U4" s="663"/>
      <c r="V4" s="663"/>
    </row>
    <row r="5" spans="1:22" ht="15" customHeight="1">
      <c r="A5" s="36"/>
      <c r="B5" s="43"/>
      <c r="C5" s="42"/>
      <c r="D5" s="42"/>
      <c r="E5" s="42"/>
      <c r="F5" s="36"/>
      <c r="G5" s="36"/>
      <c r="H5" s="36"/>
      <c r="I5" s="36"/>
    </row>
    <row r="6" spans="1:22" ht="15" customHeight="1">
      <c r="A6" s="36"/>
      <c r="B6" s="36"/>
      <c r="C6" s="36"/>
      <c r="D6" s="36"/>
      <c r="E6" s="36"/>
      <c r="F6" s="36"/>
      <c r="G6" s="36"/>
      <c r="H6" s="36"/>
      <c r="I6" s="36"/>
    </row>
    <row r="7" spans="1:22" ht="15.95" customHeight="1">
      <c r="A7" s="36"/>
      <c r="B7" s="125" t="s">
        <v>189</v>
      </c>
      <c r="C7" s="434" t="s">
        <v>190</v>
      </c>
      <c r="D7" s="659" t="str">
        <f>CONCATENATE("Allocation for Proposed Year ",I3,"")</f>
        <v>Allocation for Proposed Year 2025</v>
      </c>
      <c r="E7" s="660"/>
      <c r="F7" s="660"/>
      <c r="G7" s="660"/>
      <c r="H7" s="661"/>
      <c r="I7" s="36"/>
    </row>
    <row r="8" spans="1:22" ht="23.25" customHeight="1">
      <c r="A8" s="36"/>
      <c r="B8" s="126" t="str">
        <f>CONCATENATE("for ",I3-1,"")</f>
        <v>for 2024</v>
      </c>
      <c r="C8" s="126" t="str">
        <f>CONCATENATE("Tax Year ",I3-2,"")</f>
        <v>Tax Year 2023</v>
      </c>
      <c r="D8" s="106" t="s">
        <v>191</v>
      </c>
      <c r="E8" s="106" t="s">
        <v>192</v>
      </c>
      <c r="F8" s="106" t="s">
        <v>193</v>
      </c>
      <c r="G8" s="106" t="s">
        <v>194</v>
      </c>
      <c r="H8" s="106" t="s">
        <v>195</v>
      </c>
      <c r="I8" s="567"/>
    </row>
    <row r="9" spans="1:22" ht="15" customHeight="1">
      <c r="A9" s="36"/>
      <c r="B9" s="557" t="s">
        <v>90</v>
      </c>
      <c r="C9" s="127" t="str">
        <f>IF((inputPrYr!E18)&gt;0,(inputPrYr!E18),"  ")</f>
        <v xml:space="preserve">  </v>
      </c>
      <c r="D9" s="127">
        <f>IF(inputPrYr!E18&gt;0,D18-SUM(D10:D15),0)</f>
        <v>0</v>
      </c>
      <c r="E9" s="127">
        <f>IF(inputPrYr!E18=0,0,E20-SUM(E10:E15))</f>
        <v>0</v>
      </c>
      <c r="F9" s="127">
        <f>IF(inputPrYr!E18=0,0,F22-SUM(F10:F15))</f>
        <v>0</v>
      </c>
      <c r="G9" s="127">
        <f>IF(inputPrYr!E18=0,0,G24-SUM(G10:G15))</f>
        <v>0</v>
      </c>
      <c r="H9" s="127">
        <f>IF(inputPrYr!E18=0,0,H26-SUM(H10:H15))</f>
        <v>0</v>
      </c>
      <c r="I9" s="376"/>
    </row>
    <row r="10" spans="1:22" ht="15" customHeight="1">
      <c r="A10" s="36"/>
      <c r="B10" s="557" t="str">
        <f>IF(inputPrYr!B19&gt;" ",inputPrYr!B19," ")</f>
        <v>Debt Service</v>
      </c>
      <c r="C10" s="127" t="str">
        <f>IF((inputPrYr!E19)&gt;0,(inputPrYr!E19),"  ")</f>
        <v xml:space="preserve">  </v>
      </c>
      <c r="D10" s="127" t="str">
        <f>IF(inputPrYr!$E19&gt;0,ROUND(C10*D$30,0),"  ")</f>
        <v xml:space="preserve">  </v>
      </c>
      <c r="E10" s="127" t="str">
        <f>IF(inputPrYr!$E19&gt;0,ROUND(+C10*E$32,0),"  ")</f>
        <v xml:space="preserve">  </v>
      </c>
      <c r="F10" s="127" t="str">
        <f>IF(inputPrYr!E19&gt;0,ROUND(C10*F$34,0),"  ")</f>
        <v xml:space="preserve">  </v>
      </c>
      <c r="G10" s="127" t="str">
        <f>IF(inputPrYr!E19&gt;0,ROUND(C10*G$36,0),"  ")</f>
        <v xml:space="preserve">  </v>
      </c>
      <c r="H10" s="127" t="str">
        <f>IF(inputPrYr!E19&gt;0,ROUND(C10*H$38,0),"  ")</f>
        <v xml:space="preserve">  </v>
      </c>
      <c r="I10" s="376"/>
    </row>
    <row r="11" spans="1:22" ht="15" customHeight="1">
      <c r="A11" s="36"/>
      <c r="B11" s="62" t="str">
        <f>IF((inputPrYr!$B20&gt;"  "),(inputPrYr!$B20),"  ")</f>
        <v>Library</v>
      </c>
      <c r="C11" s="127" t="str">
        <f>IF((inputPrYr!E20)&gt;0,(inputPrYr!E20),"  ")</f>
        <v xml:space="preserve">  </v>
      </c>
      <c r="D11" s="127" t="str">
        <f>IF(inputPrYr!$E20&gt;0,ROUND(C11*D$30,0),"  ")</f>
        <v xml:space="preserve">  </v>
      </c>
      <c r="E11" s="127" t="str">
        <f>IF(inputPrYr!$E20&gt;0,ROUND(+C11*E$32,0),"  ")</f>
        <v xml:space="preserve">  </v>
      </c>
      <c r="F11" s="127" t="str">
        <f>IF(inputPrYr!E20&gt;0,ROUND(C11*F$34,0),"  ")</f>
        <v xml:space="preserve">  </v>
      </c>
      <c r="G11" s="127" t="str">
        <f>IF(inputPrYr!E20&gt;0,ROUND(C11*G$36,0),"  ")</f>
        <v xml:space="preserve">  </v>
      </c>
      <c r="H11" s="127" t="str">
        <f>IF(inputPrYr!E20&gt;0,ROUND(C11*H$38,0),"  ")</f>
        <v xml:space="preserve">  </v>
      </c>
      <c r="I11" s="376"/>
    </row>
    <row r="12" spans="1:22" ht="15" customHeight="1">
      <c r="A12" s="36"/>
      <c r="B12" s="62" t="str">
        <f>IF((inputPrYr!$B22&gt;"  "),(inputPrYr!$B22),"  ")</f>
        <v xml:space="preserve">  </v>
      </c>
      <c r="C12" s="127" t="str">
        <f>IF((inputPrYr!E22)&gt;0,(inputPrYr!E22),"  ")</f>
        <v xml:space="preserve">  </v>
      </c>
      <c r="D12" s="127" t="str">
        <f>IF(inputPrYr!$E22&gt;0,ROUND(C12*D$30,0),"  ")</f>
        <v xml:space="preserve">  </v>
      </c>
      <c r="E12" s="127" t="str">
        <f>IF(inputPrYr!$E22&gt;0,ROUND(+C12*E$32,0),"  ")</f>
        <v xml:space="preserve">  </v>
      </c>
      <c r="F12" s="127" t="str">
        <f>IF(inputPrYr!E22&gt;0,ROUND(C12*F$34,0),"  ")</f>
        <v xml:space="preserve">  </v>
      </c>
      <c r="G12" s="127" t="str">
        <f>IF(inputPrYr!E22&gt;0,ROUND(C12*G$36,0),"  ")</f>
        <v xml:space="preserve">  </v>
      </c>
      <c r="H12" s="127" t="str">
        <f>IF(inputPrYr!E22&gt;0,ROUND(C12*H$38,0),"  ")</f>
        <v xml:space="preserve">  </v>
      </c>
      <c r="I12" s="376"/>
    </row>
    <row r="13" spans="1:22" ht="15" customHeight="1">
      <c r="A13" s="36"/>
      <c r="B13" s="62" t="str">
        <f>IF((inputPrYr!$B23&gt;"  "),(inputPrYr!$B23),"  ")</f>
        <v xml:space="preserve">  </v>
      </c>
      <c r="C13" s="127" t="str">
        <f>IF((inputPrYr!E23)&gt;0,(inputPrYr!E23),"  ")</f>
        <v xml:space="preserve">  </v>
      </c>
      <c r="D13" s="127" t="str">
        <f>IF(inputPrYr!$E23&gt;0,ROUND(C13*D$30,0),"  ")</f>
        <v xml:space="preserve">  </v>
      </c>
      <c r="E13" s="127" t="str">
        <f>IF(inputPrYr!$E23&gt;0,ROUND(+C13*E$32,0),"  ")</f>
        <v xml:space="preserve">  </v>
      </c>
      <c r="F13" s="127" t="str">
        <f>IF(inputPrYr!E23&gt;0,ROUND(C13*F$34,0),"  ")</f>
        <v xml:space="preserve">  </v>
      </c>
      <c r="G13" s="127" t="str">
        <f>IF(inputPrYr!E23&gt;0,ROUND(C13*G$36,0),"  ")</f>
        <v xml:space="preserve">  </v>
      </c>
      <c r="H13" s="127" t="str">
        <f>IF(inputPrYr!E23&gt;0,ROUND(C13*H$3385,0),"  ")</f>
        <v xml:space="preserve">  </v>
      </c>
      <c r="I13" s="376"/>
    </row>
    <row r="14" spans="1:22" ht="15" customHeight="1">
      <c r="A14" s="36"/>
      <c r="B14" s="62" t="str">
        <f>IF((inputPrYr!$B24&gt;"  "),(inputPrYr!$B24),"  ")</f>
        <v xml:space="preserve">  </v>
      </c>
      <c r="C14" s="127" t="str">
        <f>IF((inputPrYr!E24)&gt;0,(inputPrYr!E24),"  ")</f>
        <v xml:space="preserve">  </v>
      </c>
      <c r="D14" s="127" t="str">
        <f>IF(inputPrYr!$E24&gt;0,ROUND(C14*D$30,0),"  ")</f>
        <v xml:space="preserve">  </v>
      </c>
      <c r="E14" s="127" t="str">
        <f>IF(inputPrYr!$E24&gt;0,ROUND(+C14*E$32,0),"  ")</f>
        <v xml:space="preserve">  </v>
      </c>
      <c r="F14" s="127" t="str">
        <f>IF(inputPrYr!E24&gt;0,ROUND(C14*F$34,0),"  ")</f>
        <v xml:space="preserve">  </v>
      </c>
      <c r="G14" s="127" t="str">
        <f>IF(inputPrYr!E24&gt;0,ROUND(C14*G$36,0),"  ")</f>
        <v xml:space="preserve">  </v>
      </c>
      <c r="H14" s="127" t="str">
        <f>IF(inputPrYr!E24&gt;0,ROUND(C14*H$38,0),"  ")</f>
        <v xml:space="preserve">  </v>
      </c>
      <c r="I14" s="376"/>
    </row>
    <row r="15" spans="1:22" ht="15" customHeight="1">
      <c r="A15" s="36"/>
      <c r="B15" s="62" t="str">
        <f>IF((inputPrYr!$B25&gt;"  "),(inputPrYr!$B25),"  ")</f>
        <v xml:space="preserve">  </v>
      </c>
      <c r="C15" s="127" t="str">
        <f>IF((inputPrYr!E25)&gt;0,(inputPrYr!E25),"  ")</f>
        <v xml:space="preserve">  </v>
      </c>
      <c r="D15" s="127" t="str">
        <f>IF(inputPrYr!$E25&gt;0,ROUND(C15*D$30,0),"  ")</f>
        <v xml:space="preserve">  </v>
      </c>
      <c r="E15" s="127" t="str">
        <f>IF(inputPrYr!$E25&gt;0,ROUND(+C15*E$32,0),"  ")</f>
        <v xml:space="preserve">  </v>
      </c>
      <c r="F15" s="127" t="str">
        <f>IF(inputPrYr!E25&gt;0,ROUND(C15*F$34,0),"  ")</f>
        <v xml:space="preserve">  </v>
      </c>
      <c r="G15" s="127" t="str">
        <f>IF(inputPrYr!E25&gt;0,ROUND(C15*G$36,0),"  ")</f>
        <v xml:space="preserve">  </v>
      </c>
      <c r="H15" s="127" t="str">
        <f>IF(inputPrYr!E25&gt;0,ROUND(C15*H$38,0),"  ")</f>
        <v xml:space="preserve">  </v>
      </c>
      <c r="I15" s="376"/>
    </row>
    <row r="16" spans="1:22" ht="16.5" customHeight="1" thickBot="1">
      <c r="A16" s="36"/>
      <c r="B16" s="46" t="s">
        <v>196</v>
      </c>
      <c r="C16" s="128">
        <f t="shared" ref="C16:H16" si="0">SUM(C9:C15)</f>
        <v>0</v>
      </c>
      <c r="D16" s="128">
        <f t="shared" si="0"/>
        <v>0</v>
      </c>
      <c r="E16" s="128">
        <f t="shared" si="0"/>
        <v>0</v>
      </c>
      <c r="F16" s="128">
        <f t="shared" si="0"/>
        <v>0</v>
      </c>
      <c r="G16" s="128">
        <f t="shared" si="0"/>
        <v>0</v>
      </c>
      <c r="H16" s="128">
        <f t="shared" si="0"/>
        <v>0</v>
      </c>
      <c r="I16" s="376"/>
    </row>
    <row r="17" spans="1:9" ht="15" customHeight="1" thickTop="1">
      <c r="A17" s="36"/>
      <c r="B17" s="36"/>
      <c r="C17" s="36"/>
      <c r="D17" s="36"/>
      <c r="E17" s="36"/>
      <c r="F17" s="36"/>
      <c r="G17" s="36"/>
      <c r="H17" s="36"/>
      <c r="I17" s="36"/>
    </row>
    <row r="18" spans="1:9" ht="15" customHeight="1">
      <c r="A18" s="36"/>
      <c r="B18" s="39" t="s">
        <v>197</v>
      </c>
      <c r="C18" s="129"/>
      <c r="D18" s="123">
        <f>(inputOth!E37)</f>
        <v>0</v>
      </c>
      <c r="E18" s="129"/>
      <c r="F18" s="36"/>
      <c r="G18" s="36"/>
      <c r="H18" s="36"/>
      <c r="I18" s="36"/>
    </row>
    <row r="19" spans="1:9" ht="15" customHeight="1">
      <c r="A19" s="36"/>
      <c r="B19" s="36"/>
      <c r="C19" s="36"/>
      <c r="D19" s="36"/>
      <c r="E19" s="36"/>
      <c r="F19" s="36"/>
      <c r="G19" s="36"/>
      <c r="H19" s="36"/>
      <c r="I19" s="36"/>
    </row>
    <row r="20" spans="1:9" ht="15" customHeight="1">
      <c r="A20" s="36"/>
      <c r="B20" s="39" t="s">
        <v>198</v>
      </c>
      <c r="C20" s="36"/>
      <c r="D20" s="36"/>
      <c r="E20" s="123">
        <f>(inputOth!E38)</f>
        <v>0</v>
      </c>
      <c r="F20" s="36"/>
      <c r="G20" s="36"/>
      <c r="H20" s="36"/>
      <c r="I20" s="36"/>
    </row>
    <row r="21" spans="1:9" ht="15" customHeight="1">
      <c r="A21" s="36"/>
      <c r="B21" s="36"/>
      <c r="C21" s="36"/>
      <c r="D21" s="36"/>
      <c r="E21" s="36"/>
      <c r="F21" s="36"/>
      <c r="G21" s="36"/>
      <c r="H21" s="36"/>
      <c r="I21" s="36"/>
    </row>
    <row r="22" spans="1:9" ht="15.6" customHeight="1">
      <c r="A22" s="36"/>
      <c r="B22" s="39" t="s">
        <v>199</v>
      </c>
      <c r="C22" s="36"/>
      <c r="D22" s="36"/>
      <c r="E22" s="36"/>
      <c r="F22" s="123">
        <f>inputOth!E39</f>
        <v>0</v>
      </c>
      <c r="G22" s="48"/>
      <c r="H22" s="48"/>
      <c r="I22" s="36"/>
    </row>
    <row r="23" spans="1:9" ht="15" customHeight="1">
      <c r="A23" s="36"/>
      <c r="B23" s="36"/>
      <c r="C23" s="36"/>
      <c r="D23" s="36"/>
      <c r="E23" s="36"/>
      <c r="F23" s="36"/>
      <c r="G23" s="36"/>
      <c r="H23" s="36"/>
      <c r="I23" s="36"/>
    </row>
    <row r="24" spans="1:9" ht="15" customHeight="1">
      <c r="A24" s="36"/>
      <c r="B24" s="36" t="s">
        <v>200</v>
      </c>
      <c r="C24" s="36"/>
      <c r="D24" s="36"/>
      <c r="E24" s="36"/>
      <c r="F24" s="36"/>
      <c r="G24" s="123">
        <f>inputOth!E40</f>
        <v>0</v>
      </c>
      <c r="H24" s="48"/>
      <c r="I24" s="48"/>
    </row>
    <row r="25" spans="1:9" ht="15" customHeight="1">
      <c r="A25" s="36"/>
      <c r="B25" s="36"/>
      <c r="C25" s="36"/>
      <c r="D25" s="36"/>
      <c r="E25" s="36"/>
      <c r="F25" s="36"/>
      <c r="G25" s="36"/>
      <c r="H25" s="36"/>
      <c r="I25" s="48"/>
    </row>
    <row r="26" spans="1:9" ht="15" customHeight="1">
      <c r="A26" s="36"/>
      <c r="B26" s="36" t="s">
        <v>201</v>
      </c>
      <c r="C26" s="36"/>
      <c r="D26" s="36"/>
      <c r="E26" s="36"/>
      <c r="F26" s="36"/>
      <c r="G26" s="36"/>
      <c r="H26" s="123">
        <f>inputOth!E41</f>
        <v>0</v>
      </c>
      <c r="I26" s="48"/>
    </row>
    <row r="27" spans="1:9" ht="15" customHeight="1">
      <c r="A27" s="36"/>
      <c r="B27" s="36"/>
      <c r="C27" s="36"/>
      <c r="D27" s="36"/>
      <c r="E27" s="36"/>
      <c r="F27" s="36"/>
      <c r="G27" s="36"/>
      <c r="H27" s="36"/>
      <c r="I27" s="48"/>
    </row>
    <row r="28" spans="1:9" ht="15" customHeight="1">
      <c r="A28" s="36"/>
      <c r="B28" s="36"/>
      <c r="C28" s="36"/>
      <c r="D28" s="36"/>
      <c r="E28" s="36"/>
      <c r="F28" s="36"/>
      <c r="G28" s="36"/>
      <c r="H28" s="36"/>
      <c r="I28" s="48"/>
    </row>
    <row r="29" spans="1:9" ht="15" customHeight="1">
      <c r="A29" s="36"/>
      <c r="B29" s="36"/>
      <c r="C29" s="36"/>
      <c r="D29" s="36"/>
      <c r="E29" s="36"/>
      <c r="F29" s="36"/>
      <c r="G29" s="36"/>
      <c r="H29" s="36"/>
      <c r="I29" s="36"/>
    </row>
    <row r="30" spans="1:9" ht="15" customHeight="1">
      <c r="A30" s="36"/>
      <c r="B30" s="39" t="s">
        <v>202</v>
      </c>
      <c r="C30" s="36"/>
      <c r="D30" s="124">
        <f>IF(C16=0,0,D18/C16)</f>
        <v>0</v>
      </c>
      <c r="E30" s="36"/>
      <c r="F30" s="36"/>
      <c r="G30" s="36"/>
      <c r="H30" s="36"/>
      <c r="I30" s="36"/>
    </row>
    <row r="31" spans="1:9" ht="15" customHeight="1">
      <c r="A31" s="36"/>
      <c r="B31" s="36"/>
      <c r="C31" s="36"/>
      <c r="D31" s="36"/>
      <c r="E31" s="36"/>
      <c r="F31" s="36"/>
      <c r="G31" s="36"/>
      <c r="H31" s="36"/>
      <c r="I31" s="36"/>
    </row>
    <row r="32" spans="1:9" ht="15" customHeight="1">
      <c r="A32" s="36"/>
      <c r="B32" s="39"/>
      <c r="C32" s="39" t="s">
        <v>203</v>
      </c>
      <c r="D32" s="36"/>
      <c r="E32" s="124">
        <f>IF(C16=0,0,E20/C16)</f>
        <v>0</v>
      </c>
      <c r="F32" s="36"/>
      <c r="G32" s="36"/>
      <c r="H32" s="36"/>
      <c r="I32" s="36"/>
    </row>
    <row r="33" spans="1:9" ht="15" customHeight="1">
      <c r="A33" s="36"/>
      <c r="B33" s="36"/>
      <c r="C33" s="36"/>
      <c r="D33" s="36"/>
      <c r="E33" s="36"/>
      <c r="F33" s="36"/>
      <c r="G33" s="36"/>
      <c r="H33" s="36"/>
      <c r="I33" s="36"/>
    </row>
    <row r="34" spans="1:9" ht="15" customHeight="1">
      <c r="A34" s="36"/>
      <c r="B34" s="36"/>
      <c r="C34" s="36"/>
      <c r="D34" s="36" t="s">
        <v>204</v>
      </c>
      <c r="E34" s="36"/>
      <c r="F34" s="124">
        <f>IF(C16=0,0,F22/C16)</f>
        <v>0</v>
      </c>
      <c r="G34" s="476"/>
      <c r="H34" s="476"/>
      <c r="I34" s="36"/>
    </row>
    <row r="35" spans="1:9" ht="15" customHeight="1">
      <c r="A35" s="36"/>
      <c r="B35" s="68"/>
      <c r="C35" s="68"/>
      <c r="D35" s="68"/>
      <c r="E35" s="68"/>
      <c r="F35" s="68"/>
      <c r="G35" s="68"/>
      <c r="H35" s="68"/>
      <c r="I35" s="68"/>
    </row>
    <row r="36" spans="1:9" ht="15" customHeight="1">
      <c r="A36" s="36"/>
      <c r="B36" s="68"/>
      <c r="C36" s="68"/>
      <c r="D36" s="68"/>
      <c r="E36" s="68" t="s">
        <v>205</v>
      </c>
      <c r="F36" s="68"/>
      <c r="G36" s="124">
        <f>IF(C16=0,0,G24/C16)</f>
        <v>0</v>
      </c>
      <c r="H36" s="68"/>
      <c r="I36" s="68"/>
    </row>
    <row r="37" spans="1:9" ht="15" customHeight="1">
      <c r="A37" s="36"/>
      <c r="B37" s="68"/>
      <c r="C37" s="68"/>
      <c r="D37" s="68"/>
      <c r="E37" s="68"/>
      <c r="F37" s="68"/>
      <c r="G37" s="68"/>
      <c r="H37" s="68"/>
      <c r="I37" s="68"/>
    </row>
    <row r="38" spans="1:9" ht="15" customHeight="1">
      <c r="A38" s="36"/>
      <c r="B38" s="68"/>
      <c r="C38" s="68"/>
      <c r="D38" s="68"/>
      <c r="E38" s="68"/>
      <c r="F38" s="68" t="s">
        <v>206</v>
      </c>
      <c r="G38" s="68"/>
      <c r="H38" s="124">
        <f>IF(C16=0,0,H26/C16)</f>
        <v>0</v>
      </c>
      <c r="I38" s="68"/>
    </row>
    <row r="39" spans="1:9" ht="15" customHeight="1">
      <c r="A39" s="36"/>
      <c r="B39" s="68"/>
      <c r="C39" s="68"/>
      <c r="D39" s="68"/>
      <c r="E39" s="68"/>
      <c r="F39" s="68"/>
      <c r="G39" s="68"/>
      <c r="H39" s="476"/>
      <c r="I39" s="68"/>
    </row>
    <row r="40" spans="1:9" ht="15" customHeight="1">
      <c r="A40" s="36"/>
      <c r="B40" s="68"/>
      <c r="C40" s="68"/>
      <c r="D40" s="68"/>
      <c r="E40" s="68"/>
      <c r="F40" s="68"/>
      <c r="G40" s="68"/>
      <c r="H40" s="68"/>
      <c r="I40" s="68"/>
    </row>
    <row r="42" spans="1:9" ht="16.5" customHeight="1"/>
    <row r="43" spans="1:9" ht="15.95" customHeight="1"/>
    <row r="44" spans="1:9" s="130" customFormat="1" ht="15.95" customHeight="1">
      <c r="A44" s="37"/>
      <c r="B44" s="37"/>
      <c r="C44" s="37"/>
      <c r="D44" s="37"/>
      <c r="E44" s="37"/>
      <c r="F44" s="37"/>
      <c r="G44" s="37"/>
      <c r="H44" s="37"/>
      <c r="I44" s="37"/>
    </row>
    <row r="45" spans="1:9" ht="18.75" customHeight="1"/>
    <row r="46" spans="1:9" ht="15" customHeight="1">
      <c r="A46" s="130"/>
      <c r="B46" s="130"/>
      <c r="C46" s="130"/>
      <c r="D46" s="130"/>
      <c r="E46" s="130"/>
      <c r="F46" s="130"/>
      <c r="G46" s="130"/>
      <c r="H46" s="130"/>
      <c r="I46" s="130"/>
    </row>
    <row r="51" ht="17.25" customHeight="1"/>
  </sheetData>
  <sheetProtection sheet="1" objects="1" scenarios="1"/>
  <mergeCells count="3">
    <mergeCell ref="D7:H7"/>
    <mergeCell ref="A4:I4"/>
    <mergeCell ref="N4:V4"/>
  </mergeCells>
  <phoneticPr fontId="0" type="noConversion"/>
  <pageMargins left="0.7" right="0.7" top="0.75" bottom="0.75" header="0.3" footer="0.3"/>
  <pageSetup scale="83" orientation="landscape" blackAndWhite="1"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F20"/>
  <sheetViews>
    <sheetView workbookViewId="0">
      <selection activeCell="A8" sqref="A8"/>
    </sheetView>
  </sheetViews>
  <sheetFormatPr defaultColWidth="8.88671875" defaultRowHeight="15"/>
  <cols>
    <col min="1" max="2" width="17.77734375" style="74" customWidth="1"/>
    <col min="3" max="5" width="12.77734375" style="74" customWidth="1"/>
    <col min="6" max="6" width="14.33203125" style="74" customWidth="1"/>
    <col min="7" max="16384" width="8.88671875" style="74"/>
  </cols>
  <sheetData>
    <row r="1" spans="1:6" ht="15.75">
      <c r="A1" s="75">
        <f>inputPrYr!D3</f>
        <v>0</v>
      </c>
      <c r="B1" s="36"/>
      <c r="C1" s="36"/>
      <c r="D1" s="36"/>
      <c r="E1" s="36"/>
      <c r="F1" s="36">
        <f>inputPrYr!C6</f>
        <v>2025</v>
      </c>
    </row>
    <row r="2" spans="1:6" ht="15.75">
      <c r="A2" s="36"/>
      <c r="B2" s="36"/>
      <c r="C2" s="36"/>
      <c r="D2" s="36"/>
      <c r="E2" s="36"/>
      <c r="F2" s="36"/>
    </row>
    <row r="3" spans="1:6" ht="15.75">
      <c r="A3" s="662" t="s">
        <v>168</v>
      </c>
      <c r="B3" s="662"/>
      <c r="C3" s="662"/>
      <c r="D3" s="662"/>
      <c r="E3" s="662"/>
      <c r="F3" s="662"/>
    </row>
    <row r="4" spans="1:6" ht="15.75">
      <c r="A4" s="36"/>
      <c r="B4" s="36"/>
      <c r="C4" s="36"/>
      <c r="D4" s="36"/>
      <c r="E4" s="36"/>
      <c r="F4" s="36"/>
    </row>
    <row r="5" spans="1:6" ht="15.75">
      <c r="A5" s="131" t="s">
        <v>207</v>
      </c>
      <c r="B5" s="131" t="s">
        <v>208</v>
      </c>
      <c r="C5" s="131" t="s">
        <v>209</v>
      </c>
      <c r="D5" s="131" t="s">
        <v>210</v>
      </c>
      <c r="E5" s="131" t="s">
        <v>211</v>
      </c>
      <c r="F5" s="131" t="s">
        <v>212</v>
      </c>
    </row>
    <row r="6" spans="1:6" ht="15.75">
      <c r="A6" s="132" t="s">
        <v>213</v>
      </c>
      <c r="B6" s="132" t="s">
        <v>214</v>
      </c>
      <c r="C6" s="132" t="s">
        <v>215</v>
      </c>
      <c r="D6" s="132" t="s">
        <v>215</v>
      </c>
      <c r="E6" s="132" t="s">
        <v>215</v>
      </c>
      <c r="F6" s="132" t="s">
        <v>216</v>
      </c>
    </row>
    <row r="7" spans="1:6" ht="15.75">
      <c r="A7" s="133" t="s">
        <v>217</v>
      </c>
      <c r="B7" s="133" t="s">
        <v>218</v>
      </c>
      <c r="C7" s="134">
        <f>F1-2</f>
        <v>2023</v>
      </c>
      <c r="D7" s="134">
        <f>F1-1</f>
        <v>2024</v>
      </c>
      <c r="E7" s="134">
        <f>F1</f>
        <v>2025</v>
      </c>
      <c r="F7" s="133" t="s">
        <v>219</v>
      </c>
    </row>
    <row r="8" spans="1:6" ht="15.75">
      <c r="A8" s="135"/>
      <c r="B8" s="135"/>
      <c r="C8" s="136"/>
      <c r="D8" s="136"/>
      <c r="E8" s="136"/>
      <c r="F8" s="135"/>
    </row>
    <row r="9" spans="1:6" ht="15.75">
      <c r="A9" s="137"/>
      <c r="B9" s="137"/>
      <c r="C9" s="138"/>
      <c r="D9" s="138"/>
      <c r="E9" s="138"/>
      <c r="F9" s="137"/>
    </row>
    <row r="10" spans="1:6" ht="15.75">
      <c r="A10" s="137"/>
      <c r="B10" s="137"/>
      <c r="C10" s="138"/>
      <c r="D10" s="138"/>
      <c r="E10" s="138"/>
      <c r="F10" s="137"/>
    </row>
    <row r="11" spans="1:6" ht="15.75">
      <c r="A11" s="137"/>
      <c r="B11" s="137"/>
      <c r="C11" s="138"/>
      <c r="D11" s="138"/>
      <c r="E11" s="138"/>
      <c r="F11" s="137"/>
    </row>
    <row r="12" spans="1:6" ht="15.75">
      <c r="A12" s="137"/>
      <c r="B12" s="137"/>
      <c r="C12" s="138"/>
      <c r="D12" s="138"/>
      <c r="E12" s="138"/>
      <c r="F12" s="137"/>
    </row>
    <row r="13" spans="1:6" ht="15.75">
      <c r="A13" s="121"/>
      <c r="B13" s="139" t="s">
        <v>220</v>
      </c>
      <c r="C13" s="140">
        <f>SUM(C8:C12)</f>
        <v>0</v>
      </c>
      <c r="D13" s="140">
        <f>SUM(D8:D12)</f>
        <v>0</v>
      </c>
      <c r="E13" s="140">
        <f>SUM(E8:E12)</f>
        <v>0</v>
      </c>
      <c r="F13" s="121"/>
    </row>
    <row r="14" spans="1:6" ht="15.75">
      <c r="A14" s="121"/>
      <c r="B14" s="141" t="s">
        <v>221</v>
      </c>
      <c r="C14" s="142"/>
      <c r="D14" s="143"/>
      <c r="E14" s="143"/>
      <c r="F14" s="121"/>
    </row>
    <row r="15" spans="1:6" ht="15.75">
      <c r="A15" s="121"/>
      <c r="B15" s="139" t="s">
        <v>222</v>
      </c>
      <c r="C15" s="140">
        <f>C13</f>
        <v>0</v>
      </c>
      <c r="D15" s="140">
        <f>SUM(D13-D14)</f>
        <v>0</v>
      </c>
      <c r="E15" s="140">
        <f>SUM(E13-E14)</f>
        <v>0</v>
      </c>
      <c r="F15" s="121"/>
    </row>
    <row r="16" spans="1:6" ht="15.75">
      <c r="A16" s="68"/>
      <c r="B16" s="68"/>
      <c r="C16" s="68"/>
      <c r="D16" s="68"/>
      <c r="E16" s="68"/>
      <c r="F16" s="68"/>
    </row>
    <row r="17" spans="1:6" ht="15.75">
      <c r="A17" s="68"/>
      <c r="B17" s="68"/>
      <c r="C17" s="68"/>
      <c r="D17" s="68"/>
      <c r="E17" s="68"/>
      <c r="F17" s="68"/>
    </row>
    <row r="18" spans="1:6" ht="15.75">
      <c r="A18" s="260" t="s">
        <v>223</v>
      </c>
      <c r="B18" s="259" t="str">
        <f>CONCATENATE("Adjustments are required only if the transfer is being made in ",D7," and/or ",E7," from a non-budgeted fund.")</f>
        <v>Adjustments are required only if the transfer is being made in 2024 and/or 2025 from a non-budgeted fund.</v>
      </c>
      <c r="C18" s="68"/>
      <c r="D18" s="68"/>
      <c r="E18" s="68"/>
      <c r="F18" s="68"/>
    </row>
    <row r="19" spans="1:6" ht="15.75">
      <c r="A19" s="68"/>
      <c r="B19" s="68"/>
      <c r="C19" s="68"/>
      <c r="D19" s="68"/>
      <c r="E19" s="68"/>
      <c r="F19" s="68"/>
    </row>
    <row r="20" spans="1:6" ht="15.75">
      <c r="A20" s="68"/>
      <c r="B20" s="68"/>
      <c r="C20" s="68"/>
      <c r="D20" s="68"/>
      <c r="E20" s="68"/>
      <c r="F20" s="68"/>
    </row>
  </sheetData>
  <sheetProtection sheet="1" objects="1" scenarios="1"/>
  <mergeCells count="1">
    <mergeCell ref="A3:F3"/>
  </mergeCells>
  <phoneticPr fontId="9" type="noConversion"/>
  <pageMargins left="0.75" right="0.75" top="1" bottom="1" header="0.5" footer="0.5"/>
  <pageSetup scale="77" orientation="portrait"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68"/>
  <sheetViews>
    <sheetView workbookViewId="0">
      <selection activeCell="A20" sqref="A20"/>
    </sheetView>
  </sheetViews>
  <sheetFormatPr defaultColWidth="8.88671875" defaultRowHeight="15"/>
  <cols>
    <col min="1" max="1" width="70.5546875" style="74" customWidth="1"/>
    <col min="2" max="16384" width="8.88671875" style="74"/>
  </cols>
  <sheetData>
    <row r="1" spans="1:1" ht="18.75">
      <c r="A1" s="244" t="s">
        <v>224</v>
      </c>
    </row>
    <row r="2" spans="1:1" ht="18.75">
      <c r="A2" s="244"/>
    </row>
    <row r="3" spans="1:1" ht="18.75">
      <c r="A3" s="244"/>
    </row>
    <row r="4" spans="1:1" ht="51.75" customHeight="1">
      <c r="A4" s="358" t="s">
        <v>225</v>
      </c>
    </row>
    <row r="5" spans="1:1" ht="18.75">
      <c r="A5" s="244"/>
    </row>
    <row r="6" spans="1:1" ht="15.75">
      <c r="A6" s="31"/>
    </row>
    <row r="7" spans="1:1" ht="47.25">
      <c r="A7" s="33" t="s">
        <v>226</v>
      </c>
    </row>
    <row r="8" spans="1:1" ht="15.75">
      <c r="A8" s="31"/>
    </row>
    <row r="9" spans="1:1" ht="15.75">
      <c r="A9" s="31"/>
    </row>
    <row r="10" spans="1:1" ht="63">
      <c r="A10" s="33" t="s">
        <v>227</v>
      </c>
    </row>
    <row r="11" spans="1:1" ht="15.75">
      <c r="A11" s="245"/>
    </row>
    <row r="12" spans="1:1" ht="15.75">
      <c r="A12" s="31"/>
    </row>
    <row r="13" spans="1:1" ht="47.25">
      <c r="A13" s="33" t="s">
        <v>228</v>
      </c>
    </row>
    <row r="14" spans="1:1" ht="15.75">
      <c r="A14" s="245"/>
    </row>
    <row r="15" spans="1:1" ht="15.75">
      <c r="A15" s="31"/>
    </row>
    <row r="16" spans="1:1" ht="47.25">
      <c r="A16" s="33" t="s">
        <v>229</v>
      </c>
    </row>
    <row r="17" spans="1:1" ht="15.75">
      <c r="A17" s="245"/>
    </row>
    <row r="18" spans="1:1" ht="15.75">
      <c r="A18" s="245"/>
    </row>
    <row r="19" spans="1:1" ht="47.25">
      <c r="A19" s="33" t="s">
        <v>230</v>
      </c>
    </row>
    <row r="20" spans="1:1" ht="15.75">
      <c r="A20" s="245"/>
    </row>
    <row r="21" spans="1:1" ht="15.75">
      <c r="A21" s="245"/>
    </row>
    <row r="22" spans="1:1" ht="47.25">
      <c r="A22" s="33" t="s">
        <v>231</v>
      </c>
    </row>
    <row r="23" spans="1:1" ht="15.75">
      <c r="A23" s="245"/>
    </row>
    <row r="24" spans="1:1" ht="15.75">
      <c r="A24" s="245"/>
    </row>
    <row r="25" spans="1:1" ht="31.5">
      <c r="A25" s="33" t="s">
        <v>232</v>
      </c>
    </row>
    <row r="26" spans="1:1" ht="15.75">
      <c r="A26" s="31"/>
    </row>
    <row r="27" spans="1:1" ht="15.75">
      <c r="A27" s="31"/>
    </row>
    <row r="28" spans="1:1" ht="60">
      <c r="A28" s="246" t="s">
        <v>233</v>
      </c>
    </row>
    <row r="29" spans="1:1">
      <c r="A29" s="247"/>
    </row>
    <row r="30" spans="1:1">
      <c r="A30" s="247"/>
    </row>
    <row r="31" spans="1:1" ht="47.25">
      <c r="A31" s="33" t="s">
        <v>234</v>
      </c>
    </row>
    <row r="32" spans="1:1" ht="15.75">
      <c r="A32" s="31"/>
    </row>
    <row r="33" spans="1:1" ht="15.75">
      <c r="A33" s="31"/>
    </row>
    <row r="34" spans="1:1" ht="66.75" customHeight="1">
      <c r="A34" s="336" t="s">
        <v>235</v>
      </c>
    </row>
    <row r="35" spans="1:1" ht="15.75">
      <c r="A35" s="31"/>
    </row>
    <row r="36" spans="1:1" ht="15.75">
      <c r="A36" s="31"/>
    </row>
    <row r="37" spans="1:1" ht="63">
      <c r="A37" s="248" t="s">
        <v>236</v>
      </c>
    </row>
    <row r="38" spans="1:1" ht="15.75">
      <c r="A38" s="245"/>
    </row>
    <row r="39" spans="1:1" ht="15.75">
      <c r="A39" s="31"/>
    </row>
    <row r="40" spans="1:1" ht="70.5" customHeight="1">
      <c r="A40" s="33" t="s">
        <v>237</v>
      </c>
    </row>
    <row r="41" spans="1:1" ht="15.75">
      <c r="A41" s="245"/>
    </row>
    <row r="42" spans="1:1" ht="15.75">
      <c r="A42" s="245"/>
    </row>
    <row r="43" spans="1:1" ht="82.5" customHeight="1">
      <c r="A43" s="580" t="s">
        <v>238</v>
      </c>
    </row>
    <row r="44" spans="1:1" ht="15.75">
      <c r="A44" s="245"/>
    </row>
    <row r="45" spans="1:1" ht="15.75">
      <c r="A45" s="245"/>
    </row>
    <row r="46" spans="1:1" ht="69" customHeight="1">
      <c r="A46" s="580" t="s">
        <v>239</v>
      </c>
    </row>
    <row r="47" spans="1:1" ht="15.75">
      <c r="A47" s="245"/>
    </row>
    <row r="48" spans="1:1" ht="15.75">
      <c r="A48" s="245"/>
    </row>
    <row r="49" spans="1:1" ht="69" customHeight="1">
      <c r="A49" s="580" t="s">
        <v>240</v>
      </c>
    </row>
    <row r="50" spans="1:1" ht="15.75" customHeight="1">
      <c r="A50" s="245"/>
    </row>
    <row r="51" spans="1:1" ht="21.75" customHeight="1">
      <c r="A51" s="245"/>
    </row>
    <row r="52" spans="1:1" ht="66" customHeight="1">
      <c r="A52" s="580" t="s">
        <v>241</v>
      </c>
    </row>
    <row r="53" spans="1:1" ht="15.75">
      <c r="A53" s="245"/>
    </row>
    <row r="54" spans="1:1" ht="15.75">
      <c r="A54" s="245"/>
    </row>
    <row r="55" spans="1:1" ht="63">
      <c r="A55" s="33" t="s">
        <v>242</v>
      </c>
    </row>
    <row r="56" spans="1:1" ht="15.75">
      <c r="A56" s="245"/>
    </row>
    <row r="57" spans="1:1" ht="15.75">
      <c r="A57" s="245"/>
    </row>
    <row r="58" spans="1:1" ht="63">
      <c r="A58" s="33" t="s">
        <v>243</v>
      </c>
    </row>
    <row r="59" spans="1:1" ht="15.75">
      <c r="A59" s="245"/>
    </row>
    <row r="60" spans="1:1" ht="15.75">
      <c r="A60" s="245"/>
    </row>
    <row r="61" spans="1:1" ht="47.25">
      <c r="A61" s="33" t="s">
        <v>244</v>
      </c>
    </row>
    <row r="62" spans="1:1" ht="15.75">
      <c r="A62" s="245"/>
    </row>
    <row r="63" spans="1:1" ht="15.75">
      <c r="A63" s="245"/>
    </row>
    <row r="64" spans="1:1" ht="47.25">
      <c r="A64" s="33" t="s">
        <v>245</v>
      </c>
    </row>
    <row r="65" spans="1:1" ht="15.75">
      <c r="A65" s="245"/>
    </row>
    <row r="66" spans="1:1" ht="15.75">
      <c r="A66" s="245"/>
    </row>
    <row r="67" spans="1:1" ht="78.75">
      <c r="A67" s="33" t="s">
        <v>246</v>
      </c>
    </row>
    <row r="68" spans="1:1">
      <c r="A68" s="249"/>
    </row>
  </sheetData>
  <sheetProtection sheet="1"/>
  <pageMargins left="0.7" right="0.7" top="0.75" bottom="0.75" header="0.3" footer="0.3"/>
  <pageSetup orientation="portrait" r:id="rId1"/>
  <headerFooter>
    <oddFooter>&amp;Lrevised 10/2/09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1EA50-A567-4A21-8937-05DAA03292F4}"/>
</file>

<file path=customXml/itemProps2.xml><?xml version="1.0" encoding="utf-8"?>
<ds:datastoreItem xmlns:ds="http://schemas.openxmlformats.org/officeDocument/2006/customXml" ds:itemID="{E38C8F14-F6AA-46C4-8D86-F0FD7F447D56}"/>
</file>

<file path=customXml/itemProps3.xml><?xml version="1.0" encoding="utf-8"?>
<ds:datastoreItem xmlns:ds="http://schemas.openxmlformats.org/officeDocument/2006/customXml" ds:itemID="{B63CC750-CDA9-49B9-BE79-A40A75DE84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Stacy Jaramillo [DAAR]</cp:lastModifiedBy>
  <cp:revision/>
  <dcterms:created xsi:type="dcterms:W3CDTF">1998-12-22T16:13:18Z</dcterms:created>
  <dcterms:modified xsi:type="dcterms:W3CDTF">2024-05-02T16:17:12Z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