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96" documentId="8_{DFA01841-E7EA-467A-8CB0-3D6F3E877D8D}" xr6:coauthVersionLast="47" xr6:coauthVersionMax="47" xr10:uidLastSave="{4F6B9338-97B2-450A-A41D-7BA316D3CB01}"/>
  <bookViews>
    <workbookView xWindow="5055" yWindow="1710" windowWidth="15570" windowHeight="12825" tabRatio="908" xr2:uid="{00000000-000D-0000-FFFF-FFFF00000000}"/>
  </bookViews>
  <sheets>
    <sheet name="Instructions" sheetId="1" r:id="rId1"/>
    <sheet name="inputPrYr" sheetId="2" r:id="rId2"/>
    <sheet name="inputOth" sheetId="43" r:id="rId3"/>
    <sheet name="inputHearing" sheetId="52" r:id="rId4"/>
    <sheet name="CPA Summary" sheetId="63" r:id="rId5"/>
    <sheet name="Cert" sheetId="3" r:id="rId6"/>
    <sheet name="Mvalloc" sheetId="5" r:id="rId7"/>
    <sheet name="Transfers" sheetId="32" r:id="rId8"/>
    <sheet name="Transfer Statutes" sheetId="46" r:id="rId9"/>
    <sheet name="Debt" sheetId="22" r:id="rId10"/>
    <sheet name="LP Form" sheetId="23" r:id="rId11"/>
    <sheet name="Library Grant " sheetId="58" r:id="rId12"/>
    <sheet name="General" sheetId="7" r:id="rId13"/>
    <sheet name="General Detail" sheetId="9" r:id="rId14"/>
    <sheet name="DebtSvs Library" sheetId="34" r:id="rId15"/>
    <sheet name="Levy Page 9" sheetId="8" r:id="rId16"/>
    <sheet name="Levy Page 10" sheetId="10" r:id="rId17"/>
    <sheet name="Levy Page 11" sheetId="11" r:id="rId18"/>
    <sheet name="Levy Page 12" sheetId="12" r:id="rId19"/>
    <sheet name="Levy Page 13" sheetId="13" r:id="rId20"/>
    <sheet name="Spec Hwy" sheetId="14" r:id="rId21"/>
    <sheet name="No Levy Page 15" sheetId="15" r:id="rId22"/>
    <sheet name="No Levy Page 16" sheetId="16" r:id="rId23"/>
    <sheet name="No Levy Page 17" sheetId="17" r:id="rId24"/>
    <sheet name="No Levy Page 18" sheetId="18" r:id="rId25"/>
    <sheet name="No Levy Page 19" sheetId="19" r:id="rId26"/>
    <sheet name="No Levy Page 20" sheetId="54" r:id="rId27"/>
    <sheet name="No Levy Page 21" sheetId="55" r:id="rId28"/>
    <sheet name="Single No Levy Page 22" sheetId="35" r:id="rId29"/>
    <sheet name="Single No Levy Page 23" sheetId="36" r:id="rId30"/>
    <sheet name="Single No Levy Page 24" sheetId="37" r:id="rId31"/>
    <sheet name="Single No Levy Page 25" sheetId="38" r:id="rId32"/>
    <sheet name="Non-Budgeted Funds A" sheetId="39" r:id="rId33"/>
    <sheet name="Non-Budgeted Funds B" sheetId="40" r:id="rId34"/>
    <sheet name="Non-Budgeted Funds C" sheetId="41" r:id="rId35"/>
    <sheet name="Non-Budgeted Funds D" sheetId="42" r:id="rId36"/>
    <sheet name="Non-Bud Fund Statutes" sheetId="45" r:id="rId37"/>
    <sheet name="Budget Hearing Notice" sheetId="21" r:id="rId38"/>
    <sheet name="Combined Rate-Bud Hearing Notic" sheetId="64" r:id="rId39"/>
    <sheet name="RNR Hearing Notice" sheetId="65" r:id="rId40"/>
    <sheet name="NR Rebate" sheetId="44" r:id="rId41"/>
    <sheet name="SAMPLE Notice to County Clerk" sheetId="66" r:id="rId42"/>
    <sheet name="SAMPLE Roll Call to Exceed RNR" sheetId="68" r:id="rId43"/>
    <sheet name="SAMPLE Resolution to Exceed RNR" sheetId="67" r:id="rId44"/>
    <sheet name="Tab A" sheetId="69" r:id="rId45"/>
    <sheet name="Tab B" sheetId="70" r:id="rId46"/>
    <sheet name="Tab C" sheetId="71" r:id="rId47"/>
    <sheet name="Tab D" sheetId="72" r:id="rId48"/>
    <sheet name="Tab E" sheetId="73" r:id="rId49"/>
    <sheet name="Budget Tools" sheetId="74" r:id="rId50"/>
    <sheet name="Legend" sheetId="75" r:id="rId51"/>
  </sheets>
  <definedNames>
    <definedName name="_xlnm.Print_Area" localSheetId="37">'Budget Hearing Notice'!$A$1:$H$78</definedName>
    <definedName name="_xlnm.Print_Area" localSheetId="38">'Combined Rate-Bud Hearing Notic'!$A$1:$H$78</definedName>
    <definedName name="_xlnm.Print_Area" localSheetId="14">'DebtSvs Library'!$B$1:$E$86</definedName>
    <definedName name="_xlnm.Print_Area" localSheetId="12">General!$B$1:$E$120</definedName>
    <definedName name="_xlnm.Print_Area" localSheetId="13">'General Detail'!$A$1:$D$133</definedName>
    <definedName name="_xlnm.Print_Area" localSheetId="1">inputPrYr!$A$1:$E$130</definedName>
    <definedName name="_xlnm.Print_Area" localSheetId="16">'Levy Page 10'!$B$1:$E$85</definedName>
    <definedName name="_xlnm.Print_Area" localSheetId="17">'Levy Page 11'!$A$1:$E$86</definedName>
    <definedName name="_xlnm.Print_Area" localSheetId="18">'Levy Page 12'!$A$1:$E$86</definedName>
    <definedName name="_xlnm.Print_Area" localSheetId="19">'Levy Page 13'!$A$1:$E$86</definedName>
    <definedName name="_xlnm.Print_Area" localSheetId="15">'Levy Page 9'!$A$1:$E$86</definedName>
    <definedName name="_xlnm.Print_Area" localSheetId="11">'Library Grant '!$A$1:$J$39</definedName>
    <definedName name="_xlnm.Print_Area" localSheetId="10">'LP Form'!$B$1:$I$38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6" i="3" l="1"/>
  <c r="B104" i="7"/>
  <c r="B30" i="34"/>
  <c r="B29" i="8"/>
  <c r="B68" i="8"/>
  <c r="B30" i="10"/>
  <c r="B69" i="10"/>
  <c r="B29" i="11"/>
  <c r="B69" i="11"/>
  <c r="B30" i="12"/>
  <c r="B69" i="12"/>
  <c r="B31" i="13"/>
  <c r="B70" i="13"/>
  <c r="B25" i="14"/>
  <c r="B56" i="14"/>
  <c r="B24" i="15"/>
  <c r="B55" i="15"/>
  <c r="B25" i="16"/>
  <c r="B56" i="16"/>
  <c r="B25" i="17"/>
  <c r="B56" i="17"/>
  <c r="B25" i="18"/>
  <c r="B57" i="18"/>
  <c r="B25" i="19"/>
  <c r="B57" i="19"/>
  <c r="B25" i="54"/>
  <c r="B57" i="54"/>
  <c r="B57" i="55"/>
  <c r="B25" i="55"/>
  <c r="B41" i="35"/>
  <c r="B41" i="36"/>
  <c r="B41" i="37"/>
  <c r="B41" i="38"/>
  <c r="A6" i="69" l="1"/>
  <c r="A35" i="72"/>
  <c r="A31" i="72"/>
  <c r="A7" i="73"/>
  <c r="A6" i="73"/>
  <c r="A5" i="72"/>
  <c r="A30" i="71"/>
  <c r="A26" i="71"/>
  <c r="A15" i="71"/>
  <c r="A7" i="71"/>
  <c r="A6" i="71"/>
  <c r="A28" i="70"/>
  <c r="A5" i="70"/>
  <c r="A58" i="69"/>
  <c r="A56" i="69"/>
  <c r="A27" i="69"/>
  <c r="A23" i="69"/>
  <c r="A20" i="69"/>
  <c r="A5" i="69"/>
  <c r="A29" i="70"/>
  <c r="A59" i="69"/>
  <c r="A14" i="69"/>
  <c r="F19" i="3"/>
  <c r="F20" i="3"/>
  <c r="F21" i="3"/>
  <c r="F22" i="3"/>
  <c r="F23" i="3"/>
  <c r="F24" i="3"/>
  <c r="F25" i="3"/>
  <c r="F26" i="3"/>
  <c r="F27" i="3"/>
  <c r="F28" i="3"/>
  <c r="F29" i="3"/>
  <c r="F30" i="3"/>
  <c r="F18" i="3"/>
  <c r="F55" i="3" l="1"/>
  <c r="C16" i="3"/>
  <c r="C18" i="3" s="1"/>
  <c r="C58" i="3"/>
  <c r="C57" i="3"/>
  <c r="C56" i="3"/>
  <c r="F65" i="3"/>
  <c r="A6" i="65"/>
  <c r="A10" i="65"/>
  <c r="A5" i="65"/>
  <c r="H1" i="65"/>
  <c r="A74" i="64"/>
  <c r="A73" i="64"/>
  <c r="A7" i="64"/>
  <c r="A5" i="64"/>
  <c r="D68" i="64"/>
  <c r="B68" i="64"/>
  <c r="D67" i="64"/>
  <c r="B67" i="64"/>
  <c r="D66" i="64"/>
  <c r="B66" i="64"/>
  <c r="M65" i="64"/>
  <c r="D65" i="64"/>
  <c r="B65" i="64"/>
  <c r="B62" i="64"/>
  <c r="B60" i="64"/>
  <c r="H57" i="64"/>
  <c r="M61" i="64" s="1"/>
  <c r="A55" i="64"/>
  <c r="A54" i="64"/>
  <c r="A53" i="64"/>
  <c r="A52" i="64"/>
  <c r="A51" i="64"/>
  <c r="A50" i="64"/>
  <c r="A49" i="64"/>
  <c r="A48" i="64"/>
  <c r="A47" i="64"/>
  <c r="A46" i="64"/>
  <c r="A45" i="64"/>
  <c r="A44" i="64"/>
  <c r="A43" i="64"/>
  <c r="A42" i="64"/>
  <c r="A41" i="64"/>
  <c r="A40" i="64"/>
  <c r="A39" i="64"/>
  <c r="A38" i="64"/>
  <c r="A37" i="64"/>
  <c r="A36" i="64"/>
  <c r="A35" i="64"/>
  <c r="A34" i="64"/>
  <c r="A33" i="64"/>
  <c r="A32" i="64"/>
  <c r="E31" i="64"/>
  <c r="C31" i="64"/>
  <c r="A31" i="64"/>
  <c r="E30" i="64"/>
  <c r="C30" i="64"/>
  <c r="A30" i="64"/>
  <c r="E29" i="64"/>
  <c r="C29" i="64"/>
  <c r="A29" i="64"/>
  <c r="E28" i="64"/>
  <c r="C28" i="64"/>
  <c r="A28" i="64"/>
  <c r="E27" i="64"/>
  <c r="C27" i="64"/>
  <c r="A27" i="64"/>
  <c r="E26" i="64"/>
  <c r="C26" i="64"/>
  <c r="A26" i="64"/>
  <c r="E25" i="64"/>
  <c r="C25" i="64"/>
  <c r="A25" i="64"/>
  <c r="E24" i="64"/>
  <c r="C24" i="64"/>
  <c r="A24" i="64"/>
  <c r="E23" i="64"/>
  <c r="C23" i="64"/>
  <c r="A23" i="64"/>
  <c r="E22" i="64"/>
  <c r="C22" i="64"/>
  <c r="A22" i="64"/>
  <c r="E21" i="64"/>
  <c r="C21" i="64"/>
  <c r="A21" i="64"/>
  <c r="E20" i="64"/>
  <c r="C20" i="64"/>
  <c r="A20" i="64"/>
  <c r="E19" i="64"/>
  <c r="C19" i="64"/>
  <c r="A19" i="64"/>
  <c r="A10" i="64"/>
  <c r="A4" i="64"/>
  <c r="H2" i="64"/>
  <c r="J65" i="64" s="1"/>
  <c r="A74" i="21"/>
  <c r="A73" i="21"/>
  <c r="A7" i="21"/>
  <c r="A5" i="21"/>
  <c r="B69" i="64" l="1"/>
  <c r="D69" i="64"/>
  <c r="C56" i="64"/>
  <c r="E56" i="64"/>
  <c r="M49" i="64" s="1"/>
  <c r="F16" i="64"/>
  <c r="J50" i="64"/>
  <c r="F64" i="64"/>
  <c r="J47" i="64"/>
  <c r="J56" i="64"/>
  <c r="J64" i="64"/>
  <c r="G17" i="64"/>
  <c r="J62" i="64"/>
  <c r="J43" i="64"/>
  <c r="J54" i="64"/>
  <c r="D64" i="64"/>
  <c r="A13" i="64"/>
  <c r="J49" i="64"/>
  <c r="B16" i="64"/>
  <c r="D16" i="64"/>
  <c r="J57" i="64"/>
  <c r="J63" i="64"/>
  <c r="B64" i="64"/>
  <c r="H57" i="21" l="1"/>
  <c r="D58" i="7"/>
  <c r="B133" i="9" s="1"/>
  <c r="E11" i="44"/>
  <c r="E18" i="10" s="1"/>
  <c r="G16" i="58"/>
  <c r="G62" i="43"/>
  <c r="H31" i="5"/>
  <c r="F62" i="43"/>
  <c r="G29" i="5"/>
  <c r="H2" i="21"/>
  <c r="J49" i="21" s="1"/>
  <c r="D16" i="21"/>
  <c r="A10" i="21"/>
  <c r="A66" i="43"/>
  <c r="D60" i="2"/>
  <c r="D48" i="13"/>
  <c r="D62" i="13"/>
  <c r="D61" i="13" s="1"/>
  <c r="D8" i="13"/>
  <c r="D22" i="13" s="1"/>
  <c r="D21" i="13" s="1"/>
  <c r="D47" i="12"/>
  <c r="D61" i="12" s="1"/>
  <c r="D60" i="12" s="1"/>
  <c r="D8" i="12"/>
  <c r="D22" i="12" s="1"/>
  <c r="D21" i="12" s="1"/>
  <c r="D46" i="11"/>
  <c r="D61" i="11"/>
  <c r="D60" i="11" s="1"/>
  <c r="D8" i="11"/>
  <c r="D21" i="11"/>
  <c r="D47" i="10"/>
  <c r="D61" i="10" s="1"/>
  <c r="D60" i="10" s="1"/>
  <c r="D8" i="10"/>
  <c r="D21" i="10"/>
  <c r="D20" i="10"/>
  <c r="D46" i="8"/>
  <c r="D59" i="8"/>
  <c r="D8" i="8"/>
  <c r="D21" i="8"/>
  <c r="D47" i="34"/>
  <c r="E15" i="58" s="1"/>
  <c r="D8" i="34"/>
  <c r="D21" i="34" s="1"/>
  <c r="D8" i="7"/>
  <c r="D55" i="7" s="1"/>
  <c r="D54" i="7" s="1"/>
  <c r="J17" i="13"/>
  <c r="J16" i="13"/>
  <c r="J16" i="12"/>
  <c r="J15" i="12"/>
  <c r="J15" i="11"/>
  <c r="J14" i="11"/>
  <c r="J16" i="10"/>
  <c r="J15" i="10"/>
  <c r="J15" i="8"/>
  <c r="J14" i="8"/>
  <c r="J16" i="34"/>
  <c r="J15" i="34"/>
  <c r="J14" i="12"/>
  <c r="B19" i="58"/>
  <c r="B18" i="58"/>
  <c r="B17" i="58"/>
  <c r="B16" i="58"/>
  <c r="B15" i="58"/>
  <c r="G35" i="2"/>
  <c r="G34" i="2"/>
  <c r="G33" i="2"/>
  <c r="G32" i="2"/>
  <c r="G31" i="2"/>
  <c r="G30" i="2"/>
  <c r="G29" i="2"/>
  <c r="G28" i="2"/>
  <c r="G27" i="2"/>
  <c r="G26" i="2"/>
  <c r="G24" i="2"/>
  <c r="G22" i="2"/>
  <c r="G23" i="2"/>
  <c r="D75" i="34"/>
  <c r="D97" i="34" s="1"/>
  <c r="D34" i="8"/>
  <c r="D93" i="8" s="1"/>
  <c r="D73" i="8"/>
  <c r="D35" i="10"/>
  <c r="D74" i="10"/>
  <c r="D34" i="11"/>
  <c r="D74" i="11"/>
  <c r="D95" i="11" s="1"/>
  <c r="D35" i="12"/>
  <c r="D74" i="12"/>
  <c r="D36" i="13"/>
  <c r="D75" i="13"/>
  <c r="A16" i="3"/>
  <c r="A31" i="21"/>
  <c r="A30" i="21"/>
  <c r="A29" i="21"/>
  <c r="A28" i="21"/>
  <c r="A27" i="21"/>
  <c r="A26" i="21"/>
  <c r="A25" i="21"/>
  <c r="A24" i="21"/>
  <c r="A23" i="21"/>
  <c r="A22" i="21"/>
  <c r="A21" i="21"/>
  <c r="B18" i="44"/>
  <c r="B17" i="44"/>
  <c r="B16" i="44"/>
  <c r="B15" i="44"/>
  <c r="B14" i="44"/>
  <c r="B13" i="44"/>
  <c r="B12" i="44"/>
  <c r="B11" i="44"/>
  <c r="B10" i="44"/>
  <c r="B9" i="44"/>
  <c r="B8" i="44"/>
  <c r="C20" i="5"/>
  <c r="C19" i="5"/>
  <c r="C18" i="5"/>
  <c r="C21" i="5" s="1"/>
  <c r="C17" i="5"/>
  <c r="C16" i="5"/>
  <c r="C15" i="5"/>
  <c r="C14" i="5"/>
  <c r="C13" i="5"/>
  <c r="C12" i="5"/>
  <c r="C11" i="5"/>
  <c r="C10" i="5"/>
  <c r="B20" i="5"/>
  <c r="B19" i="5"/>
  <c r="B18" i="5"/>
  <c r="B17" i="5"/>
  <c r="B16" i="5"/>
  <c r="B15" i="5"/>
  <c r="B14" i="5"/>
  <c r="B13" i="5"/>
  <c r="B12" i="5"/>
  <c r="B11" i="5"/>
  <c r="B10" i="5"/>
  <c r="A94" i="43"/>
  <c r="A93" i="43"/>
  <c r="A92" i="43"/>
  <c r="A91" i="43"/>
  <c r="A90" i="43"/>
  <c r="A89" i="43"/>
  <c r="A88" i="43"/>
  <c r="A87" i="43"/>
  <c r="A86" i="43"/>
  <c r="A85" i="43"/>
  <c r="A84" i="43"/>
  <c r="A44" i="43"/>
  <c r="A43" i="43"/>
  <c r="A42" i="43"/>
  <c r="A41" i="43"/>
  <c r="A40" i="43"/>
  <c r="A39" i="43"/>
  <c r="A38" i="43"/>
  <c r="A37" i="43"/>
  <c r="A36" i="43"/>
  <c r="A35" i="43"/>
  <c r="A34" i="43"/>
  <c r="B101" i="2"/>
  <c r="B100" i="2"/>
  <c r="B99" i="2"/>
  <c r="B98" i="2"/>
  <c r="B97" i="2"/>
  <c r="B96" i="2"/>
  <c r="B95" i="2"/>
  <c r="B94" i="2"/>
  <c r="B93" i="2"/>
  <c r="B92" i="2"/>
  <c r="B91" i="2"/>
  <c r="A30" i="3"/>
  <c r="A29" i="3"/>
  <c r="A28" i="3"/>
  <c r="A27" i="3"/>
  <c r="A26" i="3"/>
  <c r="A25" i="3"/>
  <c r="A24" i="3"/>
  <c r="A23" i="3"/>
  <c r="A22" i="3"/>
  <c r="A21" i="3"/>
  <c r="A20" i="3"/>
  <c r="B30" i="3"/>
  <c r="B29" i="3"/>
  <c r="B28" i="3"/>
  <c r="B27" i="3"/>
  <c r="B26" i="3"/>
  <c r="B25" i="3"/>
  <c r="B24" i="3"/>
  <c r="B23" i="3"/>
  <c r="B22" i="3"/>
  <c r="B21" i="3"/>
  <c r="B20" i="3"/>
  <c r="B45" i="13"/>
  <c r="B5" i="13"/>
  <c r="B44" i="12"/>
  <c r="B5" i="12"/>
  <c r="B43" i="11"/>
  <c r="B5" i="11"/>
  <c r="B44" i="10"/>
  <c r="B5" i="10"/>
  <c r="B43" i="8"/>
  <c r="B5" i="8"/>
  <c r="B44" i="34"/>
  <c r="E19" i="58"/>
  <c r="E18" i="58"/>
  <c r="E17" i="58"/>
  <c r="E16" i="58"/>
  <c r="G14" i="58"/>
  <c r="B44" i="58" s="1"/>
  <c r="E14" i="58"/>
  <c r="B87" i="58" s="1"/>
  <c r="B8" i="58"/>
  <c r="B7" i="58"/>
  <c r="B5" i="58"/>
  <c r="D70" i="9"/>
  <c r="C70" i="9"/>
  <c r="B70" i="9"/>
  <c r="D68" i="21"/>
  <c r="D69" i="21" s="1"/>
  <c r="B68" i="21"/>
  <c r="D67" i="21"/>
  <c r="B67" i="21"/>
  <c r="D66" i="21"/>
  <c r="B66" i="21"/>
  <c r="D65" i="21"/>
  <c r="B65" i="21"/>
  <c r="B62" i="21"/>
  <c r="B60" i="21"/>
  <c r="E31" i="21"/>
  <c r="G71" i="13" s="1"/>
  <c r="C31" i="21"/>
  <c r="C19" i="44"/>
  <c r="C75" i="13"/>
  <c r="C96" i="13" s="1"/>
  <c r="B77" i="13" s="1"/>
  <c r="C36" i="13"/>
  <c r="C74" i="12"/>
  <c r="C35" i="12"/>
  <c r="C74" i="11"/>
  <c r="C34" i="11"/>
  <c r="C74" i="10"/>
  <c r="C95" i="10" s="1"/>
  <c r="C35" i="10"/>
  <c r="C93" i="10" s="1"/>
  <c r="C73" i="8"/>
  <c r="C34" i="8"/>
  <c r="C75" i="34"/>
  <c r="C22" i="3"/>
  <c r="C21" i="3"/>
  <c r="C23" i="3"/>
  <c r="C24" i="3"/>
  <c r="C25" i="3"/>
  <c r="C26" i="3"/>
  <c r="C27" i="3"/>
  <c r="C28" i="3"/>
  <c r="C29" i="3"/>
  <c r="C30" i="3"/>
  <c r="C20" i="3"/>
  <c r="E36" i="2"/>
  <c r="D60" i="64" s="1"/>
  <c r="B88" i="3"/>
  <c r="C46" i="3"/>
  <c r="C45" i="3"/>
  <c r="C44" i="3"/>
  <c r="C43" i="3"/>
  <c r="C42" i="3"/>
  <c r="C62" i="19"/>
  <c r="D62" i="19"/>
  <c r="B36" i="19"/>
  <c r="B5" i="54"/>
  <c r="B36" i="54"/>
  <c r="C30" i="54"/>
  <c r="D30" i="54"/>
  <c r="C62" i="54"/>
  <c r="D62" i="54"/>
  <c r="C30" i="55"/>
  <c r="D30" i="55"/>
  <c r="D31" i="55" s="1"/>
  <c r="C62" i="55"/>
  <c r="B5" i="55"/>
  <c r="D39" i="34"/>
  <c r="E39" i="34"/>
  <c r="D79" i="34"/>
  <c r="E79" i="34" s="1"/>
  <c r="D73" i="34"/>
  <c r="D21" i="64" s="1"/>
  <c r="C73" i="34"/>
  <c r="B21" i="64" s="1"/>
  <c r="C61" i="34"/>
  <c r="C62" i="34" s="1"/>
  <c r="C74" i="34" s="1"/>
  <c r="C35" i="34"/>
  <c r="C95" i="34" s="1"/>
  <c r="B37" i="34" s="1"/>
  <c r="D35" i="34"/>
  <c r="D38" i="11"/>
  <c r="E38" i="11" s="1"/>
  <c r="D79" i="13"/>
  <c r="E79" i="13"/>
  <c r="D40" i="13"/>
  <c r="E40" i="13"/>
  <c r="D39" i="12"/>
  <c r="E39" i="12" s="1"/>
  <c r="D78" i="12"/>
  <c r="E78" i="12"/>
  <c r="D78" i="11"/>
  <c r="E78" i="11"/>
  <c r="D78" i="10"/>
  <c r="E78" i="10"/>
  <c r="D39" i="10"/>
  <c r="E39" i="10" s="1"/>
  <c r="D38" i="8"/>
  <c r="E38" i="8"/>
  <c r="D77" i="8"/>
  <c r="E77" i="8"/>
  <c r="D113" i="7"/>
  <c r="E113" i="7"/>
  <c r="C109" i="7"/>
  <c r="D109" i="7"/>
  <c r="D45" i="43"/>
  <c r="D102" i="2"/>
  <c r="D62" i="55"/>
  <c r="D63" i="55"/>
  <c r="E60" i="55"/>
  <c r="F47" i="64" s="1"/>
  <c r="D60" i="55"/>
  <c r="D47" i="64" s="1"/>
  <c r="C60" i="55"/>
  <c r="B47" i="64" s="1"/>
  <c r="E47" i="55"/>
  <c r="E46" i="55" s="1"/>
  <c r="D47" i="55"/>
  <c r="D46" i="55" s="1"/>
  <c r="C47" i="55"/>
  <c r="B36" i="55"/>
  <c r="E28" i="55"/>
  <c r="F46" i="64" s="1"/>
  <c r="E30" i="55"/>
  <c r="D28" i="55"/>
  <c r="D46" i="64" s="1"/>
  <c r="D46" i="21"/>
  <c r="C28" i="55"/>
  <c r="B46" i="64" s="1"/>
  <c r="C27" i="55"/>
  <c r="E15" i="55"/>
  <c r="E14" i="55"/>
  <c r="D15" i="55"/>
  <c r="D14" i="55"/>
  <c r="C15" i="55"/>
  <c r="C14" i="55" s="1"/>
  <c r="E1" i="55"/>
  <c r="B1" i="55"/>
  <c r="E60" i="54"/>
  <c r="F45" i="64" s="1"/>
  <c r="D60" i="54"/>
  <c r="D45" i="64" s="1"/>
  <c r="C60" i="54"/>
  <c r="B45" i="64" s="1"/>
  <c r="E47" i="54"/>
  <c r="E46" i="54" s="1"/>
  <c r="D47" i="54"/>
  <c r="D46" i="54" s="1"/>
  <c r="C47" i="54"/>
  <c r="E28" i="54"/>
  <c r="F44" i="64" s="1"/>
  <c r="D28" i="54"/>
  <c r="D44" i="64" s="1"/>
  <c r="D44" i="21"/>
  <c r="C28" i="54"/>
  <c r="B44" i="64" s="1"/>
  <c r="E15" i="54"/>
  <c r="E14" i="54"/>
  <c r="D15" i="54"/>
  <c r="D14" i="54"/>
  <c r="C15" i="54"/>
  <c r="C16" i="54" s="1"/>
  <c r="C29" i="54" s="1"/>
  <c r="E1" i="54"/>
  <c r="B1" i="54"/>
  <c r="A46" i="21"/>
  <c r="A45" i="21"/>
  <c r="A44" i="21"/>
  <c r="A43" i="21"/>
  <c r="A45" i="3"/>
  <c r="A44" i="3"/>
  <c r="A43" i="3"/>
  <c r="A42" i="3"/>
  <c r="A110" i="43"/>
  <c r="A109" i="43"/>
  <c r="A108" i="43"/>
  <c r="A107" i="43"/>
  <c r="A106" i="43"/>
  <c r="B82" i="7"/>
  <c r="B81" i="7"/>
  <c r="B80" i="7"/>
  <c r="B79" i="7"/>
  <c r="B78" i="7"/>
  <c r="B77" i="7"/>
  <c r="B76" i="7"/>
  <c r="B75" i="7"/>
  <c r="B79" i="9"/>
  <c r="C75" i="7" s="1"/>
  <c r="C79" i="9"/>
  <c r="D75" i="7" s="1"/>
  <c r="D79" i="9"/>
  <c r="E75" i="7" s="1"/>
  <c r="B86" i="9"/>
  <c r="C86" i="9"/>
  <c r="D76" i="7" s="1"/>
  <c r="D86" i="9"/>
  <c r="E76" i="7"/>
  <c r="B93" i="9"/>
  <c r="B129" i="9" s="1"/>
  <c r="B131" i="9" s="1"/>
  <c r="C93" i="9"/>
  <c r="D77" i="7"/>
  <c r="D93" i="9"/>
  <c r="E77" i="7"/>
  <c r="B99" i="9"/>
  <c r="C78" i="7" s="1"/>
  <c r="C99" i="9"/>
  <c r="D99" i="9"/>
  <c r="B106" i="9"/>
  <c r="C79" i="7"/>
  <c r="C106" i="9"/>
  <c r="D79" i="7"/>
  <c r="D106" i="9"/>
  <c r="B113" i="9"/>
  <c r="C113" i="9"/>
  <c r="D80" i="7" s="1"/>
  <c r="D113" i="9"/>
  <c r="E80" i="7"/>
  <c r="B120" i="9"/>
  <c r="C81" i="7" s="1"/>
  <c r="C120" i="9"/>
  <c r="D81" i="7"/>
  <c r="D120" i="9"/>
  <c r="E81" i="7" s="1"/>
  <c r="B127" i="9"/>
  <c r="C82" i="7" s="1"/>
  <c r="C127" i="9"/>
  <c r="D82" i="7"/>
  <c r="D127" i="9"/>
  <c r="E82" i="7"/>
  <c r="C9" i="5"/>
  <c r="C8" i="5"/>
  <c r="A105" i="2"/>
  <c r="A104" i="2"/>
  <c r="D87" i="2"/>
  <c r="D53" i="43"/>
  <c r="D62" i="64" s="1"/>
  <c r="D14" i="9"/>
  <c r="D21" i="9"/>
  <c r="D64" i="9" s="1"/>
  <c r="D130" i="9" s="1"/>
  <c r="D131" i="9" s="1"/>
  <c r="E68" i="7"/>
  <c r="D28" i="9"/>
  <c r="E69" i="7" s="1"/>
  <c r="D34" i="9"/>
  <c r="E70" i="7" s="1"/>
  <c r="D41" i="9"/>
  <c r="E71" i="7" s="1"/>
  <c r="D48" i="9"/>
  <c r="E72" i="7"/>
  <c r="D55" i="9"/>
  <c r="E73" i="7" s="1"/>
  <c r="D62" i="9"/>
  <c r="E74" i="7" s="1"/>
  <c r="C14" i="9"/>
  <c r="D67" i="7"/>
  <c r="C21" i="9"/>
  <c r="D68" i="7" s="1"/>
  <c r="C28" i="9"/>
  <c r="D69" i="7" s="1"/>
  <c r="C34" i="9"/>
  <c r="C64" i="9" s="1"/>
  <c r="C130" i="9" s="1"/>
  <c r="C131" i="9" s="1"/>
  <c r="D70" i="7"/>
  <c r="C41" i="9"/>
  <c r="D71" i="7" s="1"/>
  <c r="C48" i="9"/>
  <c r="D72" i="7" s="1"/>
  <c r="C55" i="9"/>
  <c r="D73" i="7" s="1"/>
  <c r="C62" i="9"/>
  <c r="D74" i="7"/>
  <c r="B14" i="9"/>
  <c r="C67" i="7" s="1"/>
  <c r="B21" i="9"/>
  <c r="C68" i="7" s="1"/>
  <c r="B28" i="9"/>
  <c r="C69" i="7" s="1"/>
  <c r="B34" i="9"/>
  <c r="B64" i="9" s="1"/>
  <c r="B130" i="9" s="1"/>
  <c r="C70" i="7"/>
  <c r="B41" i="9"/>
  <c r="C71" i="7"/>
  <c r="B48" i="9"/>
  <c r="C72" i="7" s="1"/>
  <c r="B55" i="9"/>
  <c r="C73" i="7" s="1"/>
  <c r="B62" i="9"/>
  <c r="C74" i="7"/>
  <c r="B74" i="7"/>
  <c r="B73" i="7"/>
  <c r="B72" i="7"/>
  <c r="B71" i="7"/>
  <c r="B70" i="7"/>
  <c r="B69" i="7"/>
  <c r="B68" i="7"/>
  <c r="B67" i="7"/>
  <c r="A19" i="3"/>
  <c r="C32" i="8"/>
  <c r="B22" i="64" s="1"/>
  <c r="G24" i="8"/>
  <c r="C21" i="8"/>
  <c r="C20" i="8" s="1"/>
  <c r="D32" i="8"/>
  <c r="D22" i="64" s="1"/>
  <c r="D71" i="8"/>
  <c r="D23" i="64" s="1"/>
  <c r="D23" i="21"/>
  <c r="C71" i="8"/>
  <c r="B23" i="64" s="1"/>
  <c r="C59" i="8"/>
  <c r="C60" i="8" s="1"/>
  <c r="C72" i="8" s="1"/>
  <c r="C33" i="10"/>
  <c r="B24" i="64" s="1"/>
  <c r="C32" i="10"/>
  <c r="C21" i="10"/>
  <c r="C20" i="10"/>
  <c r="D33" i="10"/>
  <c r="D24" i="64" s="1"/>
  <c r="C61" i="10"/>
  <c r="C60" i="10"/>
  <c r="C72" i="10"/>
  <c r="B25" i="64" s="1"/>
  <c r="B25" i="21"/>
  <c r="D72" i="10"/>
  <c r="D25" i="64" s="1"/>
  <c r="C32" i="11"/>
  <c r="B26" i="64" s="1"/>
  <c r="C21" i="11"/>
  <c r="C22" i="11"/>
  <c r="C33" i="11" s="1"/>
  <c r="D32" i="11"/>
  <c r="D26" i="64" s="1"/>
  <c r="C61" i="11"/>
  <c r="C60" i="11" s="1"/>
  <c r="C72" i="11"/>
  <c r="B27" i="64" s="1"/>
  <c r="D72" i="11"/>
  <c r="D27" i="64" s="1"/>
  <c r="D33" i="12"/>
  <c r="D28" i="64" s="1"/>
  <c r="C22" i="12"/>
  <c r="C21" i="12"/>
  <c r="C33" i="12"/>
  <c r="B28" i="64" s="1"/>
  <c r="C61" i="12"/>
  <c r="C62" i="12" s="1"/>
  <c r="C73" i="12" s="1"/>
  <c r="C60" i="12"/>
  <c r="C72" i="12"/>
  <c r="B29" i="64" s="1"/>
  <c r="B29" i="21"/>
  <c r="D72" i="12"/>
  <c r="D29" i="64" s="1"/>
  <c r="D29" i="21"/>
  <c r="C22" i="13"/>
  <c r="C23" i="13" s="1"/>
  <c r="C35" i="13" s="1"/>
  <c r="C34" i="13"/>
  <c r="B30" i="64" s="1"/>
  <c r="D34" i="13"/>
  <c r="D30" i="64" s="1"/>
  <c r="C62" i="13"/>
  <c r="C63" i="13" s="1"/>
  <c r="C74" i="13" s="1"/>
  <c r="C73" i="13"/>
  <c r="B31" i="64" s="1"/>
  <c r="C72" i="13"/>
  <c r="D73" i="13"/>
  <c r="D31" i="64" s="1"/>
  <c r="E1" i="13"/>
  <c r="G58" i="13" s="1"/>
  <c r="E1" i="12"/>
  <c r="H25" i="12" s="1"/>
  <c r="E1" i="11"/>
  <c r="G10" i="11" s="1"/>
  <c r="E1" i="10"/>
  <c r="C40" i="10" s="1"/>
  <c r="E1" i="8"/>
  <c r="H64" i="8" s="1"/>
  <c r="B5" i="34"/>
  <c r="C21" i="34"/>
  <c r="C22" i="34"/>
  <c r="C33" i="34"/>
  <c r="B20" i="64" s="1"/>
  <c r="D33" i="34"/>
  <c r="D20" i="64" s="1"/>
  <c r="D20" i="21"/>
  <c r="E1" i="34"/>
  <c r="H60" i="34" s="1"/>
  <c r="C55" i="7"/>
  <c r="C54" i="7" s="1"/>
  <c r="C56" i="7"/>
  <c r="C65" i="7" s="1"/>
  <c r="E1" i="7"/>
  <c r="E15" i="7"/>
  <c r="C44" i="38"/>
  <c r="B51" i="64" s="1"/>
  <c r="C18" i="38"/>
  <c r="D44" i="38"/>
  <c r="D51" i="64" s="1"/>
  <c r="E44" i="38"/>
  <c r="F51" i="64" s="1"/>
  <c r="E1" i="38"/>
  <c r="B46" i="38" s="1"/>
  <c r="C46" i="38"/>
  <c r="D46" i="38"/>
  <c r="D46" i="37"/>
  <c r="C44" i="37"/>
  <c r="B50" i="64" s="1"/>
  <c r="D44" i="37"/>
  <c r="D50" i="64" s="1"/>
  <c r="E44" i="37"/>
  <c r="F50" i="64" s="1"/>
  <c r="E1" i="37"/>
  <c r="C5" i="37" s="1"/>
  <c r="C46" i="37"/>
  <c r="C47" i="37" s="1"/>
  <c r="C18" i="37"/>
  <c r="D18" i="37"/>
  <c r="D17" i="37"/>
  <c r="C44" i="36"/>
  <c r="B49" i="64" s="1"/>
  <c r="C18" i="36"/>
  <c r="C19" i="36" s="1"/>
  <c r="C45" i="36" s="1"/>
  <c r="D18" i="36"/>
  <c r="D17" i="36" s="1"/>
  <c r="D44" i="36"/>
  <c r="D49" i="64" s="1"/>
  <c r="E44" i="36"/>
  <c r="F49" i="64" s="1"/>
  <c r="E1" i="36"/>
  <c r="C5" i="36" s="1"/>
  <c r="C46" i="36"/>
  <c r="D46" i="36"/>
  <c r="C44" i="35"/>
  <c r="B48" i="64" s="1"/>
  <c r="C18" i="35"/>
  <c r="C17" i="35"/>
  <c r="D18" i="35"/>
  <c r="D44" i="35"/>
  <c r="D48" i="64" s="1"/>
  <c r="E18" i="35"/>
  <c r="E17" i="35"/>
  <c r="E44" i="35"/>
  <c r="F48" i="64" s="1"/>
  <c r="E1" i="35"/>
  <c r="D5" i="35" s="1"/>
  <c r="C46" i="35"/>
  <c r="C47" i="35" s="1"/>
  <c r="D46" i="35"/>
  <c r="D47" i="35" s="1"/>
  <c r="C60" i="19"/>
  <c r="B43" i="64" s="1"/>
  <c r="D60" i="19"/>
  <c r="D43" i="64" s="1"/>
  <c r="E60" i="19"/>
  <c r="F43" i="64" s="1"/>
  <c r="E1" i="19"/>
  <c r="D5" i="19" s="1"/>
  <c r="D36" i="19" s="1"/>
  <c r="C28" i="19"/>
  <c r="B42" i="64" s="1"/>
  <c r="D28" i="19"/>
  <c r="D42" i="64" s="1"/>
  <c r="D27" i="19"/>
  <c r="E28" i="19"/>
  <c r="F42" i="64" s="1"/>
  <c r="D41" i="3"/>
  <c r="C30" i="19"/>
  <c r="C31" i="19"/>
  <c r="D30" i="19"/>
  <c r="C60" i="18"/>
  <c r="B41" i="64" s="1"/>
  <c r="D60" i="18"/>
  <c r="D41" i="64" s="1"/>
  <c r="E60" i="18"/>
  <c r="F41" i="64" s="1"/>
  <c r="D40" i="3"/>
  <c r="C62" i="18"/>
  <c r="C63" i="18"/>
  <c r="D62" i="18"/>
  <c r="C28" i="18"/>
  <c r="B40" i="64" s="1"/>
  <c r="D28" i="18"/>
  <c r="D40" i="64" s="1"/>
  <c r="D40" i="21"/>
  <c r="E28" i="18"/>
  <c r="F40" i="64" s="1"/>
  <c r="E1" i="18"/>
  <c r="C30" i="18"/>
  <c r="C31" i="18" s="1"/>
  <c r="D30" i="18"/>
  <c r="D31" i="18"/>
  <c r="C59" i="17"/>
  <c r="B39" i="64" s="1"/>
  <c r="D59" i="17"/>
  <c r="D39" i="64" s="1"/>
  <c r="E59" i="17"/>
  <c r="F39" i="64" s="1"/>
  <c r="E1" i="17"/>
  <c r="D5" i="17" s="1"/>
  <c r="D36" i="17" s="1"/>
  <c r="C61" i="17"/>
  <c r="C62" i="17" s="1"/>
  <c r="D61" i="17"/>
  <c r="C28" i="17"/>
  <c r="B38" i="64" s="1"/>
  <c r="D28" i="17"/>
  <c r="D38" i="64" s="1"/>
  <c r="E28" i="17"/>
  <c r="F38" i="64" s="1"/>
  <c r="F38" i="21"/>
  <c r="C30" i="17"/>
  <c r="C31" i="17" s="1"/>
  <c r="D30" i="17"/>
  <c r="D31" i="17"/>
  <c r="C59" i="16"/>
  <c r="B37" i="64" s="1"/>
  <c r="D59" i="16"/>
  <c r="D37" i="64" s="1"/>
  <c r="E59" i="16"/>
  <c r="F37" i="64" s="1"/>
  <c r="F37" i="21"/>
  <c r="E1" i="16"/>
  <c r="B30" i="16" s="1"/>
  <c r="C61" i="16"/>
  <c r="C62" i="16" s="1"/>
  <c r="D61" i="16"/>
  <c r="D62" i="16" s="1"/>
  <c r="C28" i="16"/>
  <c r="B36" i="64" s="1"/>
  <c r="D28" i="16"/>
  <c r="D36" i="64" s="1"/>
  <c r="E28" i="16"/>
  <c r="F36" i="64" s="1"/>
  <c r="D35" i="3"/>
  <c r="C30" i="16"/>
  <c r="D30" i="16"/>
  <c r="D31" i="16"/>
  <c r="E1" i="15"/>
  <c r="B29" i="15" s="1"/>
  <c r="C5" i="15"/>
  <c r="C35" i="15" s="1"/>
  <c r="E5" i="15"/>
  <c r="E35" i="15" s="1"/>
  <c r="E58" i="15"/>
  <c r="F35" i="64" s="1"/>
  <c r="C58" i="15"/>
  <c r="B35" i="64" s="1"/>
  <c r="B35" i="21"/>
  <c r="D58" i="15"/>
  <c r="D35" i="64" s="1"/>
  <c r="D35" i="21"/>
  <c r="E27" i="15"/>
  <c r="F34" i="64" s="1"/>
  <c r="C27" i="15"/>
  <c r="B34" i="64" s="1"/>
  <c r="D27" i="15"/>
  <c r="D34" i="64" s="1"/>
  <c r="C29" i="15"/>
  <c r="D29" i="15"/>
  <c r="C60" i="15"/>
  <c r="D60" i="15"/>
  <c r="D61" i="14"/>
  <c r="D62" i="14" s="1"/>
  <c r="D59" i="14"/>
  <c r="D33" i="64" s="1"/>
  <c r="C59" i="14"/>
  <c r="B33" i="64" s="1"/>
  <c r="E59" i="14"/>
  <c r="F33" i="64" s="1"/>
  <c r="F33" i="21"/>
  <c r="C61" i="14"/>
  <c r="E28" i="14"/>
  <c r="F32" i="64" s="1"/>
  <c r="C28" i="14"/>
  <c r="B32" i="64" s="1"/>
  <c r="D28" i="14"/>
  <c r="D32" i="64" s="1"/>
  <c r="C30" i="14"/>
  <c r="D30" i="14"/>
  <c r="E1" i="14"/>
  <c r="A60" i="2"/>
  <c r="D20" i="2"/>
  <c r="E20" i="2"/>
  <c r="G21" i="2" s="1"/>
  <c r="F1" i="44"/>
  <c r="E5" i="44" s="1"/>
  <c r="C30" i="21"/>
  <c r="C29" i="21"/>
  <c r="C28" i="21"/>
  <c r="C27" i="21"/>
  <c r="C26" i="21"/>
  <c r="C25" i="21"/>
  <c r="C24" i="21"/>
  <c r="C23" i="21"/>
  <c r="C22" i="21"/>
  <c r="C21" i="21"/>
  <c r="J28" i="42"/>
  <c r="J17" i="42"/>
  <c r="J18" i="42" s="1"/>
  <c r="J29" i="42" s="1"/>
  <c r="J30" i="42" s="1"/>
  <c r="H28" i="42"/>
  <c r="H17" i="42"/>
  <c r="F17" i="42"/>
  <c r="F18" i="42"/>
  <c r="F28" i="42"/>
  <c r="D17" i="42"/>
  <c r="D28" i="42"/>
  <c r="B17" i="42"/>
  <c r="B18" i="42" s="1"/>
  <c r="K17" i="42"/>
  <c r="K30" i="42" s="1"/>
  <c r="B28" i="42"/>
  <c r="J28" i="41"/>
  <c r="J29" i="41" s="1"/>
  <c r="J30" i="41" s="1"/>
  <c r="J17" i="41"/>
  <c r="H17" i="41"/>
  <c r="H18" i="41" s="1"/>
  <c r="H29" i="41" s="1"/>
  <c r="H30" i="41" s="1"/>
  <c r="H28" i="41"/>
  <c r="F17" i="41"/>
  <c r="K17" i="41"/>
  <c r="F28" i="41"/>
  <c r="D17" i="41"/>
  <c r="D18" i="41" s="1"/>
  <c r="D29" i="41" s="1"/>
  <c r="D30" i="41" s="1"/>
  <c r="D28" i="41"/>
  <c r="B17" i="41"/>
  <c r="B18" i="41"/>
  <c r="B28" i="41"/>
  <c r="K28" i="41" s="1"/>
  <c r="J28" i="40"/>
  <c r="J17" i="40"/>
  <c r="J18" i="40" s="1"/>
  <c r="J29" i="40" s="1"/>
  <c r="J30" i="40" s="1"/>
  <c r="H17" i="40"/>
  <c r="H18" i="40" s="1"/>
  <c r="H29" i="40" s="1"/>
  <c r="H30" i="40" s="1"/>
  <c r="H28" i="40"/>
  <c r="F17" i="40"/>
  <c r="F18" i="40" s="1"/>
  <c r="F29" i="40" s="1"/>
  <c r="F30" i="40" s="1"/>
  <c r="F28" i="40"/>
  <c r="D17" i="40"/>
  <c r="D18" i="40" s="1"/>
  <c r="D29" i="40" s="1"/>
  <c r="D30" i="40" s="1"/>
  <c r="D28" i="40"/>
  <c r="B17" i="40"/>
  <c r="B18" i="40" s="1"/>
  <c r="B28" i="40"/>
  <c r="K28" i="40" s="1"/>
  <c r="J17" i="39"/>
  <c r="J28" i="39"/>
  <c r="H17" i="39"/>
  <c r="H18" i="39" s="1"/>
  <c r="H29" i="39" s="1"/>
  <c r="H30" i="39" s="1"/>
  <c r="H28" i="39"/>
  <c r="F17" i="39"/>
  <c r="F18" i="39" s="1"/>
  <c r="F29" i="39" s="1"/>
  <c r="F30" i="39" s="1"/>
  <c r="F28" i="39"/>
  <c r="D17" i="39"/>
  <c r="D18" i="39" s="1"/>
  <c r="D28" i="39"/>
  <c r="B28" i="39"/>
  <c r="K28" i="39"/>
  <c r="B52" i="64" s="1"/>
  <c r="B52" i="21"/>
  <c r="B17" i="39"/>
  <c r="B18" i="39"/>
  <c r="I5" i="42"/>
  <c r="G5" i="42"/>
  <c r="E5" i="42"/>
  <c r="C5" i="42"/>
  <c r="A5" i="42"/>
  <c r="K1" i="42"/>
  <c r="A2" i="42" s="1"/>
  <c r="K1" i="41"/>
  <c r="A2" i="41" s="1"/>
  <c r="K1" i="40"/>
  <c r="A2" i="40" s="1"/>
  <c r="K1" i="39"/>
  <c r="A2" i="39" s="1"/>
  <c r="E1" i="43"/>
  <c r="A6" i="43" s="1"/>
  <c r="C59" i="3"/>
  <c r="D9" i="14"/>
  <c r="E9" i="14"/>
  <c r="C62" i="43"/>
  <c r="D23" i="5" s="1"/>
  <c r="D62" i="43"/>
  <c r="E25" i="5"/>
  <c r="E62" i="43"/>
  <c r="F27" i="5" s="1"/>
  <c r="A1" i="44"/>
  <c r="B6" i="44"/>
  <c r="B7" i="44"/>
  <c r="B14" i="43"/>
  <c r="F62" i="64" s="1"/>
  <c r="D6" i="44"/>
  <c r="D26" i="44"/>
  <c r="D28" i="44"/>
  <c r="A4" i="21"/>
  <c r="A19" i="21"/>
  <c r="C19" i="21"/>
  <c r="E19" i="21"/>
  <c r="G107" i="7" s="1"/>
  <c r="A20" i="21"/>
  <c r="C20" i="21"/>
  <c r="E20" i="21"/>
  <c r="G31" i="34" s="1"/>
  <c r="E21" i="21"/>
  <c r="E22" i="21"/>
  <c r="G30" i="8" s="1"/>
  <c r="E23" i="21"/>
  <c r="G69" i="8" s="1"/>
  <c r="E24" i="21"/>
  <c r="G31" i="10" s="1"/>
  <c r="E25" i="21"/>
  <c r="G70" i="10" s="1"/>
  <c r="E26" i="21"/>
  <c r="G30" i="11" s="1"/>
  <c r="E27" i="21"/>
  <c r="G70" i="11" s="1"/>
  <c r="E28" i="21"/>
  <c r="G31" i="12" s="1"/>
  <c r="E29" i="21"/>
  <c r="G70" i="12" s="1"/>
  <c r="E30" i="21"/>
  <c r="G32" i="13" s="1"/>
  <c r="A32" i="21"/>
  <c r="B32" i="21"/>
  <c r="F32" i="21"/>
  <c r="A33" i="21"/>
  <c r="A34" i="21"/>
  <c r="A35" i="21"/>
  <c r="A36" i="21"/>
  <c r="A37" i="21"/>
  <c r="A38" i="21"/>
  <c r="D38" i="21"/>
  <c r="A39" i="21"/>
  <c r="A40" i="21"/>
  <c r="B40" i="21"/>
  <c r="A41" i="21"/>
  <c r="A42" i="21"/>
  <c r="A47" i="21"/>
  <c r="A48" i="21"/>
  <c r="B48" i="21"/>
  <c r="A49" i="21"/>
  <c r="D49" i="21"/>
  <c r="F49" i="21"/>
  <c r="A50" i="21"/>
  <c r="A51" i="21"/>
  <c r="A52" i="21"/>
  <c r="A53" i="21"/>
  <c r="A54" i="21"/>
  <c r="A55" i="21"/>
  <c r="C26" i="32"/>
  <c r="C28" i="32" s="1"/>
  <c r="D26" i="32"/>
  <c r="D28" i="32"/>
  <c r="D58" i="64" s="1"/>
  <c r="D58" i="21"/>
  <c r="E26" i="32"/>
  <c r="E28" i="32"/>
  <c r="F58" i="64" s="1"/>
  <c r="F58" i="21"/>
  <c r="G20" i="22"/>
  <c r="F65" i="64" s="1"/>
  <c r="G32" i="22"/>
  <c r="F66" i="64" s="1"/>
  <c r="G42" i="22"/>
  <c r="F67" i="64" s="1"/>
  <c r="F67" i="21"/>
  <c r="G28" i="23"/>
  <c r="F68" i="64" s="1"/>
  <c r="A1" i="42"/>
  <c r="K7" i="42"/>
  <c r="A1" i="41"/>
  <c r="A5" i="41"/>
  <c r="C5" i="41"/>
  <c r="E5" i="41"/>
  <c r="G5" i="41"/>
  <c r="I5" i="41"/>
  <c r="K7" i="41"/>
  <c r="K30" i="41" s="1"/>
  <c r="A1" i="40"/>
  <c r="A5" i="40"/>
  <c r="C5" i="40"/>
  <c r="E5" i="40"/>
  <c r="G5" i="40"/>
  <c r="I5" i="40"/>
  <c r="K7" i="40"/>
  <c r="A1" i="39"/>
  <c r="A5" i="39"/>
  <c r="C5" i="39"/>
  <c r="E5" i="39"/>
  <c r="G5" i="39"/>
  <c r="I5" i="39"/>
  <c r="K7" i="39"/>
  <c r="B1" i="38"/>
  <c r="B5" i="38"/>
  <c r="D18" i="38"/>
  <c r="D17" i="38"/>
  <c r="E18" i="38"/>
  <c r="E17" i="38"/>
  <c r="B1" i="37"/>
  <c r="B5" i="37"/>
  <c r="E18" i="37"/>
  <c r="E17" i="37"/>
  <c r="B1" i="36"/>
  <c r="B5" i="36"/>
  <c r="E18" i="36"/>
  <c r="E17" i="36"/>
  <c r="D43" i="36"/>
  <c r="B1" i="35"/>
  <c r="B5" i="35"/>
  <c r="D17" i="35"/>
  <c r="C43" i="35"/>
  <c r="E43" i="35"/>
  <c r="B1" i="19"/>
  <c r="B5" i="19"/>
  <c r="C15" i="19"/>
  <c r="C14" i="19" s="1"/>
  <c r="D15" i="19"/>
  <c r="D14" i="19" s="1"/>
  <c r="E15" i="19"/>
  <c r="E14" i="19"/>
  <c r="C47" i="19"/>
  <c r="C46" i="19"/>
  <c r="D47" i="19"/>
  <c r="D46" i="19"/>
  <c r="E47" i="19"/>
  <c r="E46" i="19"/>
  <c r="B1" i="18"/>
  <c r="B5" i="18"/>
  <c r="C15" i="18"/>
  <c r="C14" i="18"/>
  <c r="D15" i="18"/>
  <c r="D14" i="18"/>
  <c r="E15" i="18"/>
  <c r="E14" i="18" s="1"/>
  <c r="C27" i="18"/>
  <c r="B36" i="18"/>
  <c r="C47" i="18"/>
  <c r="C46" i="18" s="1"/>
  <c r="D47" i="18"/>
  <c r="D46" i="18"/>
  <c r="E47" i="18"/>
  <c r="E46" i="18"/>
  <c r="B1" i="17"/>
  <c r="B5" i="17"/>
  <c r="C15" i="17"/>
  <c r="C16" i="17" s="1"/>
  <c r="C29" i="17" s="1"/>
  <c r="D15" i="17"/>
  <c r="E15" i="17"/>
  <c r="E14" i="17" s="1"/>
  <c r="B36" i="17"/>
  <c r="C46" i="17"/>
  <c r="C47" i="17"/>
  <c r="C60" i="17"/>
  <c r="D37" i="17" s="1"/>
  <c r="D47" i="17" s="1"/>
  <c r="D60" i="17" s="1"/>
  <c r="D46" i="17"/>
  <c r="D45" i="17"/>
  <c r="E46" i="17"/>
  <c r="E45" i="17" s="1"/>
  <c r="D58" i="17"/>
  <c r="B1" i="16"/>
  <c r="B5" i="16"/>
  <c r="C15" i="16"/>
  <c r="C16" i="16"/>
  <c r="D15" i="16"/>
  <c r="E15" i="16"/>
  <c r="E14" i="16"/>
  <c r="D27" i="16"/>
  <c r="B36" i="16"/>
  <c r="C47" i="16"/>
  <c r="C48" i="16" s="1"/>
  <c r="C60" i="16" s="1"/>
  <c r="D47" i="16"/>
  <c r="D46" i="16"/>
  <c r="E47" i="16"/>
  <c r="E46" i="16" s="1"/>
  <c r="D58" i="16"/>
  <c r="B1" i="15"/>
  <c r="B5" i="15"/>
  <c r="C15" i="15"/>
  <c r="C16" i="15" s="1"/>
  <c r="C28" i="15" s="1"/>
  <c r="D15" i="15"/>
  <c r="D14" i="15"/>
  <c r="E15" i="15"/>
  <c r="E14" i="15" s="1"/>
  <c r="B35" i="15"/>
  <c r="C45" i="15"/>
  <c r="C46" i="15" s="1"/>
  <c r="C59" i="15" s="1"/>
  <c r="D45" i="15"/>
  <c r="D44" i="15"/>
  <c r="E45" i="15"/>
  <c r="E44" i="15"/>
  <c r="D57" i="15"/>
  <c r="E57" i="15"/>
  <c r="B1" i="14"/>
  <c r="B5" i="14"/>
  <c r="C16" i="14"/>
  <c r="D8" i="14"/>
  <c r="D16" i="14" s="1"/>
  <c r="D15" i="14" s="1"/>
  <c r="E8" i="14"/>
  <c r="E16" i="14" s="1"/>
  <c r="E15" i="14" s="1"/>
  <c r="C27" i="14"/>
  <c r="B36" i="14"/>
  <c r="C47" i="14"/>
  <c r="C46" i="14" s="1"/>
  <c r="D47" i="14"/>
  <c r="D46" i="14" s="1"/>
  <c r="E47" i="14"/>
  <c r="E46" i="14"/>
  <c r="B1" i="13"/>
  <c r="B1" i="12"/>
  <c r="B1" i="11"/>
  <c r="B1" i="10"/>
  <c r="B1" i="8"/>
  <c r="B1" i="34"/>
  <c r="A1" i="9"/>
  <c r="A68" i="9" s="1"/>
  <c r="D1" i="9"/>
  <c r="C4" i="9" s="1"/>
  <c r="C71" i="9" s="1"/>
  <c r="B1" i="7"/>
  <c r="B5" i="7"/>
  <c r="B60" i="7"/>
  <c r="B64" i="7"/>
  <c r="B1" i="23"/>
  <c r="I1" i="23"/>
  <c r="G9" i="23" s="1"/>
  <c r="H9" i="23"/>
  <c r="H28" i="23"/>
  <c r="I28" i="23"/>
  <c r="B1" i="22"/>
  <c r="M1" i="22"/>
  <c r="G7" i="22" s="1"/>
  <c r="J20" i="22"/>
  <c r="J43" i="22" s="1"/>
  <c r="K20" i="22"/>
  <c r="L20" i="22"/>
  <c r="M20" i="22"/>
  <c r="M43" i="22" s="1"/>
  <c r="J32" i="22"/>
  <c r="K32" i="22"/>
  <c r="L32" i="22"/>
  <c r="M32" i="22"/>
  <c r="J42" i="22"/>
  <c r="K42" i="22"/>
  <c r="L42" i="22"/>
  <c r="M42" i="22"/>
  <c r="A1" i="32"/>
  <c r="F1" i="32"/>
  <c r="D7" i="32" s="1"/>
  <c r="B1" i="5"/>
  <c r="I1" i="5"/>
  <c r="D6" i="5" s="1"/>
  <c r="B8" i="5"/>
  <c r="B9" i="5"/>
  <c r="C14" i="43"/>
  <c r="D14" i="43"/>
  <c r="F14" i="43"/>
  <c r="E14" i="43"/>
  <c r="H1" i="3"/>
  <c r="A2" i="3"/>
  <c r="A4" i="3"/>
  <c r="B18" i="3"/>
  <c r="B19" i="3"/>
  <c r="C19" i="3"/>
  <c r="A31" i="3"/>
  <c r="C31" i="3"/>
  <c r="D31" i="3"/>
  <c r="A32" i="3"/>
  <c r="C32" i="3"/>
  <c r="A33" i="3"/>
  <c r="C33" i="3"/>
  <c r="A34" i="3"/>
  <c r="C34" i="3"/>
  <c r="D34" i="3"/>
  <c r="A35" i="3"/>
  <c r="C35" i="3"/>
  <c r="A36" i="3"/>
  <c r="C36" i="3"/>
  <c r="A37" i="3"/>
  <c r="C37" i="3"/>
  <c r="A38" i="3"/>
  <c r="C38" i="3"/>
  <c r="A39" i="3"/>
  <c r="C39" i="3"/>
  <c r="A40" i="3"/>
  <c r="C40" i="3"/>
  <c r="A41" i="3"/>
  <c r="C41" i="3"/>
  <c r="A46" i="3"/>
  <c r="A47" i="3"/>
  <c r="C47" i="3"/>
  <c r="A48" i="3"/>
  <c r="C48" i="3"/>
  <c r="A49" i="3"/>
  <c r="C49" i="3"/>
  <c r="A50" i="3"/>
  <c r="C50" i="3"/>
  <c r="A51" i="3"/>
  <c r="C51" i="3"/>
  <c r="A52" i="3"/>
  <c r="C52" i="3"/>
  <c r="A53" i="3"/>
  <c r="C53" i="3"/>
  <c r="A54" i="3"/>
  <c r="C54" i="3"/>
  <c r="E58" i="3"/>
  <c r="E59" i="3"/>
  <c r="E60" i="3"/>
  <c r="E61" i="3"/>
  <c r="A1" i="43"/>
  <c r="A10" i="43"/>
  <c r="A11" i="43"/>
  <c r="A12" i="43"/>
  <c r="A13" i="43"/>
  <c r="A18" i="43"/>
  <c r="A19" i="43"/>
  <c r="A20" i="43"/>
  <c r="A21" i="43"/>
  <c r="B22" i="43"/>
  <c r="C22" i="43"/>
  <c r="D22" i="43"/>
  <c r="A49" i="43"/>
  <c r="A50" i="43"/>
  <c r="A51" i="43"/>
  <c r="A52" i="43"/>
  <c r="A58" i="43"/>
  <c r="A59" i="43"/>
  <c r="A60" i="43"/>
  <c r="A61" i="43"/>
  <c r="A82" i="43"/>
  <c r="A83" i="43"/>
  <c r="A95" i="43"/>
  <c r="A96" i="43"/>
  <c r="A97" i="43"/>
  <c r="A98" i="43"/>
  <c r="A99" i="43"/>
  <c r="A100" i="43"/>
  <c r="A101" i="43"/>
  <c r="A102" i="43"/>
  <c r="A103" i="43"/>
  <c r="A104" i="43"/>
  <c r="A105" i="43"/>
  <c r="A111" i="43"/>
  <c r="A112" i="43"/>
  <c r="A113" i="43"/>
  <c r="A114" i="43"/>
  <c r="A18" i="2"/>
  <c r="A36" i="2"/>
  <c r="A88" i="2"/>
  <c r="D88" i="2"/>
  <c r="B89" i="2"/>
  <c r="B90" i="2"/>
  <c r="A107" i="2"/>
  <c r="D108" i="2"/>
  <c r="E108" i="2"/>
  <c r="C46" i="16"/>
  <c r="C14" i="54"/>
  <c r="C59" i="55"/>
  <c r="C17" i="36"/>
  <c r="D27" i="55"/>
  <c r="B45" i="21"/>
  <c r="C59" i="54"/>
  <c r="D16" i="44"/>
  <c r="E16" i="44"/>
  <c r="E58" i="12" s="1"/>
  <c r="E72" i="12"/>
  <c r="F29" i="64" s="1"/>
  <c r="E76" i="12"/>
  <c r="D17" i="44"/>
  <c r="E17" i="44"/>
  <c r="E34" i="13"/>
  <c r="F30" i="64" s="1"/>
  <c r="D15" i="44"/>
  <c r="E15" i="44"/>
  <c r="E19" i="12" s="1"/>
  <c r="E33" i="12"/>
  <c r="F28" i="64" s="1"/>
  <c r="E37" i="12"/>
  <c r="D14" i="44"/>
  <c r="E14" i="44"/>
  <c r="E72" i="11"/>
  <c r="F27" i="64" s="1"/>
  <c r="D13" i="44"/>
  <c r="E13" i="44"/>
  <c r="E18" i="11" s="1"/>
  <c r="E32" i="11"/>
  <c r="F26" i="64" s="1"/>
  <c r="F38" i="11"/>
  <c r="D12" i="44"/>
  <c r="E12" i="44"/>
  <c r="E58" i="10" s="1"/>
  <c r="E72" i="10"/>
  <c r="F25" i="64" s="1"/>
  <c r="D11" i="44"/>
  <c r="E33" i="10"/>
  <c r="F24" i="64" s="1"/>
  <c r="D10" i="44"/>
  <c r="E10" i="44"/>
  <c r="E56" i="8" s="1"/>
  <c r="E71" i="8"/>
  <c r="F23" i="64" s="1"/>
  <c r="D9" i="44"/>
  <c r="E9" i="44"/>
  <c r="E18" i="8" s="1"/>
  <c r="E32" i="8"/>
  <c r="F22" i="64" s="1"/>
  <c r="D8" i="44"/>
  <c r="E8" i="44"/>
  <c r="E58" i="34" s="1"/>
  <c r="E73" i="34"/>
  <c r="F21" i="64" s="1"/>
  <c r="D7" i="44"/>
  <c r="E7" i="44"/>
  <c r="E18" i="34" s="1"/>
  <c r="E33" i="34"/>
  <c r="F20" i="64" s="1"/>
  <c r="D18" i="44"/>
  <c r="E18" i="44"/>
  <c r="E59" i="13" s="1"/>
  <c r="E73" i="13"/>
  <c r="F31" i="64" s="1"/>
  <c r="D59" i="54"/>
  <c r="D27" i="54"/>
  <c r="J53" i="8"/>
  <c r="J54" i="8"/>
  <c r="J54" i="10"/>
  <c r="J55" i="10"/>
  <c r="J55" i="13"/>
  <c r="J56" i="13"/>
  <c r="J52" i="8"/>
  <c r="J14" i="34"/>
  <c r="J53" i="10"/>
  <c r="J54" i="13"/>
  <c r="J55" i="34"/>
  <c r="J56" i="34"/>
  <c r="J54" i="34"/>
  <c r="J13" i="11"/>
  <c r="J14" i="10"/>
  <c r="J15" i="13"/>
  <c r="J91" i="7"/>
  <c r="J92" i="7"/>
  <c r="J13" i="8"/>
  <c r="J54" i="11"/>
  <c r="J55" i="11"/>
  <c r="J53" i="11"/>
  <c r="J54" i="12"/>
  <c r="J55" i="12"/>
  <c r="J53" i="12"/>
  <c r="J90" i="7"/>
  <c r="E43" i="36"/>
  <c r="E46" i="36"/>
  <c r="E46" i="35"/>
  <c r="D47" i="3"/>
  <c r="E59" i="54"/>
  <c r="E30" i="54"/>
  <c r="D43" i="3"/>
  <c r="F44" i="21"/>
  <c r="E27" i="19"/>
  <c r="F42" i="21"/>
  <c r="E30" i="19"/>
  <c r="E62" i="18"/>
  <c r="F41" i="21"/>
  <c r="E59" i="18"/>
  <c r="E61" i="16"/>
  <c r="D36" i="3"/>
  <c r="E60" i="15"/>
  <c r="E29" i="15"/>
  <c r="C27" i="19"/>
  <c r="B42" i="21"/>
  <c r="E78" i="7"/>
  <c r="E27" i="55"/>
  <c r="F46" i="21"/>
  <c r="D45" i="3"/>
  <c r="D78" i="7"/>
  <c r="F18" i="41"/>
  <c r="F29" i="41" s="1"/>
  <c r="F30" i="41" s="1"/>
  <c r="D42" i="21"/>
  <c r="C80" i="7"/>
  <c r="H18" i="42"/>
  <c r="H29" i="42" s="1"/>
  <c r="H30" i="42" s="1"/>
  <c r="D33" i="21"/>
  <c r="D58" i="14"/>
  <c r="F34" i="21"/>
  <c r="D33" i="3"/>
  <c r="C16" i="55"/>
  <c r="C46" i="54"/>
  <c r="C48" i="54"/>
  <c r="C61" i="54"/>
  <c r="C66" i="54" s="1"/>
  <c r="D27" i="17"/>
  <c r="D28" i="21"/>
  <c r="D45" i="21"/>
  <c r="D44" i="3"/>
  <c r="G14" i="5"/>
  <c r="E52" i="10" s="1"/>
  <c r="G19" i="5"/>
  <c r="E13" i="13" s="1"/>
  <c r="G15" i="5"/>
  <c r="E13" i="11" s="1"/>
  <c r="G11" i="5"/>
  <c r="E13" i="8" s="1"/>
  <c r="G18" i="5"/>
  <c r="E52" i="12" s="1"/>
  <c r="G17" i="5"/>
  <c r="E13" i="12" s="1"/>
  <c r="G13" i="5"/>
  <c r="E13" i="10" s="1"/>
  <c r="G20" i="5"/>
  <c r="E53" i="13"/>
  <c r="G16" i="5"/>
  <c r="E51" i="11"/>
  <c r="G12" i="5"/>
  <c r="E51" i="8" s="1"/>
  <c r="H19" i="5"/>
  <c r="E14" i="13" s="1"/>
  <c r="H15" i="5"/>
  <c r="E14" i="11" s="1"/>
  <c r="H11" i="5"/>
  <c r="E14" i="8"/>
  <c r="H17" i="5"/>
  <c r="E14" i="12" s="1"/>
  <c r="H18" i="5"/>
  <c r="E53" i="12" s="1"/>
  <c r="H14" i="5"/>
  <c r="E53" i="10" s="1"/>
  <c r="H13" i="5"/>
  <c r="E14" i="10"/>
  <c r="H20" i="5"/>
  <c r="E54" i="13" s="1"/>
  <c r="H16" i="5"/>
  <c r="E52" i="11" s="1"/>
  <c r="H12" i="5"/>
  <c r="E52" i="8" s="1"/>
  <c r="F13" i="5"/>
  <c r="E12" i="10"/>
  <c r="F18" i="5"/>
  <c r="E51" i="12" s="1"/>
  <c r="D15" i="5"/>
  <c r="E10" i="11" s="1"/>
  <c r="D14" i="5"/>
  <c r="E49" i="10" s="1"/>
  <c r="D17" i="5"/>
  <c r="E10" i="12" s="1"/>
  <c r="D16" i="5"/>
  <c r="E48" i="11" s="1"/>
  <c r="D20" i="5"/>
  <c r="E50" i="13" s="1"/>
  <c r="D13" i="5"/>
  <c r="E10" i="10" s="1"/>
  <c r="D18" i="5"/>
  <c r="E49" i="12" s="1"/>
  <c r="D11" i="5"/>
  <c r="E10" i="8" s="1"/>
  <c r="D19" i="5"/>
  <c r="E10" i="13" s="1"/>
  <c r="D12" i="5"/>
  <c r="E48" i="8" s="1"/>
  <c r="E17" i="5"/>
  <c r="E11" i="12" s="1"/>
  <c r="E13" i="5"/>
  <c r="E11" i="10" s="1"/>
  <c r="E20" i="5"/>
  <c r="E51" i="13" s="1"/>
  <c r="E16" i="5"/>
  <c r="E49" i="11"/>
  <c r="E12" i="5"/>
  <c r="E49" i="8" s="1"/>
  <c r="E15" i="5"/>
  <c r="E11" i="11" s="1"/>
  <c r="E11" i="5"/>
  <c r="E11" i="8" s="1"/>
  <c r="E14" i="5"/>
  <c r="E50" i="10"/>
  <c r="E18" i="5"/>
  <c r="E50" i="12" s="1"/>
  <c r="E19" i="5"/>
  <c r="E11" i="13" s="1"/>
  <c r="F17" i="5"/>
  <c r="E12" i="12" s="1"/>
  <c r="F16" i="5"/>
  <c r="E50" i="11" s="1"/>
  <c r="F15" i="5"/>
  <c r="E12" i="11" s="1"/>
  <c r="F20" i="5"/>
  <c r="E52" i="13" s="1"/>
  <c r="F14" i="5"/>
  <c r="E51" i="10" s="1"/>
  <c r="F12" i="5"/>
  <c r="E50" i="8"/>
  <c r="F19" i="5"/>
  <c r="E12" i="13"/>
  <c r="F11" i="5"/>
  <c r="E12" i="8" s="1"/>
  <c r="E58" i="11"/>
  <c r="E19" i="13"/>
  <c r="C71" i="11"/>
  <c r="G64" i="11"/>
  <c r="G64" i="10"/>
  <c r="C71" i="10"/>
  <c r="D31" i="8"/>
  <c r="C60" i="34"/>
  <c r="E5" i="7"/>
  <c r="E64" i="7" s="1"/>
  <c r="E6" i="44"/>
  <c r="E52" i="7" s="1"/>
  <c r="D19" i="3"/>
  <c r="E37" i="34"/>
  <c r="F38" i="34"/>
  <c r="F80" i="10"/>
  <c r="D22" i="3"/>
  <c r="E71" i="10"/>
  <c r="F25" i="21"/>
  <c r="E35" i="34"/>
  <c r="F20" i="21"/>
  <c r="E32" i="34"/>
  <c r="E79" i="7"/>
  <c r="D129" i="9"/>
  <c r="C15" i="14"/>
  <c r="C17" i="14"/>
  <c r="C29" i="14"/>
  <c r="C32" i="14" s="1"/>
  <c r="D6" i="14"/>
  <c r="D18" i="42"/>
  <c r="J18" i="41"/>
  <c r="C19" i="37"/>
  <c r="C45" i="37" s="1"/>
  <c r="C17" i="37"/>
  <c r="B38" i="21"/>
  <c r="C27" i="17"/>
  <c r="B39" i="21"/>
  <c r="C58" i="17"/>
  <c r="B29" i="39"/>
  <c r="B37" i="21"/>
  <c r="C58" i="16"/>
  <c r="D72" i="13"/>
  <c r="B46" i="21"/>
  <c r="C31" i="55"/>
  <c r="C32" i="12"/>
  <c r="D31" i="54"/>
  <c r="D29" i="42"/>
  <c r="D30" i="42"/>
  <c r="B30" i="18"/>
  <c r="D47" i="38"/>
  <c r="D43" i="38"/>
  <c r="C43" i="37"/>
  <c r="F50" i="21"/>
  <c r="D43" i="37"/>
  <c r="D49" i="3"/>
  <c r="E43" i="37"/>
  <c r="D47" i="36"/>
  <c r="C19" i="35"/>
  <c r="C45" i="35"/>
  <c r="C50" i="35"/>
  <c r="D63" i="54"/>
  <c r="E62" i="54"/>
  <c r="C48" i="19"/>
  <c r="C61" i="19" s="1"/>
  <c r="D31" i="19"/>
  <c r="D59" i="19"/>
  <c r="D43" i="21"/>
  <c r="C63" i="19"/>
  <c r="E59" i="19"/>
  <c r="E62" i="19"/>
  <c r="F43" i="21"/>
  <c r="F40" i="21"/>
  <c r="C16" i="18"/>
  <c r="C29" i="18" s="1"/>
  <c r="E27" i="18"/>
  <c r="D39" i="3"/>
  <c r="D27" i="18"/>
  <c r="C45" i="17"/>
  <c r="C14" i="17"/>
  <c r="E61" i="17"/>
  <c r="B30" i="17"/>
  <c r="C31" i="16"/>
  <c r="D14" i="16"/>
  <c r="C14" i="16"/>
  <c r="D26" i="15"/>
  <c r="C26" i="15"/>
  <c r="D61" i="15"/>
  <c r="C44" i="15"/>
  <c r="D5" i="14"/>
  <c r="D36" i="14" s="1"/>
  <c r="B61" i="14"/>
  <c r="C48" i="14"/>
  <c r="C60" i="14" s="1"/>
  <c r="B30" i="14"/>
  <c r="E27" i="14"/>
  <c r="C5" i="14"/>
  <c r="C36" i="14" s="1"/>
  <c r="E5" i="14"/>
  <c r="E36" i="14" s="1"/>
  <c r="F80" i="12"/>
  <c r="F29" i="21"/>
  <c r="F38" i="12"/>
  <c r="E32" i="12"/>
  <c r="D27" i="3"/>
  <c r="F28" i="21"/>
  <c r="E35" i="12"/>
  <c r="D93" i="12"/>
  <c r="D95" i="12"/>
  <c r="D71" i="12"/>
  <c r="D31" i="11"/>
  <c r="C62" i="11"/>
  <c r="C73" i="11"/>
  <c r="C22" i="10"/>
  <c r="C34" i="10" s="1"/>
  <c r="C58" i="8"/>
  <c r="G63" i="8"/>
  <c r="B23" i="21"/>
  <c r="C70" i="8"/>
  <c r="C22" i="8"/>
  <c r="C33" i="8" s="1"/>
  <c r="C20" i="34"/>
  <c r="H99" i="7"/>
  <c r="H98" i="7"/>
  <c r="C58" i="14"/>
  <c r="C62" i="14"/>
  <c r="B33" i="21"/>
  <c r="B30" i="39"/>
  <c r="B41" i="21"/>
  <c r="C59" i="18"/>
  <c r="C31" i="11"/>
  <c r="D60" i="21"/>
  <c r="F36" i="21"/>
  <c r="E27" i="16"/>
  <c r="E30" i="16"/>
  <c r="C19" i="38"/>
  <c r="C45" i="38" s="1"/>
  <c r="C17" i="38"/>
  <c r="C76" i="7"/>
  <c r="D59" i="55"/>
  <c r="D47" i="21"/>
  <c r="J18" i="39"/>
  <c r="J29" i="39" s="1"/>
  <c r="J30" i="39" s="1"/>
  <c r="K43" i="22"/>
  <c r="K28" i="42"/>
  <c r="B55" i="64" s="1"/>
  <c r="F29" i="42"/>
  <c r="F30" i="42" s="1"/>
  <c r="B28" i="21"/>
  <c r="G25" i="12"/>
  <c r="B22" i="21"/>
  <c r="C31" i="8"/>
  <c r="C48" i="55"/>
  <c r="C61" i="55"/>
  <c r="D37" i="55"/>
  <c r="D48" i="55" s="1"/>
  <c r="D61" i="55" s="1"/>
  <c r="C46" i="55"/>
  <c r="E67" i="7"/>
  <c r="B43" i="21"/>
  <c r="C59" i="19"/>
  <c r="D32" i="34"/>
  <c r="C20" i="11"/>
  <c r="C62" i="10"/>
  <c r="C73" i="10" s="1"/>
  <c r="C129" i="9"/>
  <c r="D6" i="35"/>
  <c r="D19" i="35" s="1"/>
  <c r="D45" i="35" s="1"/>
  <c r="D5" i="15"/>
  <c r="D35" i="15" s="1"/>
  <c r="B62" i="55"/>
  <c r="C5" i="54"/>
  <c r="C36" i="54" s="1"/>
  <c r="D5" i="54"/>
  <c r="D36" i="54" s="1"/>
  <c r="C5" i="55"/>
  <c r="C36" i="55" s="1"/>
  <c r="E5" i="19"/>
  <c r="E36" i="19" s="1"/>
  <c r="E5" i="54"/>
  <c r="E36" i="54" s="1"/>
  <c r="B62" i="54"/>
  <c r="B35" i="34"/>
  <c r="D5" i="34"/>
  <c r="D44" i="34" s="1"/>
  <c r="D61" i="34"/>
  <c r="D60" i="34" s="1"/>
  <c r="H9" i="5"/>
  <c r="E14" i="34" s="1"/>
  <c r="D9" i="5"/>
  <c r="D10" i="5"/>
  <c r="E49" i="34" s="1"/>
  <c r="G17" i="58" s="1"/>
  <c r="H10" i="5"/>
  <c r="E53" i="34" s="1"/>
  <c r="H25" i="11"/>
  <c r="G50" i="11"/>
  <c r="B62" i="19"/>
  <c r="E5" i="36"/>
  <c r="B61" i="17"/>
  <c r="B46" i="36"/>
  <c r="C5" i="19"/>
  <c r="C36" i="19" s="1"/>
  <c r="D5" i="36"/>
  <c r="E5" i="17"/>
  <c r="E36" i="17" s="1"/>
  <c r="H65" i="11"/>
  <c r="B34" i="11"/>
  <c r="H8" i="5"/>
  <c r="D8" i="5"/>
  <c r="E10" i="7" s="1"/>
  <c r="F9" i="5"/>
  <c r="E12" i="34" s="1"/>
  <c r="F10" i="5"/>
  <c r="E51" i="34" s="1"/>
  <c r="G19" i="58" s="1"/>
  <c r="G9" i="5"/>
  <c r="E13" i="34" s="1"/>
  <c r="G10" i="5"/>
  <c r="E9" i="5"/>
  <c r="E11" i="34" s="1"/>
  <c r="E10" i="5"/>
  <c r="E50" i="34" s="1"/>
  <c r="G18" i="58" s="1"/>
  <c r="F8" i="5"/>
  <c r="E12" i="7" s="1"/>
  <c r="G8" i="5"/>
  <c r="E13" i="7" s="1"/>
  <c r="E8" i="5"/>
  <c r="C66" i="55"/>
  <c r="F65" i="21"/>
  <c r="B24" i="21"/>
  <c r="G25" i="10"/>
  <c r="A78" i="43"/>
  <c r="A47" i="43"/>
  <c r="C79" i="10"/>
  <c r="G18" i="10"/>
  <c r="H60" i="10"/>
  <c r="D14" i="17"/>
  <c r="A72" i="43"/>
  <c r="B21" i="21"/>
  <c r="C72" i="34"/>
  <c r="G65" i="34"/>
  <c r="C97" i="34"/>
  <c r="E61" i="14"/>
  <c r="E58" i="14"/>
  <c r="D72" i="34"/>
  <c r="D21" i="21"/>
  <c r="E30" i="17"/>
  <c r="D37" i="3"/>
  <c r="E27" i="17"/>
  <c r="E62" i="55"/>
  <c r="E59" i="55"/>
  <c r="F47" i="21"/>
  <c r="D46" i="3"/>
  <c r="L43" i="22"/>
  <c r="E74" i="12"/>
  <c r="E43" i="38"/>
  <c r="F51" i="21"/>
  <c r="E46" i="38"/>
  <c r="D50" i="3"/>
  <c r="D22" i="21"/>
  <c r="C29" i="55"/>
  <c r="C32" i="55" s="1"/>
  <c r="B50" i="21"/>
  <c r="E36" i="11"/>
  <c r="F26" i="21"/>
  <c r="D48" i="21"/>
  <c r="B27" i="21"/>
  <c r="C7" i="32"/>
  <c r="C5" i="18"/>
  <c r="C36" i="18"/>
  <c r="E5" i="13"/>
  <c r="E45" i="13" s="1"/>
  <c r="D96" i="13"/>
  <c r="D30" i="21"/>
  <c r="D94" i="13"/>
  <c r="F31" i="21"/>
  <c r="E72" i="13"/>
  <c r="F30" i="21"/>
  <c r="D30" i="3"/>
  <c r="B69" i="21"/>
  <c r="J65" i="21"/>
  <c r="J63" i="21"/>
  <c r="B31" i="21"/>
  <c r="C41" i="13"/>
  <c r="G65" i="13"/>
  <c r="C61" i="13"/>
  <c r="G55" i="13"/>
  <c r="E38" i="13"/>
  <c r="G26" i="13"/>
  <c r="C33" i="13"/>
  <c r="F38" i="13"/>
  <c r="D29" i="3"/>
  <c r="C94" i="13"/>
  <c r="B38" i="13" s="1"/>
  <c r="E36" i="13"/>
  <c r="C23" i="12"/>
  <c r="C34" i="12" s="1"/>
  <c r="C71" i="12"/>
  <c r="G64" i="12"/>
  <c r="B26" i="21"/>
  <c r="D71" i="11"/>
  <c r="G24" i="11"/>
  <c r="D27" i="21"/>
  <c r="D44" i="11"/>
  <c r="D62" i="11" s="1"/>
  <c r="D73" i="11" s="1"/>
  <c r="C96" i="11"/>
  <c r="D93" i="11"/>
  <c r="D24" i="21"/>
  <c r="D32" i="10"/>
  <c r="D95" i="8"/>
  <c r="D70" i="8"/>
  <c r="H60" i="8"/>
  <c r="C34" i="34"/>
  <c r="C32" i="34"/>
  <c r="B20" i="21"/>
  <c r="D6" i="34"/>
  <c r="C96" i="34"/>
  <c r="D95" i="34"/>
  <c r="G25" i="34"/>
  <c r="H22" i="13"/>
  <c r="H26" i="13"/>
  <c r="I9" i="23"/>
  <c r="C80" i="13"/>
  <c r="E5" i="18"/>
  <c r="E36" i="18" s="1"/>
  <c r="H62" i="13"/>
  <c r="H59" i="8"/>
  <c r="H23" i="13"/>
  <c r="H27" i="13"/>
  <c r="B62" i="18"/>
  <c r="H60" i="13"/>
  <c r="E52" i="34"/>
  <c r="D20" i="8"/>
  <c r="B3" i="44"/>
  <c r="E5" i="34"/>
  <c r="E44" i="34" s="1"/>
  <c r="G51" i="34"/>
  <c r="J43" i="21"/>
  <c r="D58" i="8"/>
  <c r="J57" i="21"/>
  <c r="C80" i="34"/>
  <c r="H23" i="34"/>
  <c r="B5" i="44"/>
  <c r="D20" i="11"/>
  <c r="G55" i="34"/>
  <c r="H61" i="34"/>
  <c r="G18" i="34"/>
  <c r="C5" i="34"/>
  <c r="C44" i="34" s="1"/>
  <c r="H25" i="34"/>
  <c r="H66" i="34"/>
  <c r="C5" i="44"/>
  <c r="G15" i="34"/>
  <c r="D83" i="7" l="1"/>
  <c r="D107" i="7" s="1"/>
  <c r="G11" i="34"/>
  <c r="H22" i="34"/>
  <c r="C40" i="34"/>
  <c r="G54" i="10"/>
  <c r="G17" i="21"/>
  <c r="H20" i="34"/>
  <c r="E7" i="32"/>
  <c r="H21" i="10"/>
  <c r="C5" i="17"/>
  <c r="C36" i="17" s="1"/>
  <c r="J50" i="21"/>
  <c r="F64" i="21"/>
  <c r="D64" i="21"/>
  <c r="H61" i="10"/>
  <c r="J54" i="21"/>
  <c r="B34" i="8"/>
  <c r="C7" i="5"/>
  <c r="H62" i="10"/>
  <c r="H63" i="34"/>
  <c r="A22" i="44"/>
  <c r="B64" i="21"/>
  <c r="G10" i="8"/>
  <c r="G50" i="10"/>
  <c r="G14" i="11"/>
  <c r="C79" i="11"/>
  <c r="B30" i="54"/>
  <c r="J64" i="21"/>
  <c r="B75" i="34"/>
  <c r="G58" i="34"/>
  <c r="H21" i="13"/>
  <c r="G15" i="12"/>
  <c r="H61" i="13"/>
  <c r="H59" i="11"/>
  <c r="J62" i="21"/>
  <c r="H22" i="8"/>
  <c r="E5" i="10"/>
  <c r="E44" i="10" s="1"/>
  <c r="G17" i="11"/>
  <c r="H21" i="34"/>
  <c r="J56" i="21"/>
  <c r="J47" i="21"/>
  <c r="C39" i="8"/>
  <c r="H22" i="11"/>
  <c r="H26" i="34"/>
  <c r="B16" i="21"/>
  <c r="B76" i="58"/>
  <c r="A13" i="21"/>
  <c r="H65" i="34"/>
  <c r="C39" i="11"/>
  <c r="H19" i="11"/>
  <c r="F16" i="21"/>
  <c r="H20" i="8"/>
  <c r="B7" i="5"/>
  <c r="H21" i="11"/>
  <c r="H20" i="11"/>
  <c r="B46" i="37"/>
  <c r="H63" i="8"/>
  <c r="C5" i="10"/>
  <c r="C44" i="10" s="1"/>
  <c r="H61" i="11"/>
  <c r="H61" i="8"/>
  <c r="E21" i="5"/>
  <c r="F21" i="5"/>
  <c r="A25" i="43"/>
  <c r="A16" i="43"/>
  <c r="A57" i="43"/>
  <c r="A73" i="43"/>
  <c r="D17" i="14"/>
  <c r="D29" i="14" s="1"/>
  <c r="D32" i="14" s="1"/>
  <c r="A30" i="43"/>
  <c r="G21" i="5"/>
  <c r="H21" i="5"/>
  <c r="A55" i="43"/>
  <c r="B4" i="9"/>
  <c r="B71" i="9" s="1"/>
  <c r="D5" i="38"/>
  <c r="E5" i="8"/>
  <c r="E43" i="8" s="1"/>
  <c r="H24" i="8"/>
  <c r="G49" i="8"/>
  <c r="H65" i="10"/>
  <c r="A74" i="43"/>
  <c r="D5" i="37"/>
  <c r="B82" i="58"/>
  <c r="H21" i="8"/>
  <c r="D5" i="8"/>
  <c r="D43" i="8" s="1"/>
  <c r="G17" i="8"/>
  <c r="H22" i="10"/>
  <c r="B79" i="43"/>
  <c r="H62" i="11"/>
  <c r="G54" i="11"/>
  <c r="E5" i="55"/>
  <c r="E36" i="55" s="1"/>
  <c r="H19" i="8"/>
  <c r="B45" i="58"/>
  <c r="B75" i="13"/>
  <c r="H63" i="13"/>
  <c r="D5" i="10"/>
  <c r="D44" i="10" s="1"/>
  <c r="D5" i="18"/>
  <c r="D36" i="18" s="1"/>
  <c r="C5" i="35"/>
  <c r="G11" i="10"/>
  <c r="H25" i="10"/>
  <c r="H24" i="11"/>
  <c r="B30" i="55"/>
  <c r="G57" i="10"/>
  <c r="H66" i="13"/>
  <c r="D5" i="13"/>
  <c r="D45" i="13" s="1"/>
  <c r="B36" i="13"/>
  <c r="G56" i="8"/>
  <c r="G53" i="8"/>
  <c r="C5" i="13"/>
  <c r="C45" i="13" s="1"/>
  <c r="G15" i="10"/>
  <c r="H64" i="10"/>
  <c r="C5" i="11"/>
  <c r="C43" i="11" s="1"/>
  <c r="E5" i="11"/>
  <c r="E43" i="11" s="1"/>
  <c r="G14" i="8"/>
  <c r="H65" i="13"/>
  <c r="G19" i="13"/>
  <c r="E5" i="37"/>
  <c r="H25" i="8"/>
  <c r="B46" i="35"/>
  <c r="H20" i="10"/>
  <c r="H26" i="10"/>
  <c r="H60" i="11"/>
  <c r="B74" i="11"/>
  <c r="C78" i="8"/>
  <c r="B60" i="15"/>
  <c r="D68" i="9"/>
  <c r="B73" i="8"/>
  <c r="H59" i="10"/>
  <c r="B74" i="10"/>
  <c r="C5" i="8"/>
  <c r="C43" i="8" s="1"/>
  <c r="D4" i="9"/>
  <c r="D71" i="9" s="1"/>
  <c r="H58" i="8"/>
  <c r="H24" i="13"/>
  <c r="G12" i="13"/>
  <c r="E5" i="35"/>
  <c r="C79" i="43"/>
  <c r="G57" i="11"/>
  <c r="H64" i="11"/>
  <c r="B35" i="10"/>
  <c r="B89" i="58"/>
  <c r="A71" i="43"/>
  <c r="H23" i="10"/>
  <c r="B30" i="19"/>
  <c r="D5" i="55"/>
  <c r="D36" i="55" s="1"/>
  <c r="B31" i="32"/>
  <c r="C96" i="10"/>
  <c r="D45" i="10"/>
  <c r="D62" i="10" s="1"/>
  <c r="D73" i="10" s="1"/>
  <c r="D29" i="39"/>
  <c r="K18" i="39"/>
  <c r="C50" i="38"/>
  <c r="D6" i="38"/>
  <c r="D19" i="38" s="1"/>
  <c r="D45" i="38" s="1"/>
  <c r="C65" i="16"/>
  <c r="D37" i="16"/>
  <c r="D48" i="16" s="1"/>
  <c r="D60" i="16" s="1"/>
  <c r="C32" i="17"/>
  <c r="D6" i="17"/>
  <c r="D16" i="17" s="1"/>
  <c r="D29" i="17" s="1"/>
  <c r="D6" i="10"/>
  <c r="D22" i="10" s="1"/>
  <c r="D34" i="10" s="1"/>
  <c r="C94" i="10"/>
  <c r="C32" i="18"/>
  <c r="D6" i="18"/>
  <c r="D16" i="18" s="1"/>
  <c r="D29" i="18" s="1"/>
  <c r="D19" i="64"/>
  <c r="D56" i="64" s="1"/>
  <c r="D59" i="64" s="1"/>
  <c r="D106" i="7"/>
  <c r="D146" i="7"/>
  <c r="D19" i="21"/>
  <c r="D37" i="14"/>
  <c r="D48" i="14" s="1"/>
  <c r="D60" i="14" s="1"/>
  <c r="C65" i="14"/>
  <c r="B53" i="64"/>
  <c r="B53" i="21"/>
  <c r="D44" i="8"/>
  <c r="D60" i="8" s="1"/>
  <c r="D72" i="8" s="1"/>
  <c r="C96" i="8"/>
  <c r="B58" i="64"/>
  <c r="B58" i="21"/>
  <c r="D66" i="55"/>
  <c r="E37" i="55"/>
  <c r="E48" i="55" s="1"/>
  <c r="E61" i="55" s="1"/>
  <c r="E63" i="55" s="1"/>
  <c r="K18" i="40"/>
  <c r="B29" i="40"/>
  <c r="D22" i="34"/>
  <c r="D34" i="34" s="1"/>
  <c r="D20" i="34"/>
  <c r="C96" i="12"/>
  <c r="D45" i="12"/>
  <c r="D62" i="12" s="1"/>
  <c r="D73" i="12" s="1"/>
  <c r="C64" i="15"/>
  <c r="D36" i="15"/>
  <c r="D46" i="15" s="1"/>
  <c r="D59" i="15" s="1"/>
  <c r="D6" i="37"/>
  <c r="D19" i="37" s="1"/>
  <c r="D45" i="37" s="1"/>
  <c r="C50" i="37"/>
  <c r="K18" i="42"/>
  <c r="B29" i="42"/>
  <c r="E83" i="7"/>
  <c r="E107" i="7" s="1"/>
  <c r="F112" i="7" s="1"/>
  <c r="D6" i="11"/>
  <c r="D22" i="11" s="1"/>
  <c r="D33" i="11" s="1"/>
  <c r="C94" i="11"/>
  <c r="D6" i="15"/>
  <c r="D16" i="15" s="1"/>
  <c r="D28" i="15" s="1"/>
  <c r="C31" i="15"/>
  <c r="C50" i="36"/>
  <c r="D6" i="36"/>
  <c r="D19" i="36" s="1"/>
  <c r="D45" i="36" s="1"/>
  <c r="D96" i="11"/>
  <c r="B77" i="11" s="1"/>
  <c r="G59" i="11"/>
  <c r="E44" i="11"/>
  <c r="D65" i="17"/>
  <c r="E37" i="17"/>
  <c r="E47" i="17" s="1"/>
  <c r="E60" i="17" s="1"/>
  <c r="E62" i="17" s="1"/>
  <c r="D46" i="13"/>
  <c r="D63" i="13" s="1"/>
  <c r="D74" i="13" s="1"/>
  <c r="C97" i="13"/>
  <c r="C32" i="54"/>
  <c r="D6" i="54"/>
  <c r="D16" i="54" s="1"/>
  <c r="D29" i="54" s="1"/>
  <c r="B54" i="64"/>
  <c r="B54" i="21"/>
  <c r="E35" i="5"/>
  <c r="D34" i="5"/>
  <c r="F36" i="5"/>
  <c r="H38" i="5"/>
  <c r="G37" i="5"/>
  <c r="C94" i="12"/>
  <c r="D6" i="12"/>
  <c r="D23" i="12" s="1"/>
  <c r="D34" i="12" s="1"/>
  <c r="C66" i="19"/>
  <c r="D37" i="19"/>
  <c r="D48" i="19" s="1"/>
  <c r="D61" i="19" s="1"/>
  <c r="D50" i="35"/>
  <c r="E6" i="35"/>
  <c r="E19" i="35" s="1"/>
  <c r="E45" i="35" s="1"/>
  <c r="E47" i="35" s="1"/>
  <c r="D6" i="8"/>
  <c r="D22" i="8" s="1"/>
  <c r="D33" i="8" s="1"/>
  <c r="C94" i="8"/>
  <c r="K18" i="41"/>
  <c r="C98" i="34"/>
  <c r="D45" i="34"/>
  <c r="D62" i="34" s="1"/>
  <c r="D74" i="34" s="1"/>
  <c r="C95" i="13"/>
  <c r="D6" i="13"/>
  <c r="D23" i="13" s="1"/>
  <c r="D35" i="13" s="1"/>
  <c r="E34" i="8"/>
  <c r="B74" i="12"/>
  <c r="D6" i="55"/>
  <c r="D16" i="55" s="1"/>
  <c r="D29" i="55" s="1"/>
  <c r="C14" i="15"/>
  <c r="C61" i="15"/>
  <c r="F69" i="64"/>
  <c r="E26" i="15"/>
  <c r="H33" i="8"/>
  <c r="H72" i="8"/>
  <c r="H68" i="8"/>
  <c r="H71" i="8"/>
  <c r="H69" i="8"/>
  <c r="H32" i="8"/>
  <c r="H30" i="8"/>
  <c r="H29" i="8"/>
  <c r="B47" i="21"/>
  <c r="H64" i="12"/>
  <c r="K17" i="39"/>
  <c r="K30" i="39" s="1"/>
  <c r="E58" i="17"/>
  <c r="C16" i="19"/>
  <c r="C29" i="19" s="1"/>
  <c r="C57" i="15"/>
  <c r="E30" i="14"/>
  <c r="D51" i="21"/>
  <c r="C93" i="11"/>
  <c r="B36" i="11" s="1"/>
  <c r="C93" i="12"/>
  <c r="B37" i="12" s="1"/>
  <c r="E5" i="12"/>
  <c r="E44" i="12" s="1"/>
  <c r="D21" i="5"/>
  <c r="D32" i="21"/>
  <c r="F48" i="21"/>
  <c r="H31" i="10"/>
  <c r="H73" i="10"/>
  <c r="H33" i="10"/>
  <c r="H72" i="10"/>
  <c r="H69" i="10"/>
  <c r="H70" i="10"/>
  <c r="H34" i="10"/>
  <c r="H30" i="10"/>
  <c r="C63" i="55"/>
  <c r="H59" i="12"/>
  <c r="C48" i="18"/>
  <c r="C61" i="18" s="1"/>
  <c r="C43" i="38"/>
  <c r="B29" i="41"/>
  <c r="E5" i="16"/>
  <c r="E36" i="16" s="1"/>
  <c r="D38" i="3"/>
  <c r="D41" i="21"/>
  <c r="B49" i="21"/>
  <c r="D5" i="11"/>
  <c r="D43" i="11" s="1"/>
  <c r="H30" i="11"/>
  <c r="H29" i="11"/>
  <c r="H73" i="11"/>
  <c r="H72" i="11"/>
  <c r="H70" i="11"/>
  <c r="H32" i="11"/>
  <c r="H69" i="11"/>
  <c r="H33" i="11"/>
  <c r="D25" i="21"/>
  <c r="C77" i="7"/>
  <c r="C83" i="7" s="1"/>
  <c r="C107" i="7" s="1"/>
  <c r="B44" i="21"/>
  <c r="C95" i="12"/>
  <c r="B76" i="12" s="1"/>
  <c r="H71" i="13"/>
  <c r="H70" i="13"/>
  <c r="H35" i="13"/>
  <c r="H34" i="13"/>
  <c r="H32" i="13"/>
  <c r="H31" i="13"/>
  <c r="H74" i="13"/>
  <c r="H73" i="13"/>
  <c r="B77" i="34"/>
  <c r="D5" i="16"/>
  <c r="D36" i="16" s="1"/>
  <c r="B36" i="21"/>
  <c r="F35" i="21"/>
  <c r="E58" i="16"/>
  <c r="D43" i="35"/>
  <c r="D31" i="21"/>
  <c r="C79" i="12"/>
  <c r="H30" i="12"/>
  <c r="H72" i="12"/>
  <c r="H73" i="12"/>
  <c r="H70" i="12"/>
  <c r="H69" i="12"/>
  <c r="H34" i="12"/>
  <c r="H33" i="12"/>
  <c r="H31" i="12"/>
  <c r="C21" i="13"/>
  <c r="C5" i="12"/>
  <c r="C44" i="12" s="1"/>
  <c r="B55" i="21"/>
  <c r="C47" i="38"/>
  <c r="D39" i="21"/>
  <c r="E27" i="54"/>
  <c r="E36" i="8"/>
  <c r="D95" i="10"/>
  <c r="B76" i="10" s="1"/>
  <c r="H61" i="12"/>
  <c r="E31" i="8"/>
  <c r="D32" i="3"/>
  <c r="K17" i="40"/>
  <c r="K30" i="40" s="1"/>
  <c r="D37" i="21"/>
  <c r="G87" i="7"/>
  <c r="H109" i="7"/>
  <c r="H110" i="7"/>
  <c r="H107" i="7"/>
  <c r="H106" i="7"/>
  <c r="E14" i="7"/>
  <c r="E71" i="11"/>
  <c r="C5" i="38"/>
  <c r="D5" i="44"/>
  <c r="A32" i="44"/>
  <c r="D32" i="12"/>
  <c r="D93" i="10"/>
  <c r="B37" i="10" s="1"/>
  <c r="C31" i="54"/>
  <c r="G57" i="12"/>
  <c r="C29" i="16"/>
  <c r="C27" i="54"/>
  <c r="D37" i="54"/>
  <c r="D48" i="54" s="1"/>
  <c r="D61" i="54" s="1"/>
  <c r="E46" i="37"/>
  <c r="F22" i="21"/>
  <c r="C40" i="12"/>
  <c r="H62" i="34"/>
  <c r="H71" i="34"/>
  <c r="H70" i="34"/>
  <c r="H34" i="34"/>
  <c r="H30" i="34"/>
  <c r="H33" i="34"/>
  <c r="H31" i="34"/>
  <c r="H73" i="34"/>
  <c r="H74" i="34"/>
  <c r="E5" i="38"/>
  <c r="H21" i="12"/>
  <c r="H60" i="12"/>
  <c r="G51" i="13"/>
  <c r="C65" i="17"/>
  <c r="B7" i="43"/>
  <c r="C7" i="43"/>
  <c r="E7" i="43"/>
  <c r="D7" i="43"/>
  <c r="F7" i="43"/>
  <c r="D30" i="15"/>
  <c r="E30" i="18"/>
  <c r="D50" i="21"/>
  <c r="D21" i="3"/>
  <c r="H26" i="12"/>
  <c r="G11" i="12"/>
  <c r="H65" i="12"/>
  <c r="G16" i="13"/>
  <c r="C47" i="36"/>
  <c r="D33" i="13"/>
  <c r="C95" i="11"/>
  <c r="B76" i="11" s="1"/>
  <c r="D63" i="19"/>
  <c r="H22" i="12"/>
  <c r="D71" i="10"/>
  <c r="E75" i="13"/>
  <c r="C43" i="36"/>
  <c r="F68" i="21"/>
  <c r="B51" i="21"/>
  <c r="C30" i="15"/>
  <c r="C63" i="54"/>
  <c r="G18" i="12"/>
  <c r="H20" i="12"/>
  <c r="D42" i="3"/>
  <c r="D48" i="3"/>
  <c r="D47" i="37"/>
  <c r="B30" i="21"/>
  <c r="C93" i="8"/>
  <c r="B36" i="8" s="1"/>
  <c r="G50" i="12"/>
  <c r="H62" i="12"/>
  <c r="C5" i="16"/>
  <c r="C36" i="16" s="1"/>
  <c r="F80" i="11"/>
  <c r="D31" i="14"/>
  <c r="D34" i="21"/>
  <c r="D36" i="21"/>
  <c r="H23" i="12"/>
  <c r="G54" i="12"/>
  <c r="B61" i="16"/>
  <c r="G43" i="22"/>
  <c r="D27" i="14"/>
  <c r="D63" i="18"/>
  <c r="D26" i="21"/>
  <c r="C95" i="8"/>
  <c r="B75" i="8" s="1"/>
  <c r="F45" i="21"/>
  <c r="E21" i="10"/>
  <c r="D5" i="12"/>
  <c r="D44" i="12" s="1"/>
  <c r="B35" i="12"/>
  <c r="F39" i="21"/>
  <c r="D59" i="18"/>
  <c r="F66" i="21"/>
  <c r="F69" i="21" s="1"/>
  <c r="C31" i="14"/>
  <c r="B34" i="21"/>
  <c r="C27" i="16"/>
  <c r="D62" i="17"/>
  <c r="E77" i="13"/>
  <c r="F80" i="13"/>
  <c r="E71" i="12"/>
  <c r="D28" i="3"/>
  <c r="E76" i="11"/>
  <c r="E74" i="11"/>
  <c r="F27" i="21"/>
  <c r="D24" i="3"/>
  <c r="E73" i="8"/>
  <c r="F23" i="21"/>
  <c r="E70" i="8"/>
  <c r="E75" i="8"/>
  <c r="F80" i="8"/>
  <c r="F62" i="21"/>
  <c r="G25" i="58" s="1"/>
  <c r="D22" i="44"/>
  <c r="D24" i="44" s="1"/>
  <c r="E33" i="13"/>
  <c r="D26" i="3"/>
  <c r="D25" i="3"/>
  <c r="E31" i="11"/>
  <c r="E34" i="11"/>
  <c r="E76" i="10"/>
  <c r="E74" i="10"/>
  <c r="E35" i="10"/>
  <c r="E32" i="10"/>
  <c r="E37" i="10"/>
  <c r="D23" i="3"/>
  <c r="F24" i="21"/>
  <c r="F38" i="10"/>
  <c r="F38" i="8"/>
  <c r="E72" i="34"/>
  <c r="D20" i="3"/>
  <c r="E75" i="34"/>
  <c r="E77" i="34"/>
  <c r="F21" i="21"/>
  <c r="F80" i="34"/>
  <c r="B66" i="9"/>
  <c r="D120" i="7"/>
  <c r="D62" i="21"/>
  <c r="E25" i="58" s="1"/>
  <c r="E27" i="58"/>
  <c r="G71" i="34"/>
  <c r="G71" i="11"/>
  <c r="G32" i="10"/>
  <c r="G72" i="34"/>
  <c r="D12" i="65"/>
  <c r="G32" i="12"/>
  <c r="G71" i="10"/>
  <c r="G31" i="8"/>
  <c r="G108" i="7"/>
  <c r="G33" i="13"/>
  <c r="M61" i="21"/>
  <c r="G72" i="13"/>
  <c r="G70" i="8"/>
  <c r="G71" i="12"/>
  <c r="G31" i="11"/>
  <c r="G32" i="34"/>
  <c r="D19" i="44"/>
  <c r="E19" i="44"/>
  <c r="E61" i="11"/>
  <c r="G60" i="11" s="1"/>
  <c r="E61" i="10"/>
  <c r="G60" i="10" s="1"/>
  <c r="M64" i="64"/>
  <c r="M45" i="64"/>
  <c r="M57" i="64"/>
  <c r="E9" i="3"/>
  <c r="E62" i="3"/>
  <c r="D8" i="3"/>
  <c r="A6" i="3"/>
  <c r="B78" i="3"/>
  <c r="A7" i="3"/>
  <c r="C56" i="21"/>
  <c r="E20" i="58"/>
  <c r="G21" i="10"/>
  <c r="E21" i="11"/>
  <c r="E59" i="8"/>
  <c r="E62" i="13"/>
  <c r="E22" i="13"/>
  <c r="E22" i="12"/>
  <c r="E21" i="8"/>
  <c r="E61" i="12"/>
  <c r="E10" i="34"/>
  <c r="E21" i="34" s="1"/>
  <c r="E11" i="7"/>
  <c r="E55" i="7" s="1"/>
  <c r="E56" i="21"/>
  <c r="E6" i="14"/>
  <c r="E17" i="14" s="1"/>
  <c r="E29" i="14" s="1"/>
  <c r="E31" i="14" s="1"/>
  <c r="E61" i="34"/>
  <c r="G94" i="7"/>
  <c r="L6" i="22"/>
  <c r="H101" i="7"/>
  <c r="D5" i="7"/>
  <c r="D64" i="7" s="1"/>
  <c r="H102" i="7"/>
  <c r="B109" i="7"/>
  <c r="G91" i="7"/>
  <c r="H96" i="7"/>
  <c r="H97" i="7"/>
  <c r="J6" i="22"/>
  <c r="C5" i="7"/>
  <c r="C64" i="7" s="1"/>
  <c r="C114" i="7"/>
  <c r="D56" i="21" l="1"/>
  <c r="D59" i="21" s="1"/>
  <c r="B19" i="64"/>
  <c r="B56" i="64" s="1"/>
  <c r="B59" i="64" s="1"/>
  <c r="C108" i="7"/>
  <c r="B19" i="21"/>
  <c r="B56" i="21" s="1"/>
  <c r="B59" i="21" s="1"/>
  <c r="C146" i="7"/>
  <c r="B111" i="7" s="1"/>
  <c r="G101" i="7"/>
  <c r="C106" i="7"/>
  <c r="D37" i="18"/>
  <c r="D48" i="18" s="1"/>
  <c r="D61" i="18" s="1"/>
  <c r="C66" i="18"/>
  <c r="D6" i="19"/>
  <c r="D16" i="19" s="1"/>
  <c r="D29" i="19" s="1"/>
  <c r="C32" i="19"/>
  <c r="E6" i="13"/>
  <c r="E23" i="13" s="1"/>
  <c r="E39" i="13" s="1"/>
  <c r="E41" i="13" s="1"/>
  <c r="G21" i="13"/>
  <c r="D95" i="13"/>
  <c r="B39" i="13" s="1"/>
  <c r="D32" i="54"/>
  <c r="E6" i="54"/>
  <c r="E16" i="54" s="1"/>
  <c r="E29" i="54" s="1"/>
  <c r="E31" i="54" s="1"/>
  <c r="D65" i="14"/>
  <c r="E37" i="14"/>
  <c r="E48" i="14" s="1"/>
  <c r="E60" i="14" s="1"/>
  <c r="E62" i="14" s="1"/>
  <c r="B30" i="42"/>
  <c r="K29" i="42"/>
  <c r="D98" i="34"/>
  <c r="E45" i="34"/>
  <c r="G60" i="34"/>
  <c r="D50" i="37"/>
  <c r="E6" i="37"/>
  <c r="E19" i="37" s="1"/>
  <c r="E45" i="37" s="1"/>
  <c r="E47" i="37" s="1"/>
  <c r="B78" i="34"/>
  <c r="G60" i="13"/>
  <c r="E46" i="13"/>
  <c r="D97" i="13"/>
  <c r="B78" i="13" s="1"/>
  <c r="E36" i="15"/>
  <c r="E46" i="15" s="1"/>
  <c r="E59" i="15" s="1"/>
  <c r="E61" i="15" s="1"/>
  <c r="D64" i="15"/>
  <c r="D66" i="54"/>
  <c r="E37" i="54"/>
  <c r="E48" i="54" s="1"/>
  <c r="E61" i="54" s="1"/>
  <c r="E63" i="54" s="1"/>
  <c r="E45" i="12"/>
  <c r="D96" i="12"/>
  <c r="B77" i="12" s="1"/>
  <c r="G59" i="12"/>
  <c r="B38" i="10"/>
  <c r="G20" i="34"/>
  <c r="D96" i="34"/>
  <c r="B38" i="34" s="1"/>
  <c r="E6" i="34"/>
  <c r="D94" i="10"/>
  <c r="G20" i="10"/>
  <c r="E6" i="10"/>
  <c r="E22" i="10" s="1"/>
  <c r="E38" i="10" s="1"/>
  <c r="E40" i="10" s="1"/>
  <c r="E20" i="10" s="1"/>
  <c r="D66" i="19"/>
  <c r="E37" i="19"/>
  <c r="E48" i="19" s="1"/>
  <c r="E61" i="19" s="1"/>
  <c r="E63" i="19" s="1"/>
  <c r="D50" i="36"/>
  <c r="E6" i="36"/>
  <c r="E19" i="36" s="1"/>
  <c r="E45" i="36" s="1"/>
  <c r="E47" i="36" s="1"/>
  <c r="B30" i="40"/>
  <c r="K29" i="40"/>
  <c r="D32" i="17"/>
  <c r="E6" i="17"/>
  <c r="E16" i="17" s="1"/>
  <c r="E29" i="17" s="1"/>
  <c r="E31" i="17" s="1"/>
  <c r="D32" i="18"/>
  <c r="E6" i="18"/>
  <c r="E16" i="18" s="1"/>
  <c r="E29" i="18" s="1"/>
  <c r="E31" i="18" s="1"/>
  <c r="D6" i="16"/>
  <c r="D16" i="16" s="1"/>
  <c r="D29" i="16" s="1"/>
  <c r="C32" i="16"/>
  <c r="D94" i="12"/>
  <c r="B38" i="12" s="1"/>
  <c r="E6" i="12"/>
  <c r="G20" i="12"/>
  <c r="E37" i="16"/>
  <c r="E48" i="16" s="1"/>
  <c r="E60" i="16" s="1"/>
  <c r="E62" i="16" s="1"/>
  <c r="D65" i="16"/>
  <c r="E6" i="8"/>
  <c r="E22" i="8" s="1"/>
  <c r="E37" i="8" s="1"/>
  <c r="E39" i="8" s="1"/>
  <c r="E20" i="8" s="1"/>
  <c r="D94" i="8"/>
  <c r="B37" i="8" s="1"/>
  <c r="G19" i="8"/>
  <c r="E6" i="15"/>
  <c r="E16" i="15" s="1"/>
  <c r="E28" i="15" s="1"/>
  <c r="E30" i="15" s="1"/>
  <c r="D31" i="15"/>
  <c r="D50" i="38"/>
  <c r="E6" i="38"/>
  <c r="E19" i="38" s="1"/>
  <c r="E45" i="38" s="1"/>
  <c r="E47" i="38" s="1"/>
  <c r="G19" i="11"/>
  <c r="D94" i="11"/>
  <c r="B37" i="11" s="1"/>
  <c r="E6" i="11"/>
  <c r="E22" i="11" s="1"/>
  <c r="E37" i="11" s="1"/>
  <c r="E39" i="11" s="1"/>
  <c r="B76" i="8"/>
  <c r="M64" i="21"/>
  <c r="D32" i="55"/>
  <c r="E6" i="55"/>
  <c r="E16" i="55" s="1"/>
  <c r="E29" i="55" s="1"/>
  <c r="E31" i="55" s="1"/>
  <c r="F19" i="64"/>
  <c r="F56" i="64" s="1"/>
  <c r="F59" i="64" s="1"/>
  <c r="F19" i="21"/>
  <c r="E111" i="7"/>
  <c r="E109" i="7"/>
  <c r="D18" i="3"/>
  <c r="D55" i="3" s="1"/>
  <c r="E106" i="7"/>
  <c r="D96" i="8"/>
  <c r="G58" i="8"/>
  <c r="E44" i="8"/>
  <c r="E60" i="8" s="1"/>
  <c r="E76" i="8" s="1"/>
  <c r="E78" i="8" s="1"/>
  <c r="K29" i="39"/>
  <c r="D30" i="39"/>
  <c r="B30" i="41"/>
  <c r="K29" i="41"/>
  <c r="G59" i="10"/>
  <c r="E45" i="10"/>
  <c r="E62" i="10" s="1"/>
  <c r="E77" i="10" s="1"/>
  <c r="E79" i="10" s="1"/>
  <c r="E60" i="10" s="1"/>
  <c r="D96" i="10"/>
  <c r="B77" i="10" s="1"/>
  <c r="F56" i="21"/>
  <c r="F59" i="21" s="1"/>
  <c r="M45" i="21"/>
  <c r="E62" i="11"/>
  <c r="E77" i="11" s="1"/>
  <c r="E79" i="11" s="1"/>
  <c r="E60" i="11" s="1"/>
  <c r="E26" i="58"/>
  <c r="G35" i="13"/>
  <c r="G74" i="13"/>
  <c r="G73" i="12"/>
  <c r="G34" i="12"/>
  <c r="G33" i="11"/>
  <c r="G73" i="11"/>
  <c r="G72" i="8"/>
  <c r="G73" i="10"/>
  <c r="G34" i="10"/>
  <c r="G74" i="34"/>
  <c r="G33" i="8"/>
  <c r="G110" i="7"/>
  <c r="G34" i="34"/>
  <c r="M49" i="21"/>
  <c r="M57" i="21" s="1"/>
  <c r="E23" i="12"/>
  <c r="E38" i="12" s="1"/>
  <c r="E40" i="12" s="1"/>
  <c r="G21" i="12"/>
  <c r="G22" i="13"/>
  <c r="G59" i="8"/>
  <c r="G20" i="11"/>
  <c r="G97" i="7"/>
  <c r="E62" i="34"/>
  <c r="E78" i="34" s="1"/>
  <c r="E80" i="34" s="1"/>
  <c r="E60" i="34" s="1"/>
  <c r="G61" i="34"/>
  <c r="E24" i="3"/>
  <c r="G61" i="13"/>
  <c r="E63" i="13"/>
  <c r="E78" i="13" s="1"/>
  <c r="E80" i="13" s="1"/>
  <c r="E22" i="34"/>
  <c r="E38" i="34" s="1"/>
  <c r="E40" i="34" s="1"/>
  <c r="G21" i="34"/>
  <c r="G60" i="12"/>
  <c r="E62" i="12"/>
  <c r="E77" i="12" s="1"/>
  <c r="E79" i="12" s="1"/>
  <c r="G20" i="8"/>
  <c r="G24" i="21"/>
  <c r="H24" i="21" s="1"/>
  <c r="G30" i="10" s="1"/>
  <c r="E23" i="3"/>
  <c r="G61" i="10" l="1"/>
  <c r="K61" i="10" s="1"/>
  <c r="D32" i="19"/>
  <c r="E6" i="19"/>
  <c r="E16" i="19" s="1"/>
  <c r="E29" i="19" s="1"/>
  <c r="E31" i="19" s="1"/>
  <c r="D66" i="18"/>
  <c r="E37" i="18"/>
  <c r="E48" i="18" s="1"/>
  <c r="E61" i="18" s="1"/>
  <c r="E63" i="18" s="1"/>
  <c r="D32" i="16"/>
  <c r="E6" i="16"/>
  <c r="E16" i="16" s="1"/>
  <c r="E29" i="16" s="1"/>
  <c r="E31" i="16" s="1"/>
  <c r="G25" i="21"/>
  <c r="G25" i="64"/>
  <c r="H25" i="64" s="1"/>
  <c r="H25" i="21"/>
  <c r="G69" i="10" s="1"/>
  <c r="E26" i="3"/>
  <c r="G22" i="10"/>
  <c r="K22" i="10" s="1"/>
  <c r="G24" i="64"/>
  <c r="H24" i="64" s="1"/>
  <c r="C147" i="7"/>
  <c r="D6" i="7"/>
  <c r="D56" i="7" s="1"/>
  <c r="G27" i="64"/>
  <c r="H27" i="64" s="1"/>
  <c r="G61" i="11"/>
  <c r="K61" i="11" s="1"/>
  <c r="G27" i="21"/>
  <c r="H27" i="21" s="1"/>
  <c r="G69" i="11" s="1"/>
  <c r="G23" i="10"/>
  <c r="G26" i="10" s="1"/>
  <c r="G28" i="64"/>
  <c r="H28" i="64" s="1"/>
  <c r="G26" i="64"/>
  <c r="H26" i="64" s="1"/>
  <c r="E20" i="34"/>
  <c r="G20" i="64"/>
  <c r="H20" i="64" s="1"/>
  <c r="E20" i="11"/>
  <c r="G29" i="64"/>
  <c r="H29" i="64" s="1"/>
  <c r="G23" i="64"/>
  <c r="H23" i="64" s="1"/>
  <c r="G31" i="64"/>
  <c r="H31" i="64" s="1"/>
  <c r="G21" i="64"/>
  <c r="H21" i="64" s="1"/>
  <c r="G22" i="64"/>
  <c r="H22" i="64" s="1"/>
  <c r="E61" i="13"/>
  <c r="G30" i="64"/>
  <c r="H30" i="64" s="1"/>
  <c r="G61" i="12"/>
  <c r="K61" i="12" s="1"/>
  <c r="G29" i="21"/>
  <c r="H29" i="21" s="1"/>
  <c r="G69" i="12" s="1"/>
  <c r="E28" i="3"/>
  <c r="H23" i="21"/>
  <c r="G68" i="8" s="1"/>
  <c r="E22" i="3"/>
  <c r="G23" i="21"/>
  <c r="G60" i="8"/>
  <c r="K60" i="8" s="1"/>
  <c r="G28" i="21"/>
  <c r="E27" i="3"/>
  <c r="H28" i="21"/>
  <c r="G30" i="12" s="1"/>
  <c r="G22" i="12"/>
  <c r="K22" i="12" s="1"/>
  <c r="E58" i="8"/>
  <c r="G62" i="10"/>
  <c r="G65" i="10" s="1"/>
  <c r="E19" i="3"/>
  <c r="G22" i="34"/>
  <c r="K22" i="34" s="1"/>
  <c r="G20" i="21"/>
  <c r="H20" i="21" s="1"/>
  <c r="G30" i="34" s="1"/>
  <c r="E25" i="3"/>
  <c r="G26" i="21"/>
  <c r="H26" i="21"/>
  <c r="G29" i="11" s="1"/>
  <c r="G21" i="11"/>
  <c r="K21" i="11" s="1"/>
  <c r="E29" i="3"/>
  <c r="G30" i="21"/>
  <c r="H30" i="21" s="1"/>
  <c r="G31" i="13" s="1"/>
  <c r="G23" i="13"/>
  <c r="K23" i="13" s="1"/>
  <c r="E21" i="13"/>
  <c r="E21" i="3"/>
  <c r="G22" i="21"/>
  <c r="H22" i="21" s="1"/>
  <c r="G29" i="8" s="1"/>
  <c r="G21" i="8"/>
  <c r="K21" i="8" s="1"/>
  <c r="G62" i="13"/>
  <c r="K62" i="13" s="1"/>
  <c r="E30" i="3"/>
  <c r="G31" i="21"/>
  <c r="H31" i="21"/>
  <c r="G70" i="13" s="1"/>
  <c r="E60" i="12"/>
  <c r="G15" i="58"/>
  <c r="G20" i="58" s="1"/>
  <c r="G62" i="34"/>
  <c r="K62" i="34" s="1"/>
  <c r="E20" i="3"/>
  <c r="G21" i="21"/>
  <c r="H21" i="21" s="1"/>
  <c r="G70" i="34" s="1"/>
  <c r="E21" i="12"/>
  <c r="D108" i="7" l="1"/>
  <c r="D65" i="7"/>
  <c r="G62" i="11"/>
  <c r="G65" i="11" s="1"/>
  <c r="G22" i="8"/>
  <c r="G25" i="8" s="1"/>
  <c r="G63" i="13"/>
  <c r="G66" i="13" s="1"/>
  <c r="G61" i="8"/>
  <c r="G64" i="8" s="1"/>
  <c r="G62" i="12"/>
  <c r="G65" i="12" s="1"/>
  <c r="G24" i="13"/>
  <c r="G27" i="13" s="1"/>
  <c r="G23" i="12"/>
  <c r="G26" i="12" s="1"/>
  <c r="G22" i="11"/>
  <c r="G25" i="11" s="1"/>
  <c r="G27" i="58"/>
  <c r="E28" i="58" s="1"/>
  <c r="D29" i="58" s="1"/>
  <c r="D22" i="58"/>
  <c r="F31" i="58" s="1"/>
  <c r="F84" i="34" s="1"/>
  <c r="E21" i="58"/>
  <c r="G63" i="34"/>
  <c r="G66" i="34" s="1"/>
  <c r="G23" i="34"/>
  <c r="G26" i="34" s="1"/>
  <c r="D147" i="7" l="1"/>
  <c r="B112" i="7" s="1"/>
  <c r="G96" i="7"/>
  <c r="E6" i="7"/>
  <c r="E56" i="7" s="1"/>
  <c r="M65" i="21"/>
  <c r="E112" i="7" l="1"/>
  <c r="E114" i="7" s="1"/>
  <c r="E65" i="7"/>
  <c r="H19" i="21" l="1"/>
  <c r="E18" i="3"/>
  <c r="E55" i="3" s="1"/>
  <c r="G98" i="7"/>
  <c r="G19" i="64"/>
  <c r="G56" i="64" s="1"/>
  <c r="M56" i="64" s="1"/>
  <c r="M58" i="64" s="1"/>
  <c r="G19" i="21"/>
  <c r="G56" i="21" s="1"/>
  <c r="M56" i="21" s="1"/>
  <c r="M58" i="21" s="1"/>
  <c r="E54" i="7"/>
  <c r="H19" i="64"/>
  <c r="H56" i="64" s="1"/>
  <c r="M51" i="64" l="1"/>
  <c r="J51" i="64" s="1"/>
  <c r="M52" i="64"/>
  <c r="J52" i="64" s="1"/>
  <c r="M67" i="64"/>
  <c r="J69" i="64" s="1"/>
  <c r="M62" i="64"/>
  <c r="K98" i="7"/>
  <c r="G99" i="7"/>
  <c r="G102" i="7" s="1"/>
  <c r="M52" i="21"/>
  <c r="J52" i="21" s="1"/>
  <c r="M51" i="21"/>
  <c r="J51" i="21" s="1"/>
  <c r="G106" i="7"/>
  <c r="H56" i="21"/>
  <c r="M62" i="21" l="1"/>
  <c r="G33" i="12"/>
  <c r="J36" i="12" s="1"/>
  <c r="G38" i="12" s="1"/>
  <c r="G32" i="8"/>
  <c r="J35" i="8" s="1"/>
  <c r="G37" i="8" s="1"/>
  <c r="M67" i="21"/>
  <c r="J69" i="21" s="1"/>
  <c r="G73" i="13"/>
  <c r="J76" i="13" s="1"/>
  <c r="G78" i="13" s="1"/>
  <c r="G33" i="10"/>
  <c r="J36" i="10" s="1"/>
  <c r="G38" i="10" s="1"/>
  <c r="G32" i="11"/>
  <c r="J35" i="11" s="1"/>
  <c r="G37" i="11" s="1"/>
  <c r="G12" i="65"/>
  <c r="G72" i="11"/>
  <c r="J75" i="11" s="1"/>
  <c r="G77" i="11" s="1"/>
  <c r="G33" i="34"/>
  <c r="J36" i="34" s="1"/>
  <c r="G38" i="34" s="1"/>
  <c r="G72" i="10"/>
  <c r="J75" i="10" s="1"/>
  <c r="G77" i="10" s="1"/>
  <c r="G34" i="13"/>
  <c r="J37" i="13" s="1"/>
  <c r="G39" i="13" s="1"/>
  <c r="G72" i="12"/>
  <c r="J75" i="12" s="1"/>
  <c r="G77" i="12" s="1"/>
  <c r="G71" i="8"/>
  <c r="J74" i="8" s="1"/>
  <c r="G76" i="8" s="1"/>
  <c r="G73" i="34"/>
  <c r="J76" i="34" s="1"/>
  <c r="G78" i="34" s="1"/>
  <c r="G109" i="7"/>
  <c r="J112" i="7" s="1"/>
  <c r="G114" i="7" s="1"/>
</calcChain>
</file>

<file path=xl/sharedStrings.xml><?xml version="1.0" encoding="utf-8"?>
<sst xmlns="http://schemas.openxmlformats.org/spreadsheetml/2006/main" count="2206" uniqueCount="986">
  <si>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</si>
  <si>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</si>
  <si>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</si>
  <si>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</si>
  <si>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</si>
  <si>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</si>
  <si>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</si>
  <si>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</si>
  <si>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</si>
  <si>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</si>
  <si>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</si>
  <si>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</si>
  <si>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16/20M Vehicle Tax</t>
  </si>
  <si>
    <t>Gross Earning (Intangible) Tax</t>
  </si>
  <si>
    <t>Special Highway</t>
  </si>
  <si>
    <t>State of Kansas Gas Tax</t>
  </si>
  <si>
    <t xml:space="preserve">  State Assessed</t>
  </si>
  <si>
    <t xml:space="preserve">  New Improvements</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</si>
  <si>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</si>
  <si>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</si>
  <si>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</si>
  <si>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</si>
  <si>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</si>
  <si>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</si>
  <si>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</si>
  <si>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</si>
  <si>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</si>
  <si>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</si>
  <si>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</si>
  <si>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</si>
  <si>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</si>
  <si>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</si>
  <si>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</si>
  <si>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</si>
  <si>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</si>
  <si>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</si>
  <si>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</si>
  <si>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</si>
  <si>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</si>
  <si>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</si>
  <si>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</si>
  <si>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</si>
  <si>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</si>
  <si>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</si>
  <si>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</si>
  <si>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</si>
  <si>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</si>
  <si>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</si>
  <si>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</si>
  <si>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</si>
  <si>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</si>
  <si>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</si>
  <si>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</si>
  <si>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</si>
  <si>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</si>
  <si>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</si>
  <si>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</si>
  <si>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</si>
  <si>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</si>
  <si>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</si>
  <si>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</si>
  <si>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</si>
  <si>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</si>
  <si>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</si>
  <si>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</si>
  <si>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t>
  </si>
  <si>
    <t>Non-Budgeted Funds-C</t>
  </si>
  <si>
    <t>Non-Budgeted Funds-D</t>
  </si>
  <si>
    <t>Non-Budgeted Funds-B</t>
  </si>
  <si>
    <t>Non-Budgeted Funds-A</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</si>
  <si>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</si>
  <si>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</si>
  <si>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</si>
  <si>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</si>
  <si>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</si>
  <si>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</si>
  <si>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</si>
  <si>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</si>
  <si>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</si>
  <si>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</si>
  <si>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</si>
  <si>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</si>
  <si>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</si>
  <si>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</si>
  <si>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</si>
  <si>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</si>
  <si>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</si>
  <si>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</si>
  <si>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</si>
  <si>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</si>
  <si>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</si>
  <si>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</si>
  <si>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</si>
  <si>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t>
  </si>
  <si>
    <t>**Note: The two bold yellow figures should agree.</t>
  </si>
  <si>
    <t>**Note: These two block figures should agree.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</si>
  <si>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</si>
  <si>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</si>
  <si>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</si>
  <si>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</si>
  <si>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</si>
  <si>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1st</t>
  </si>
  <si>
    <t>2nd</t>
  </si>
  <si>
    <t>3rd</t>
  </si>
  <si>
    <t>Total Assessed Valuation</t>
  </si>
  <si>
    <t>certify that: (1) the hearing mentioned in the attached publication was held; (2) after the Budget Hearing this budget</t>
  </si>
  <si>
    <t>Attest:_____________________,</t>
  </si>
  <si>
    <t>Recreational Vehicle</t>
  </si>
  <si>
    <t xml:space="preserve">16\20 M Vehicle </t>
  </si>
  <si>
    <t xml:space="preserve">Motor              Vehicle </t>
  </si>
  <si>
    <t>Total Vehicle Tax Estimates</t>
  </si>
  <si>
    <r>
      <t>**</t>
    </r>
    <r>
      <rPr>
        <b/>
        <u/>
        <sz val="12"/>
        <rFont val="Times New Roman"/>
        <family val="1"/>
      </rPr>
      <t>Note</t>
    </r>
    <r>
      <rPr>
        <sz val="12"/>
        <rFont val="Times New Roman"/>
        <family val="1"/>
      </rPr>
      <t>: The delinquency rate can be up to 5% more than the actual delinquency rate from the previous year.</t>
    </r>
  </si>
  <si>
    <t xml:space="preserve">Neighborhood Revitalization </t>
  </si>
  <si>
    <t>Funds</t>
  </si>
  <si>
    <t xml:space="preserve">expenditure amounts should reflect the amended </t>
  </si>
  <si>
    <t>expenditure amounts.</t>
  </si>
  <si>
    <t>Neigborhood Revitalization Rebate</t>
  </si>
  <si>
    <t>Neighborhood Revitalization Rebate</t>
  </si>
  <si>
    <t>Miscellaneous</t>
  </si>
  <si>
    <t>Does miscellaneous exceed 10% of Total Expenditure</t>
  </si>
  <si>
    <t>Does miscellaneous exceed 10% of Total Receipts</t>
  </si>
  <si>
    <t>Cash Balance Jan 1</t>
  </si>
  <si>
    <t>Employee Benefits</t>
  </si>
  <si>
    <t xml:space="preserve">Ad Valorem Tax </t>
  </si>
  <si>
    <t>Debt Service</t>
  </si>
  <si>
    <t xml:space="preserve">           General Fund - Detail Expend</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</si>
  <si>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</si>
  <si>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</si>
  <si>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</si>
  <si>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</si>
  <si>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</si>
  <si>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</si>
  <si>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</si>
  <si>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</si>
  <si>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</si>
  <si>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10. Changed the Bond &amp; Interest tab (B&amp;I) to Debt Service tab (DebtService).</t>
  </si>
  <si>
    <t>11. Changed the revised date on all pages changed.</t>
  </si>
  <si>
    <t>The following were changed to this spreadsheet on 7/01/08</t>
  </si>
  <si>
    <t>Fund Names:</t>
  </si>
  <si>
    <t>Statute</t>
  </si>
  <si>
    <t>General</t>
  </si>
  <si>
    <t>Fund name for all funds with a tax levy:</t>
  </si>
  <si>
    <t>Total</t>
  </si>
  <si>
    <t xml:space="preserve"> </t>
  </si>
  <si>
    <t>Page</t>
  </si>
  <si>
    <t>Table of Contents:</t>
  </si>
  <si>
    <t>No.</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</si>
  <si>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</si>
  <si>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</si>
  <si>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</si>
  <si>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</si>
  <si>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</si>
  <si>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</si>
  <si>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</si>
  <si>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</si>
  <si>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</si>
  <si>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</si>
  <si>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</si>
  <si>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</si>
  <si>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</si>
  <si>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</si>
  <si>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</si>
  <si>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</si>
  <si>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</si>
  <si>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</si>
  <si>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</si>
  <si>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</si>
  <si>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</si>
  <si>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</si>
  <si>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</si>
  <si>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</si>
  <si>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</si>
  <si>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</si>
  <si>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</si>
  <si>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</si>
  <si>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</si>
  <si>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</si>
  <si>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</si>
  <si>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</si>
  <si>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</si>
  <si>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</si>
  <si>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</si>
  <si>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</si>
  <si>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</si>
  <si>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</si>
  <si>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</si>
  <si>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</si>
  <si>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</si>
  <si>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</si>
  <si>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</si>
  <si>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</si>
  <si>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</si>
  <si>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</si>
  <si>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</si>
  <si>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</si>
  <si>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</si>
  <si>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</si>
  <si>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</si>
  <si>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</si>
  <si>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</si>
  <si>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</si>
  <si>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</si>
  <si>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</si>
  <si>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</si>
  <si>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</si>
  <si>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</si>
  <si>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</si>
  <si>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</si>
  <si>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</si>
  <si>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</si>
  <si>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</si>
  <si>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</si>
  <si>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</si>
  <si>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</si>
  <si>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</si>
  <si>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</si>
  <si>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</si>
  <si>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</si>
  <si>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</si>
  <si>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</si>
  <si>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</si>
  <si>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</si>
  <si>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</si>
  <si>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</si>
  <si>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The following were changed to this spreadsheet on 2/23/09</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</si>
  <si>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</si>
  <si>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</si>
  <si>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</si>
  <si>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</si>
  <si>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</si>
  <si>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</si>
  <si>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</si>
  <si>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</si>
  <si>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</si>
  <si>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</si>
  <si>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</si>
  <si>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</si>
  <si>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</si>
  <si>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</si>
  <si>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</si>
  <si>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</si>
  <si>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</si>
  <si>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</si>
  <si>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</si>
  <si>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</si>
  <si>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</si>
  <si>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</si>
  <si>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</si>
  <si>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</si>
  <si>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</si>
  <si>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</si>
  <si>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</si>
  <si>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</si>
  <si>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</si>
  <si>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</si>
  <si>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</si>
  <si>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</si>
  <si>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</si>
  <si>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</si>
  <si>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</si>
  <si>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</si>
  <si>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</si>
  <si>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</si>
  <si>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</si>
  <si>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</si>
  <si>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</si>
  <si>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</si>
  <si>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</si>
  <si>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</si>
  <si>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 xml:space="preserve">           General Fund - Detail Page 2</t>
  </si>
  <si>
    <t>Page 2 -Total</t>
  </si>
  <si>
    <t>Page 1 -Total</t>
  </si>
  <si>
    <t xml:space="preserve">Grand Total </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</si>
  <si>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</si>
  <si>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</si>
  <si>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</si>
  <si>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</si>
  <si>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</si>
  <si>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</si>
  <si>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</si>
  <si>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</si>
  <si>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Date:</t>
  </si>
  <si>
    <t>Time:</t>
  </si>
  <si>
    <t>Location:</t>
  </si>
  <si>
    <t>City Hall</t>
  </si>
  <si>
    <t>Available at:</t>
  </si>
  <si>
    <t>7:00 PM or 7:00 AM</t>
  </si>
  <si>
    <t>Possible Budget Law Violation</t>
  </si>
  <si>
    <t>Can the potential violation be corrected at this time?</t>
  </si>
  <si>
    <t>What should I do?</t>
  </si>
  <si>
    <t>available).</t>
  </si>
  <si>
    <t>Is amending the budget an option?</t>
  </si>
  <si>
    <t>Thank you.</t>
  </si>
  <si>
    <t>Possible Cash Basis Law Violation</t>
  </si>
  <si>
    <t xml:space="preserve">Is this a violation?  </t>
  </si>
  <si>
    <t>What if K.S.A. 10-1116 applies?</t>
  </si>
  <si>
    <t>avoid a cash basis law violation.</t>
  </si>
  <si>
    <t>Options</t>
  </si>
  <si>
    <t>Current Year - Possible Budget Law Violation</t>
  </si>
  <si>
    <t>What should I do at this time?</t>
  </si>
  <si>
    <t>Current Year - Possible Cash Basis Law Violation</t>
  </si>
  <si>
    <t>fund.</t>
  </si>
  <si>
    <t>Should this be fixed?</t>
  </si>
  <si>
    <t>you will want your ending cash balance to be $0.</t>
  </si>
  <si>
    <t>Should this be fixed before we adopt the budget?</t>
  </si>
  <si>
    <t>How do I fix the violation?</t>
  </si>
  <si>
    <t>Is there a benefit to having a positive cash balance?</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</si>
  <si>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</si>
  <si>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</si>
  <si>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</si>
  <si>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</si>
  <si>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</si>
  <si>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</si>
  <si>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r>
      <t>Adjustments</t>
    </r>
    <r>
      <rPr>
        <b/>
        <sz val="12"/>
        <color indexed="10"/>
        <rFont val="Times New Roman"/>
        <family val="1"/>
      </rPr>
      <t>*</t>
    </r>
  </si>
  <si>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</si>
  <si>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</si>
  <si>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</si>
  <si>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</si>
  <si>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</si>
  <si>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</si>
  <si>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</si>
  <si>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</si>
  <si>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</si>
  <si>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</si>
  <si>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</si>
  <si>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</si>
  <si>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</si>
  <si>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</si>
  <si>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</si>
  <si>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</si>
  <si>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</si>
  <si>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</si>
  <si>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</si>
  <si>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Does miscellaneous exceed 10% of Total Exp</t>
  </si>
  <si>
    <t>Does miscellaneous exceed 10% of Total Rec</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</si>
  <si>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</si>
  <si>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Compensating Use Tax</t>
  </si>
  <si>
    <t>Local Sales Tax</t>
  </si>
  <si>
    <t>Non-Appropriated Balance</t>
  </si>
  <si>
    <t>Total Expenditure/Non-Appr Balance</t>
  </si>
  <si>
    <t>Delinquent Comp Rate:</t>
  </si>
  <si>
    <t>Desired Carryover Amount:</t>
  </si>
  <si>
    <t>Estimated Mill Rate Impact:</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</si>
  <si>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</si>
  <si>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</si>
  <si>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</si>
  <si>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</si>
  <si>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</si>
  <si>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</si>
  <si>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</si>
  <si>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</si>
  <si>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</si>
  <si>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</si>
  <si>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</si>
  <si>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</si>
  <si>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</si>
  <si>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</si>
  <si>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 xml:space="preserve">Totals </t>
  </si>
  <si>
    <t>1. Summ tab changed proposed year expenditure column to 'Budget Authority for Expenditures'</t>
  </si>
  <si>
    <t xml:space="preserve">Prior Year </t>
  </si>
  <si>
    <t>Current Year</t>
  </si>
  <si>
    <t xml:space="preserve">Proposed Budget </t>
  </si>
  <si>
    <t xml:space="preserve">Current Year </t>
  </si>
  <si>
    <t>WORKSHEET FOR STATE GRANT-IN-AID TO PUBLIC LIBRARIES AND</t>
  </si>
  <si>
    <t>REGIONAL LIBRARY SYSTEMS</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</si>
  <si>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</si>
  <si>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</si>
  <si>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</si>
  <si>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</si>
  <si>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</si>
  <si>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</si>
  <si>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</si>
  <si>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</si>
  <si>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</si>
  <si>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</si>
  <si>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</si>
  <si>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</si>
  <si>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</si>
  <si>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</si>
  <si>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</si>
  <si>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</si>
  <si>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</si>
  <si>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</si>
  <si>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</si>
  <si>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</si>
  <si>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</si>
  <si>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</si>
  <si>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</si>
  <si>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</si>
  <si>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</si>
  <si>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</si>
  <si>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</si>
  <si>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</si>
  <si>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</si>
  <si>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</si>
  <si>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</si>
  <si>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</si>
  <si>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</si>
  <si>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</si>
  <si>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</si>
  <si>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</si>
  <si>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</si>
  <si>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</si>
  <si>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</si>
  <si>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</si>
  <si>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</si>
  <si>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</si>
  <si>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</si>
  <si>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</si>
  <si>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</si>
  <si>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</si>
  <si>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</si>
  <si>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</si>
  <si>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Items</t>
  </si>
  <si>
    <t xml:space="preserve"> Purchased</t>
  </si>
  <si>
    <t xml:space="preserve">Type of </t>
  </si>
  <si>
    <t xml:space="preserve"> Debt</t>
  </si>
  <si>
    <t>12-1220</t>
  </si>
  <si>
    <t>Library</t>
  </si>
  <si>
    <t>Delinquency % used in this budget will be shown on all fund pages with a tax levy**</t>
  </si>
  <si>
    <t>Official Name:</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</si>
  <si>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</si>
  <si>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Email:</t>
  </si>
  <si>
    <t>_____________________  ______________________</t>
  </si>
  <si>
    <t>Expenditures Must Be Changed by:</t>
  </si>
  <si>
    <t xml:space="preserve">Amounts used in lieu of </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</si>
  <si>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</si>
  <si>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</si>
  <si>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</si>
  <si>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</si>
  <si>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</si>
  <si>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</si>
  <si>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</si>
  <si>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</si>
  <si>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</si>
  <si>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</si>
  <si>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</si>
  <si>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</si>
  <si>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</si>
  <si>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</si>
  <si>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</si>
  <si>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</si>
  <si>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</si>
  <si>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</si>
  <si>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</si>
  <si>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</si>
  <si>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</si>
  <si>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</si>
  <si>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</si>
  <si>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</si>
  <si>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</si>
  <si>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</si>
  <si>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</si>
  <si>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</si>
  <si>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</si>
  <si>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</si>
  <si>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</si>
  <si>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</si>
  <si>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</si>
  <si>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</si>
  <si>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Allocation of MVT, RVT, 16/20M Vehicle Tax</t>
  </si>
  <si>
    <t>1. Library Grant tab, updated State Library e-mail contact address</t>
  </si>
  <si>
    <t>1. Corrected addition computation in column D, inputPrYr tab</t>
  </si>
  <si>
    <t>1.  Added "ordinance required?  yes/no" message to area adjacent to each tax levy fund</t>
  </si>
  <si>
    <t>1.  Corrected formula in cell e28 of Library Grant tab</t>
  </si>
  <si>
    <t>1.  Instruction tab narrative modification</t>
  </si>
  <si>
    <t>1.  "Budget Authority Amount" cell added to budget year column of all funds.</t>
  </si>
  <si>
    <t>1.  Several changes to workbook associated with 2014 HB 2047.</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</si>
  <si>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</si>
  <si>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</si>
  <si>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</si>
  <si>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</si>
  <si>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</si>
  <si>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8/16/11</t>
  </si>
  <si>
    <t>The following changes were made to this workbook on 4/19/11</t>
  </si>
  <si>
    <t>The following changes were made to this workbook on 1/05/10</t>
  </si>
  <si>
    <t>The following changes were made to this workbook on 12/28/09</t>
  </si>
  <si>
    <t>The following changes were made to this workbook on 12/08/09</t>
  </si>
  <si>
    <t>The following changes were made to this workbook on 7/9/14</t>
  </si>
  <si>
    <t>1.  Correction to formula in cell j44 of the computation tab worksheet.</t>
  </si>
  <si>
    <t>1.  Update of State Library contact name on library grant tab.</t>
  </si>
  <si>
    <t>Input Sheet for City4 Budget Workbook</t>
  </si>
  <si>
    <t>Enter city name ("City of _____"):</t>
  </si>
  <si>
    <t>Enter home county name followed by "County":</t>
  </si>
  <si>
    <t>Enter names of other counties:</t>
  </si>
  <si>
    <t>Enter year being budgeted (YYYY):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</si>
  <si>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</si>
  <si>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</si>
  <si>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</si>
  <si>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 xml:space="preserve">  Real Estate</t>
  </si>
  <si>
    <t>SUPPORTING COUNTIES</t>
  </si>
  <si>
    <t>How to Compute the Value of One Mill, and the Impact of Tax Dollars and Assessed Valuation on Mill Rates</t>
  </si>
  <si>
    <t>Commercial Vehicle</t>
  </si>
  <si>
    <t>Watercraft</t>
  </si>
  <si>
    <t>Comm Veh</t>
  </si>
  <si>
    <t xml:space="preserve">Allocation of MV, RV, 16/20M, Commercial Vehicle, and Watercraft Tax Estimates </t>
  </si>
  <si>
    <t xml:space="preserve">Ad Valorem Levy </t>
  </si>
  <si>
    <t>Commercial Vehicle Factor</t>
  </si>
  <si>
    <t>Watercraft Factor</t>
  </si>
  <si>
    <t>County Treas Recreational Vehicle Estimate</t>
  </si>
  <si>
    <t>County Treas 16/20M Vehicle Estimate</t>
  </si>
  <si>
    <t>County Treas Commercial Vehicle Tax Estimate</t>
  </si>
  <si>
    <t>County Treas Watercraft Tax Estimate</t>
  </si>
  <si>
    <t>Commercial Vehicle Tax</t>
  </si>
  <si>
    <t>Watercraft Tax</t>
  </si>
  <si>
    <t>1.  Various workbook changes associated with commercial vehicle and watercraft tax estimates.</t>
  </si>
  <si>
    <t>The following changes were made to this workbook on 1/21/15</t>
  </si>
  <si>
    <t>1.  Inserted 2014 CPI percentage on computation tab.</t>
  </si>
  <si>
    <t>2.  Corrected formula in cell d24 of library grant tab.</t>
  </si>
  <si>
    <t>1.  Inserted 2015 CPI percentage on computation tab.</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</si>
  <si>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</si>
  <si>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</si>
  <si>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</si>
  <si>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 xml:space="preserve">CPA Summary </t>
  </si>
  <si>
    <t xml:space="preserve">Expiration of Property Tax Abatements </t>
  </si>
  <si>
    <t>CPA Summary</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</si>
  <si>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</si>
  <si>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</si>
  <si>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</si>
  <si>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</si>
  <si>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</si>
  <si>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</si>
  <si>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</si>
  <si>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</si>
  <si>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</si>
  <si>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 xml:space="preserve">Please read these instructions carefully.  If after reviewing the instructions you still have questions, contact Municipal Services at 785-296-6033 or 785-296-8083; or via email to armunis@ks.gov. </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</si>
  <si>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</si>
  <si>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</si>
  <si>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</si>
  <si>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</si>
  <si>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</si>
  <si>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Alice.Smith@ks.gov</t>
  </si>
  <si>
    <t>Revenue Neutral Rate</t>
  </si>
  <si>
    <t>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</si>
  <si>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</si>
  <si>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</si>
  <si>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</si>
  <si>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</si>
  <si>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</si>
  <si>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Budget Workbook Instructions</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</si>
  <si>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</si>
  <si>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</si>
  <si>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</si>
  <si>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</si>
  <si>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</si>
  <si>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</si>
  <si>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</si>
  <si>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</si>
  <si>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</si>
  <si>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</si>
  <si>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</si>
  <si>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</si>
  <si>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</si>
  <si>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</si>
  <si>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</si>
  <si>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</si>
  <si>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</si>
  <si>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</si>
  <si>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</si>
  <si>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</si>
  <si>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</si>
  <si>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</si>
  <si>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</si>
  <si>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</si>
  <si>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</si>
  <si>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</si>
  <si>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</si>
  <si>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</si>
  <si>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</si>
  <si>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</si>
  <si>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</si>
  <si>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</si>
  <si>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</si>
  <si>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</si>
  <si>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</si>
  <si>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</si>
  <si>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</si>
  <si>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</si>
  <si>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</si>
  <si>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</si>
  <si>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</si>
  <si>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</si>
  <si>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</si>
  <si>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</si>
  <si>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</si>
  <si>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</si>
  <si>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</si>
  <si>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</si>
  <si>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</si>
  <si>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</si>
  <si>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</si>
  <si>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</si>
  <si>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</si>
  <si>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</si>
  <si>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</si>
  <si>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</si>
  <si>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</si>
  <si>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</si>
  <si>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</si>
  <si>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</si>
  <si>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</si>
  <si>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</si>
  <si>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</si>
  <si>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</si>
  <si>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</si>
  <si>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</si>
  <si>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</si>
  <si>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</si>
  <si>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</si>
  <si>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</si>
  <si>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</si>
  <si>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</si>
  <si>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</si>
  <si>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</si>
  <si>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</si>
  <si>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</si>
  <si>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</si>
  <si>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 xml:space="preserve">Note: It is not important to complete the "New Improvements, Remodeling and Renovations", "Personal Property", or "Property that has changed in use" fields. These fields were created for the Tax Lid (repealed in 2021). If the city wishes to track this information, you may do so here. The inputs do not populate to any other field in the workbook. </t>
  </si>
  <si>
    <t>From Municipal Services Website (Budget Workbooks and Tax Estimates)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</si>
  <si>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</si>
  <si>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</si>
  <si>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</si>
  <si>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August 12, 2022</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</si>
  <si>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</si>
  <si>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</si>
  <si>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</si>
  <si>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</si>
  <si>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</si>
  <si>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</si>
  <si>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</si>
  <si>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</si>
  <si>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</si>
  <si>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Principal Balance As Beginning of</t>
  </si>
  <si>
    <t>***If leasing/renting with no intent to purchase, do not list--such transactions are not lease-purchases.</t>
  </si>
  <si>
    <r>
      <t xml:space="preserve">As provided in KSA 75-2553 </t>
    </r>
    <r>
      <rPr>
        <i/>
        <sz val="12"/>
        <rFont val="Times New Roman"/>
        <family val="1"/>
      </rPr>
      <t>et seq</t>
    </r>
    <r>
      <rPr>
        <sz val="12"/>
        <rFont val="Times New Roman"/>
        <family val="1"/>
      </rPr>
      <t>., two tests are used to determine eligibility for State Library Grant.  If the grant is approved, then the municipality's library will be paid the grant on February 15 of  each year.</t>
    </r>
  </si>
  <si>
    <t>Estimated Mill Rate &amp;
 Revenue Neutral Rate Comparison</t>
  </si>
  <si>
    <t>Revenue Neutral Rate (KSA 79-2988)</t>
  </si>
  <si>
    <t>Is a rate hearing/resolution required:</t>
  </si>
  <si>
    <t>Proposed Estimated Tax Rate*</t>
  </si>
  <si>
    <t>** Revenue Neutral Rate as defined by KSA 79-2988</t>
  </si>
  <si>
    <t xml:space="preserve">Is rate hearing/resolution required to exceed Revenue Neutral Rate? </t>
  </si>
  <si>
    <t>NOTICE OF HEARING TO EXCEED REVENUE NEUTRAL RATE AND BUDGET HEARING</t>
  </si>
  <si>
    <t xml:space="preserve">answering objections of taxpayers relating to the proposed use of all funds, the amount of ad valorem tax and the Revenue Neutral Rate. </t>
  </si>
  <si>
    <t>NOTICE OF HEARING TO EXCEED REVENUE NEUTRAL RATE</t>
  </si>
  <si>
    <t>answering objections of taxpayers relating to revenue neutral rate and proposed tax rate, as required by KSA 79-2988.</t>
  </si>
  <si>
    <t>Revenue Neutral Rate*</t>
  </si>
  <si>
    <t>Proposed Tax Rate</t>
  </si>
  <si>
    <t>Tax Rates are expressed in mills</t>
  </si>
  <si>
    <t>* Revenue Netural Rate as defined by KSA 79-2988</t>
  </si>
  <si>
    <t>Tab A</t>
  </si>
  <si>
    <t>Tab B</t>
  </si>
  <si>
    <t>Tab C</t>
  </si>
  <si>
    <t>Tab D</t>
  </si>
  <si>
    <t>Tab E</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</si>
  <si>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</si>
  <si>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</si>
  <si>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</si>
  <si>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</si>
  <si>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</si>
  <si>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</si>
  <si>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</si>
  <si>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</si>
  <si>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</si>
  <si>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</si>
  <si>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</si>
  <si>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</si>
  <si>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</si>
  <si>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</si>
  <si>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</si>
  <si>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</si>
  <si>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</si>
  <si>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</si>
  <si>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</si>
  <si>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</si>
  <si>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</si>
  <si>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Resolution No. ______</t>
  </si>
  <si>
    <t>A RESOLUTION OF THE CITY OF __________, KANSAS TO LEVY A PROPERTY TAX RATE EXCEEDING THE REVENUE NEUTRAL RATE;</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</si>
  <si>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</si>
  <si>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</si>
  <si>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</si>
  <si>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</si>
  <si>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</si>
  <si>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</si>
  <si>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</si>
  <si>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</si>
  <si>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</si>
  <si>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</si>
  <si>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</si>
  <si>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</si>
  <si>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</si>
  <si>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</si>
  <si>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</si>
  <si>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</si>
  <si>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</si>
  <si>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</si>
  <si>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</si>
  <si>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</si>
  <si>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Final Tax Rate (County Clerk's Use Only)</t>
  </si>
  <si>
    <t>Final County Assessed Valuation</t>
  </si>
  <si>
    <t xml:space="preserve">Revenue Neutral Rate  </t>
  </si>
  <si>
    <t>Budget Hearing Notice</t>
  </si>
  <si>
    <t>Combined Rate and Budget Hearing Notice</t>
  </si>
  <si>
    <t>RNR Hearing Notice</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</si>
  <si>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</si>
  <si>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</si>
  <si>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</si>
  <si>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</si>
  <si>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</si>
  <si>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</si>
  <si>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</si>
  <si>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</si>
  <si>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</si>
  <si>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 xml:space="preserve">In short, you are looking at a potential budget law violation. However, the good news is that you </t>
  </si>
  <si>
    <t>may have options available that will allow you to avoid a budget law violation.</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</si>
  <si>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</si>
  <si>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</si>
  <si>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</si>
  <si>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</si>
  <si>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</si>
  <si>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</si>
  <si>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</si>
  <si>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</si>
  <si>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</si>
  <si>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</si>
  <si>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</si>
  <si>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</si>
  <si>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</si>
  <si>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</si>
  <si>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</si>
  <si>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</si>
  <si>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</si>
  <si>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</si>
  <si>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</si>
  <si>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</si>
  <si>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</si>
  <si>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</si>
  <si>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</si>
  <si>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</si>
  <si>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</si>
  <si>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No punitive action will be taken as a result of the violation, but you should determine what caused</t>
  </si>
  <si>
    <t>the violation and take steps to avoid future violations of this nature.</t>
  </si>
  <si>
    <t>finished the year with a negative unencumbered cash balance in this fund.</t>
  </si>
  <si>
    <t>However, the good news is that you may have one or more options available that will allow you to</t>
  </si>
  <si>
    <t>Hopefully not. The first thing that you might do is to review K.S.A. 10-1116 to see if your fund</t>
  </si>
  <si>
    <t xml:space="preserve">might be one of those for which a negative cash balance is permitted. </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</si>
  <si>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</si>
  <si>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</si>
  <si>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</si>
  <si>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</si>
  <si>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</si>
  <si>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</si>
  <si>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</si>
  <si>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</si>
  <si>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</si>
  <si>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</si>
  <si>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</si>
  <si>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</si>
  <si>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</si>
  <si>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</si>
  <si>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</si>
  <si>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</si>
  <si>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</si>
  <si>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</si>
  <si>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</si>
  <si>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</si>
  <si>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</si>
  <si>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</si>
  <si>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</si>
  <si>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</si>
  <si>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 xml:space="preserve">If, in the future, you choose to amend the budget as described in the paragraph above, please </t>
  </si>
  <si>
    <t>remember that the amendment must occur before the end of the fiscal year.</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</si>
  <si>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</si>
  <si>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</si>
  <si>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</si>
  <si>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</si>
  <si>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</si>
  <si>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</si>
  <si>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</si>
  <si>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</si>
  <si>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</si>
  <si>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</si>
  <si>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</si>
  <si>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</si>
  <si>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</si>
  <si>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</si>
  <si>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</si>
  <si>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</si>
  <si>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</si>
  <si>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</si>
  <si>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</si>
  <si>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</si>
  <si>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</si>
  <si>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</si>
  <si>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</si>
  <si>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</si>
  <si>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</si>
  <si>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</si>
  <si>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that at the end of this year you will have a negative unencumbered cash balance in this fund.</t>
  </si>
  <si>
    <t>Yes. You don't want to end this year with a negative cash balance in the fund.  At a minimum</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</si>
  <si>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</si>
  <si>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</si>
  <si>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</si>
  <si>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</si>
  <si>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</si>
  <si>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</si>
  <si>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</si>
  <si>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</si>
  <si>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</si>
  <si>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</si>
  <si>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</si>
  <si>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</si>
  <si>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</si>
  <si>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</si>
  <si>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</si>
  <si>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</si>
  <si>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Proposed Budget Year - Possible Budget Law Violation No Levy Funds</t>
  </si>
  <si>
    <t>In short, you are looking at a budget law violation if you adopt a budget in which there exists a fund</t>
  </si>
  <si>
    <t>with a negative ending cash balance.</t>
  </si>
  <si>
    <t xml:space="preserve">Yes. Budget law mandates that fund expenditures shall balance with anticipated revenue. A fund </t>
  </si>
  <si>
    <t>ending cash balance should end either in $0 or a positive cash balance.</t>
  </si>
  <si>
    <t xml:space="preserve">The negative cash balance can be remedied by increasing the anticipated receipts or by reducing </t>
  </si>
  <si>
    <t>the proposed expenditures, or a combination of the two.</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</si>
  <si>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</si>
  <si>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</si>
  <si>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</si>
  <si>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</si>
  <si>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</si>
  <si>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</si>
  <si>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</si>
  <si>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</si>
  <si>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</si>
  <si>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</si>
  <si>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</si>
  <si>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</si>
  <si>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</si>
  <si>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</si>
  <si>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</si>
  <si>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</si>
  <si>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</si>
  <si>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</si>
  <si>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</si>
  <si>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</si>
  <si>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</si>
  <si>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</si>
  <si>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</si>
  <si>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</si>
  <si>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</si>
  <si>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</si>
  <si>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</si>
  <si>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</si>
  <si>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</si>
  <si>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</si>
  <si>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The following changes were made to this workbook during April 2023</t>
  </si>
  <si>
    <t xml:space="preserve">1. Made final Nov 1, 2023 assessed valuation fillable and added final rate formula by fund on the Certificate page. </t>
  </si>
  <si>
    <t>2. Added 'SAMPLE Roll Call to Exceed RNR' tab.</t>
  </si>
  <si>
    <t>3. Combined 'Mill Rate Computation' tab and 'Helpful Links' tab into new tab labeled 'Budget Tools.'</t>
  </si>
  <si>
    <t>4. Added explanation of how the Revenue Neutral Rate is calculated to 'Budget Tools' tab.</t>
  </si>
  <si>
    <t>5. Updated spacing and formatting to Tab A, Tab B, Tab C, Tab D and Tab E.</t>
  </si>
  <si>
    <t>The following changes were made to this workbook during February 2022</t>
  </si>
  <si>
    <t>5. Updated certificate/table of contents and page numbering for changes</t>
  </si>
  <si>
    <t>The following changes were made to this workbook during March 2020</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</si>
  <si>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</si>
  <si>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</si>
  <si>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</si>
  <si>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</si>
  <si>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</si>
  <si>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</si>
  <si>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</si>
  <si>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on 1/27/2016</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</si>
  <si>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</si>
  <si>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</si>
  <si>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</si>
  <si>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</si>
  <si>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</si>
  <si>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</si>
  <si>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</si>
  <si>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9/22/14</t>
  </si>
  <si>
    <t>The following changes were made to this workbook on 9/16/14</t>
  </si>
  <si>
    <t>1.  Corrected the print margins of the general fund tab.</t>
  </si>
  <si>
    <t>The following changes were made to this workbook on 8/4/14</t>
  </si>
  <si>
    <t>The following changes were made to this workbook on 5/7/14</t>
  </si>
  <si>
    <t>The following changes were made to this workbook on 4/2/14</t>
  </si>
  <si>
    <t>The following changes were made to this workbook on 1/13/14</t>
  </si>
  <si>
    <t>1.  Corrected formulas for column totals on general fund detail page.</t>
  </si>
  <si>
    <t>The following changes were made to this workbook on 3/22/12</t>
  </si>
  <si>
    <t>1. Concantenate at line 9 of the Certificate page changed to reference cell F1</t>
  </si>
  <si>
    <t>2. Corrected misspelling of word "limitations" on line 9 of the Certificate page.</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</si>
  <si>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</si>
  <si>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</si>
  <si>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</si>
  <si>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The following changes were made to this workbook on 6/17/11</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</si>
  <si>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</si>
  <si>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</si>
  <si>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</si>
  <si>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</si>
  <si>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</si>
  <si>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</si>
  <si>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</si>
  <si>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</si>
  <si>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</si>
  <si>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</si>
  <si>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</si>
  <si>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</si>
  <si>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</si>
  <si>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</si>
  <si>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</si>
  <si>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</si>
  <si>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</si>
  <si>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</si>
  <si>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</si>
  <si>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</si>
  <si>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</si>
  <si>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</si>
  <si>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</si>
  <si>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</si>
  <si>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</si>
  <si>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</si>
  <si>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</si>
  <si>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</si>
  <si>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</si>
  <si>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</si>
  <si>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</si>
  <si>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</si>
  <si>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</si>
  <si>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</si>
  <si>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</si>
  <si>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</si>
  <si>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</si>
  <si>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</si>
  <si>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2. SpecHwy and No Levy Page 12 tabs changed conditional statements</t>
  </si>
  <si>
    <t>The following changes were made to this workbook on 10/2/09</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</si>
  <si>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</si>
  <si>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</si>
  <si>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</si>
  <si>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</si>
  <si>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</si>
  <si>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</si>
  <si>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</si>
  <si>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</si>
  <si>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</si>
  <si>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</si>
  <si>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</si>
  <si>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</si>
  <si>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</si>
  <si>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</si>
  <si>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3a. Made the total expenditures block for the actual and current year to turn 'Red' if violation occurs.</t>
  </si>
  <si>
    <t>6. Neighborhood Revitalization (nhood) took off the protection for the page number and made the estimate rebate round the figures to whole dollars.</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</si>
  <si>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</si>
  <si>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</si>
  <si>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8. Added to the instruction page lines 11a - 11c to provide a little more insight for the Neighborhood Revitalization rebate.</t>
  </si>
  <si>
    <t>9. Added instruction line 2b to explain how to delete delinquency rate from tax levy fund pages.</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</si>
  <si>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</si>
  <si>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</si>
  <si>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</si>
  <si>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</si>
  <si>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</si>
  <si>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</si>
  <si>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4. Changed foot note to reflect the changes made on 7/1/08 to the above tabs.</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</si>
  <si>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</si>
  <si>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</si>
  <si>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</si>
  <si>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1.Instruction were changed: POC change from Roger to ARMUNIS, got rid about us providing disk, took the input page and split to input prior budget information and input other, with more in-depth of forms and fund page, and more in-depth on the budget summary page.</t>
  </si>
  <si>
    <t>7. Added a single page for no tax levy fund page.</t>
  </si>
  <si>
    <t>11. Added Neighborhood Revitalization, LAVTR, City and County Revenue Sharing, and Slider to the input page and to the General Fund page.</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</si>
  <si>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</si>
  <si>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</si>
  <si>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</si>
  <si>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</si>
  <si>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</si>
  <si>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</si>
  <si>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</si>
  <si>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</si>
  <si>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</si>
  <si>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</si>
  <si>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</si>
  <si>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</si>
  <si>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</si>
  <si>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The following changes were made to this workbook during October 2023</t>
  </si>
  <si>
    <t>1. Removed external links to correct update issue in Tab A, Tab B, Tab C, Tab D and Tab E.</t>
  </si>
  <si>
    <t>2. Corrected reference cell for FY link formula in Tab A, Tab B, Tab C, Tab D and Tab E.</t>
  </si>
  <si>
    <t>1. Removed LAVTR from inputOth, Library Grant and General fund tabs.</t>
  </si>
  <si>
    <t>2. Removed City and County Revenue Sharing from inputOth and General fund tabs.</t>
  </si>
  <si>
    <t>3. Renamed Cash Forward/Cash-Basis Reserve to Cash Reserve on all fund pages.</t>
  </si>
  <si>
    <t>Does budget require a resolution to exceed the Revenue Neutral Rate?</t>
  </si>
  <si>
    <t>The following changes were made to this workbook during April-May 2024</t>
  </si>
  <si>
    <t>4. Added RNR Resolution YES/NO formula to certificate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</si>
</sst>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3" formatCode="_(* #,##0.00_);_(* \(#,##0.00\);_(* &quot;-&quot;??_);_(@_)"/>
    <numFmt numFmtId="164" formatCode="0.000_)"/>
    <numFmt numFmtId="165" formatCode="0.00000_)"/>
    <numFmt numFmtId="166" formatCode="0_)"/>
    <numFmt numFmtId="167" formatCode="m/d/yy"/>
    <numFmt numFmtId="168" formatCode="m/d"/>
    <numFmt numFmtId="169" formatCode="0.000"/>
    <numFmt numFmtId="170" formatCode="#,##0.000_);\(#,##0.000\)"/>
    <numFmt numFmtId="171" formatCode="#,##0.000"/>
    <numFmt numFmtId="172" formatCode="&quot;$&quot;#,##0"/>
    <numFmt numFmtId="173" formatCode="&quot;$&quot;#,##0.00"/>
    <numFmt numFmtId="174" formatCode="#,###"/>
    <numFmt numFmtId="175" formatCode="#,##0.000_);[Red]\(#,##0.000\)"/>
    <numFmt numFmtId="176" formatCode="0.0%"/>
  </numFmts>
  <fonts count="70" x14ac:knownFonts="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8"/>
      <name val="Times New Roman"/>
      <family val="1"/>
    </font>
    <font>
      <sz val="12"/>
      <name val="Courier"/>
      <family val="3"/>
    </font>
    <font>
      <sz val="12"/>
      <color indexed="10"/>
      <name val="Courier"/>
      <family val="3"/>
    </font>
    <font>
      <i/>
      <sz val="12"/>
      <name val="Times New Roman"/>
      <family val="1"/>
    </font>
    <font>
      <b/>
      <sz val="12"/>
      <color indexed="10"/>
      <name val="Times New Roman"/>
      <family val="1"/>
    </font>
    <font>
      <b/>
      <sz val="14"/>
      <name val="Times New Roman"/>
      <family val="1"/>
    </font>
    <font>
      <sz val="12"/>
      <color indexed="8"/>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New"/>
      <family val="3"/>
    </font>
    <font>
      <b/>
      <sz val="12"/>
      <name val="Courier"/>
      <family val="3"/>
    </font>
    <font>
      <sz val="12"/>
      <name val="Courier New"/>
      <family val="3"/>
    </font>
    <font>
      <sz val="9"/>
      <name val="Courier"/>
      <family val="3"/>
    </font>
    <font>
      <sz val="10"/>
      <name val="Times New Roman"/>
      <family val="1"/>
    </font>
    <font>
      <b/>
      <sz val="13"/>
      <name val="Times New Roman"/>
      <family val="1"/>
    </font>
    <font>
      <u/>
      <sz val="12"/>
      <color indexed="12"/>
      <name val="Times New Roman"/>
      <family val="1"/>
    </font>
    <font>
      <b/>
      <u/>
      <sz val="10"/>
      <name val="Times New Roman"/>
      <family val="1"/>
    </font>
    <font>
      <b/>
      <sz val="10"/>
      <name val="Times New Roman"/>
      <family val="1"/>
    </font>
    <font>
      <b/>
      <u/>
      <sz val="8"/>
      <name val="Times New Roman"/>
      <family val="1"/>
    </font>
    <font>
      <sz val="8"/>
      <color indexed="10"/>
      <name val="Times New Roman"/>
      <family val="1"/>
    </font>
    <font>
      <sz val="10"/>
      <name val="Courier"/>
      <family val="3"/>
    </font>
    <font>
      <sz val="10"/>
      <color indexed="10"/>
      <name val="Times New Roman"/>
      <family val="1"/>
    </font>
    <font>
      <u/>
      <sz val="12"/>
      <color indexed="12"/>
      <name val="Courier New"/>
      <family val="3"/>
    </font>
    <font>
      <sz val="11"/>
      <color theme="1"/>
      <name val="Calibri"/>
      <family val="2"/>
      <scheme val="minor"/>
    </font>
    <font>
      <u/>
      <sz val="12"/>
      <color rgb="FFFF0000"/>
      <name val="Times New Roman"/>
      <family val="1"/>
    </font>
    <font>
      <sz val="10"/>
      <color rgb="FFFF0000"/>
      <name val="Times New Roman"/>
      <family val="1"/>
    </font>
    <font>
      <b/>
      <sz val="12"/>
      <color rgb="FFFF0000"/>
      <name val="Times New Roman"/>
      <family val="1"/>
    </font>
    <font>
      <b/>
      <sz val="12"/>
      <color rgb="FF000000"/>
      <name val="Times New Roman"/>
      <family val="1"/>
    </font>
    <font>
      <sz val="12"/>
      <color rgb="FFFF0000"/>
      <name val="Times New Roman"/>
      <family val="1"/>
    </font>
    <font>
      <b/>
      <u/>
      <sz val="12"/>
      <color rgb="FFFF0000"/>
      <name val="Times New Roman"/>
      <family val="1"/>
    </font>
    <font>
      <u/>
      <vertAlign val="superscript"/>
      <sz val="12"/>
      <name val="Times New Roman"/>
      <family val="1"/>
    </font>
    <font>
      <sz val="11"/>
      <name val="Calibri"/>
      <family val="2"/>
    </font>
    <font>
      <sz val="7"/>
      <name val="Times New Roman"/>
      <family val="1"/>
    </font>
    <font>
      <b/>
      <sz val="10"/>
      <color rgb="FFFF0000"/>
      <name val="Times New Roman"/>
      <family val="1"/>
    </font>
    <font>
      <b/>
      <sz val="16"/>
      <name val="Times New Roman"/>
      <family val="1"/>
    </font>
    <font>
      <b/>
      <u/>
      <sz val="16"/>
      <name val="Times New Roman"/>
      <family val="1"/>
    </font>
    <font>
      <sz val="14"/>
      <name val="Times New Roman"/>
      <family val="1"/>
    </font>
    <font>
      <b/>
      <sz val="14"/>
      <name val="Calibri"/>
      <family val="2"/>
      <scheme val="minor"/>
    </font>
    <font>
      <sz val="12"/>
      <name val="Calibri"/>
      <family val="2"/>
      <scheme val="minor"/>
    </font>
    <font>
      <u/>
      <sz val="12"/>
      <name val="Calibri"/>
      <family val="2"/>
      <scheme val="minor"/>
    </font>
    <font>
      <b/>
      <sz val="13"/>
      <name val="Calibri"/>
      <family val="2"/>
      <scheme val="minor"/>
    </font>
    <font>
      <b/>
      <sz val="12"/>
      <name val="Calibri"/>
      <family val="2"/>
      <scheme val="minor"/>
    </font>
    <font>
      <b/>
      <sz val="18"/>
      <name val="Times New Roman"/>
      <family val="1"/>
    </font>
    <font>
      <b/>
      <i/>
      <sz val="12"/>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s>
  <fills count="22">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style="double">
        <color indexed="0"/>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s>
  <cellStyleXfs count="521">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 fillId="0" borderId="0"/>
    <xf numFmtId="0" fontId="2"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9"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9"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 fillId="0" borderId="0"/>
    <xf numFmtId="0" fontId="27" fillId="0" borderId="0"/>
    <xf numFmtId="0" fontId="29"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4" fillId="0" borderId="0"/>
  </cellStyleXfs>
  <cellXfs count="869">
    <xf numFmtId="0" fontId="0" fillId="0" borderId="0" xfId="0"/>
    <xf numFmtId="0" fontId="4" fillId="0" borderId="0" xfId="0" applyFont="1"/>
    <xf numFmtId="0" fontId="4" fillId="0" borderId="0" xfId="0" applyFont="1" applyAlignment="1">
      <alignment wrapText="1"/>
    </xf>
    <xf numFmtId="0" fontId="4" fillId="0" borderId="0" xfId="0" applyFont="1" applyProtection="1">
      <protection locked="0"/>
    </xf>
    <xf numFmtId="0" fontId="4" fillId="2" borderId="1" xfId="0" applyFont="1" applyFill="1" applyBorder="1" applyProtection="1">
      <protection locked="0"/>
    </xf>
    <xf numFmtId="37" fontId="4" fillId="0" borderId="0" xfId="0" applyNumberFormat="1" applyFont="1" applyProtection="1">
      <protection locked="0"/>
    </xf>
    <xf numFmtId="0" fontId="4" fillId="3" borderId="0" xfId="0" applyFont="1" applyFill="1"/>
    <xf numFmtId="0" fontId="4" fillId="3" borderId="0" xfId="0" applyFont="1" applyFill="1" applyAlignment="1">
      <alignment horizontal="right"/>
    </xf>
    <xf numFmtId="37" fontId="4" fillId="3" borderId="0" xfId="0" applyNumberFormat="1" applyFont="1" applyFill="1" applyAlignment="1">
      <alignment horizontal="right"/>
    </xf>
    <xf numFmtId="37" fontId="4" fillId="3" borderId="0" xfId="0" applyNumberFormat="1" applyFont="1" applyFill="1" applyAlignment="1">
      <alignment horizontal="left"/>
    </xf>
    <xf numFmtId="0" fontId="4" fillId="3" borderId="0" xfId="0" applyFont="1" applyFill="1" applyAlignment="1">
      <alignment horizontal="centerContinuous"/>
    </xf>
    <xf numFmtId="37" fontId="4" fillId="3" borderId="2" xfId="0" applyNumberFormat="1" applyFont="1" applyFill="1" applyBorder="1" applyAlignment="1">
      <alignment horizontal="left"/>
    </xf>
    <xf numFmtId="37" fontId="4" fillId="3" borderId="1" xfId="0" applyNumberFormat="1" applyFont="1" applyFill="1" applyBorder="1"/>
    <xf numFmtId="0" fontId="4" fillId="3" borderId="1" xfId="0" applyFont="1" applyFill="1" applyBorder="1"/>
    <xf numFmtId="37" fontId="4" fillId="3" borderId="0" xfId="0" applyNumberFormat="1" applyFont="1" applyFill="1"/>
    <xf numFmtId="0" fontId="3" fillId="3" borderId="0" xfId="519" applyFont="1" applyFill="1" applyAlignment="1">
      <alignment horizontal="centerContinuous"/>
    </xf>
    <xf numFmtId="0" fontId="4" fillId="3" borderId="3" xfId="0" applyFont="1" applyFill="1" applyBorder="1" applyAlignment="1">
      <alignment horizontal="center"/>
    </xf>
    <xf numFmtId="0" fontId="4" fillId="3" borderId="4" xfId="0" applyFont="1" applyFill="1" applyBorder="1" applyAlignment="1">
      <alignment horizontal="centerContinuous"/>
    </xf>
    <xf numFmtId="0" fontId="4" fillId="3" borderId="5" xfId="0" applyFont="1" applyFill="1" applyBorder="1" applyAlignment="1">
      <alignment horizontal="centerContinuous"/>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left"/>
    </xf>
    <xf numFmtId="2" fontId="4" fillId="3" borderId="1" xfId="0" applyNumberFormat="1" applyFont="1" applyFill="1" applyBorder="1"/>
    <xf numFmtId="3" fontId="4" fillId="3" borderId="1" xfId="0" applyNumberFormat="1" applyFont="1" applyFill="1" applyBorder="1"/>
    <xf numFmtId="0" fontId="3" fillId="3" borderId="1" xfId="0" applyFont="1" applyFill="1" applyBorder="1" applyAlignment="1">
      <alignment horizontal="left"/>
    </xf>
    <xf numFmtId="0" fontId="4" fillId="3" borderId="8" xfId="0" applyFont="1" applyFill="1" applyBorder="1" applyAlignment="1">
      <alignment horizontal="fill"/>
    </xf>
    <xf numFmtId="0" fontId="3" fillId="3" borderId="0" xfId="0" applyFont="1" applyFill="1"/>
    <xf numFmtId="1" fontId="4" fillId="3" borderId="0" xfId="0" applyNumberFormat="1" applyFont="1" applyFill="1" applyAlignment="1">
      <alignment horizontal="right"/>
    </xf>
    <xf numFmtId="37" fontId="3" fillId="3" borderId="2" xfId="0" applyNumberFormat="1" applyFont="1" applyFill="1" applyBorder="1" applyAlignment="1">
      <alignment horizontal="left"/>
    </xf>
    <xf numFmtId="0" fontId="0" fillId="3" borderId="0" xfId="0" applyFill="1"/>
    <xf numFmtId="166" fontId="4" fillId="3" borderId="8" xfId="0" applyNumberFormat="1" applyFont="1" applyFill="1" applyBorder="1"/>
    <xf numFmtId="37" fontId="4" fillId="3" borderId="8" xfId="0" quotePrefix="1" applyNumberFormat="1" applyFont="1" applyFill="1" applyBorder="1" applyAlignment="1">
      <alignment horizontal="right"/>
    </xf>
    <xf numFmtId="1" fontId="4" fillId="3" borderId="9" xfId="0" applyNumberFormat="1" applyFont="1" applyFill="1" applyBorder="1" applyAlignment="1">
      <alignment horizontal="center"/>
    </xf>
    <xf numFmtId="0" fontId="4" fillId="0" borderId="0" xfId="0" applyFont="1" applyAlignment="1" applyProtection="1">
      <alignment horizontal="left"/>
      <protection locked="0"/>
    </xf>
    <xf numFmtId="0" fontId="3" fillId="3" borderId="1" xfId="0" applyFont="1" applyFill="1" applyBorder="1" applyAlignment="1">
      <alignment horizontal="center"/>
    </xf>
    <xf numFmtId="3" fontId="4" fillId="3" borderId="1" xfId="0" applyNumberFormat="1" applyFont="1" applyFill="1" applyBorder="1" applyAlignment="1">
      <alignment horizontal="center"/>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37" fontId="4" fillId="2" borderId="1" xfId="0" applyNumberFormat="1" applyFont="1" applyFill="1" applyBorder="1" applyAlignment="1" applyProtection="1">
      <alignment horizontal="center"/>
      <protection locked="0"/>
    </xf>
    <xf numFmtId="168" fontId="4" fillId="2" borderId="1" xfId="0" applyNumberFormat="1" applyFont="1" applyFill="1" applyBorder="1" applyAlignment="1" applyProtection="1">
      <alignment horizontal="center"/>
      <protection locked="0"/>
    </xf>
    <xf numFmtId="167" fontId="3"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168" fontId="3" fillId="3" borderId="1" xfId="0" applyNumberFormat="1" applyFont="1" applyFill="1" applyBorder="1" applyAlignment="1">
      <alignment horizontal="center"/>
    </xf>
    <xf numFmtId="167" fontId="4" fillId="3" borderId="1" xfId="0" applyNumberFormat="1" applyFont="1" applyFill="1" applyBorder="1" applyAlignment="1">
      <alignment horizontal="center"/>
    </xf>
    <xf numFmtId="2" fontId="4" fillId="3" borderId="1" xfId="0" applyNumberFormat="1" applyFont="1" applyFill="1" applyBorder="1" applyAlignment="1">
      <alignment horizontal="center"/>
    </xf>
    <xf numFmtId="168" fontId="4" fillId="3" borderId="1" xfId="0" applyNumberFormat="1" applyFont="1" applyFill="1" applyBorder="1" applyAlignment="1">
      <alignment horizontal="center"/>
    </xf>
    <xf numFmtId="1" fontId="3"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3" fontId="4" fillId="4" borderId="1" xfId="0" applyNumberFormat="1" applyFont="1" applyFill="1" applyBorder="1"/>
    <xf numFmtId="3" fontId="3" fillId="4" borderId="1" xfId="0" applyNumberFormat="1" applyFont="1" applyFill="1" applyBorder="1"/>
    <xf numFmtId="37" fontId="3" fillId="4" borderId="1" xfId="0" applyNumberFormat="1" applyFont="1" applyFill="1" applyBorder="1" applyAlignment="1">
      <alignment horizontal="center"/>
    </xf>
    <xf numFmtId="3" fontId="3" fillId="4" borderId="1" xfId="0" applyNumberFormat="1" applyFont="1" applyFill="1" applyBorder="1" applyAlignment="1">
      <alignment horizontal="center"/>
    </xf>
    <xf numFmtId="0" fontId="4" fillId="2" borderId="2" xfId="0" applyFont="1" applyFill="1" applyBorder="1" applyProtection="1">
      <protection locked="0"/>
    </xf>
    <xf numFmtId="0" fontId="4" fillId="5" borderId="2" xfId="0" applyFont="1" applyFill="1" applyBorder="1" applyProtection="1">
      <protection locked="0"/>
    </xf>
    <xf numFmtId="37" fontId="4" fillId="2" borderId="2" xfId="0" applyNumberFormat="1" applyFont="1" applyFill="1" applyBorder="1" applyAlignment="1" applyProtection="1">
      <alignment horizontal="left"/>
      <protection locked="0"/>
    </xf>
    <xf numFmtId="37" fontId="4" fillId="3" borderId="9" xfId="0" applyNumberFormat="1" applyFont="1" applyFill="1" applyBorder="1" applyAlignment="1">
      <alignment horizontal="left"/>
    </xf>
    <xf numFmtId="3" fontId="4" fillId="2" borderId="10" xfId="0" applyNumberFormat="1" applyFont="1" applyFill="1" applyBorder="1" applyProtection="1">
      <protection locked="0"/>
    </xf>
    <xf numFmtId="0" fontId="4" fillId="3" borderId="2" xfId="0" applyFont="1" applyFill="1" applyBorder="1"/>
    <xf numFmtId="3" fontId="14" fillId="6" borderId="4" xfId="0" applyNumberFormat="1" applyFont="1" applyFill="1" applyBorder="1" applyAlignment="1">
      <alignment horizontal="center"/>
    </xf>
    <xf numFmtId="0" fontId="4" fillId="3" borderId="3" xfId="0" applyFont="1" applyFill="1" applyBorder="1" applyAlignment="1">
      <alignment horizontal="center" shrinkToFit="1"/>
    </xf>
    <xf numFmtId="0" fontId="4" fillId="3" borderId="6" xfId="0" applyFont="1" applyFill="1" applyBorder="1" applyAlignment="1">
      <alignment horizontal="center" shrinkToFi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pplyProtection="1">
      <alignment vertical="center"/>
      <protection locked="0"/>
    </xf>
    <xf numFmtId="37" fontId="11" fillId="3" borderId="0" xfId="0" applyNumberFormat="1" applyFont="1" applyFill="1" applyAlignment="1">
      <alignment horizontal="left" vertical="center"/>
    </xf>
    <xf numFmtId="0" fontId="0" fillId="3" borderId="0" xfId="0" applyFill="1" applyAlignment="1">
      <alignment horizontal="left" vertical="center"/>
    </xf>
    <xf numFmtId="37" fontId="3" fillId="3" borderId="0" xfId="0" applyNumberFormat="1" applyFont="1" applyFill="1" applyAlignment="1">
      <alignment horizontal="left" vertical="center"/>
    </xf>
    <xf numFmtId="0" fontId="4" fillId="3" borderId="0" xfId="0" applyFont="1" applyFill="1" applyAlignment="1">
      <alignment vertical="center"/>
    </xf>
    <xf numFmtId="0" fontId="11" fillId="3" borderId="0" xfId="0" applyFont="1" applyFill="1" applyAlignment="1">
      <alignment vertical="center"/>
    </xf>
    <xf numFmtId="37" fontId="4" fillId="3" borderId="0" xfId="0" applyNumberFormat="1" applyFont="1" applyFill="1" applyAlignment="1" applyProtection="1">
      <alignment horizontal="left" vertical="center"/>
      <protection locked="0"/>
    </xf>
    <xf numFmtId="37" fontId="4" fillId="3" borderId="0" xfId="0" applyNumberFormat="1" applyFont="1" applyFill="1" applyAlignment="1">
      <alignment horizontal="left" vertical="center"/>
    </xf>
    <xf numFmtId="0" fontId="3" fillId="5" borderId="1" xfId="0" applyFont="1" applyFill="1" applyBorder="1" applyAlignment="1" applyProtection="1">
      <alignment horizontal="center" vertical="center"/>
      <protection locked="0"/>
    </xf>
    <xf numFmtId="37" fontId="3" fillId="3" borderId="0" xfId="0" applyNumberFormat="1" applyFont="1" applyFill="1" applyAlignment="1">
      <alignment horizontal="centerContinuous" vertical="center"/>
    </xf>
    <xf numFmtId="0" fontId="4" fillId="3" borderId="0" xfId="0" applyFont="1" applyFill="1" applyAlignment="1">
      <alignment horizontal="centerContinuous" vertical="center"/>
    </xf>
    <xf numFmtId="0" fontId="4" fillId="3" borderId="8" xfId="0" applyFont="1" applyFill="1" applyBorder="1" applyAlignment="1">
      <alignment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37" fontId="4" fillId="3" borderId="0" xfId="0" applyNumberFormat="1" applyFont="1" applyFill="1" applyAlignment="1">
      <alignment horizontal="center" vertical="center"/>
    </xf>
    <xf numFmtId="37" fontId="4" fillId="7" borderId="7" xfId="0" applyNumberFormat="1" applyFont="1" applyFill="1" applyBorder="1" applyAlignment="1">
      <alignment horizontal="center" vertical="center"/>
    </xf>
    <xf numFmtId="37" fontId="4" fillId="3" borderId="1" xfId="0" applyNumberFormat="1" applyFont="1" applyFill="1" applyBorder="1" applyAlignment="1">
      <alignment horizontal="left" vertical="center"/>
    </xf>
    <xf numFmtId="0" fontId="4" fillId="3" borderId="1" xfId="0" applyFont="1" applyFill="1" applyBorder="1" applyAlignment="1">
      <alignment vertical="center"/>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8" xfId="0" applyNumberFormat="1" applyFont="1" applyFill="1" applyBorder="1" applyAlignment="1">
      <alignment horizontal="left" vertical="center"/>
    </xf>
    <xf numFmtId="37" fontId="4" fillId="3" borderId="11" xfId="0" applyNumberFormat="1" applyFont="1" applyFill="1" applyBorder="1" applyAlignment="1">
      <alignment vertical="center"/>
    </xf>
    <xf numFmtId="37" fontId="4" fillId="4" borderId="1" xfId="0" applyNumberFormat="1" applyFont="1" applyFill="1" applyBorder="1" applyAlignment="1">
      <alignment vertical="center"/>
    </xf>
    <xf numFmtId="37" fontId="4" fillId="3" borderId="0" xfId="0" applyNumberFormat="1" applyFont="1" applyFill="1" applyAlignment="1">
      <alignment vertical="center"/>
    </xf>
    <xf numFmtId="3" fontId="4" fillId="5" borderId="1" xfId="0" applyNumberFormat="1"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3" fontId="4" fillId="4" borderId="1" xfId="0" applyNumberFormat="1" applyFont="1" applyFill="1" applyBorder="1" applyAlignment="1">
      <alignment vertical="center"/>
    </xf>
    <xf numFmtId="164" fontId="4" fillId="3" borderId="0" xfId="0" applyNumberFormat="1" applyFont="1" applyFill="1" applyAlignment="1" applyProtection="1">
      <alignment vertical="center"/>
      <protection locked="0"/>
    </xf>
    <xf numFmtId="3" fontId="4" fillId="3" borderId="0" xfId="0" applyNumberFormat="1" applyFont="1" applyFill="1" applyAlignment="1" applyProtection="1">
      <alignment vertical="center"/>
      <protection locked="0"/>
    </xf>
    <xf numFmtId="37" fontId="4" fillId="3" borderId="1" xfId="0" applyNumberFormat="1" applyFont="1" applyFill="1" applyBorder="1" applyAlignment="1">
      <alignment vertical="center"/>
    </xf>
    <xf numFmtId="0" fontId="4" fillId="3" borderId="12" xfId="0" applyFont="1" applyFill="1" applyBorder="1" applyAlignment="1">
      <alignment vertical="center"/>
    </xf>
    <xf numFmtId="164" fontId="4" fillId="4" borderId="1" xfId="0" applyNumberFormat="1" applyFont="1" applyFill="1" applyBorder="1" applyAlignment="1">
      <alignment vertical="center"/>
    </xf>
    <xf numFmtId="0" fontId="4" fillId="3" borderId="11" xfId="0" applyFont="1" applyFill="1" applyBorder="1" applyAlignment="1">
      <alignment vertical="center"/>
    </xf>
    <xf numFmtId="0" fontId="4" fillId="3" borderId="10" xfId="0" applyFont="1" applyFill="1" applyBorder="1" applyAlignment="1">
      <alignment vertical="center"/>
    </xf>
    <xf numFmtId="0" fontId="5" fillId="3" borderId="0" xfId="0" applyFont="1" applyFill="1" applyAlignment="1">
      <alignment horizontal="center" vertical="center"/>
    </xf>
    <xf numFmtId="3" fontId="4" fillId="3" borderId="0" xfId="0" applyNumberFormat="1" applyFont="1" applyFill="1" applyAlignment="1">
      <alignment vertical="center"/>
    </xf>
    <xf numFmtId="0" fontId="4" fillId="3" borderId="0" xfId="0" applyFont="1" applyFill="1" applyAlignment="1" applyProtection="1">
      <alignment vertical="center"/>
      <protection locked="0"/>
    </xf>
    <xf numFmtId="0" fontId="4" fillId="3" borderId="8" xfId="0" applyFont="1" applyFill="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12" xfId="0"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0" fillId="0" borderId="0" xfId="0" applyAlignment="1">
      <alignment vertical="center"/>
    </xf>
    <xf numFmtId="37" fontId="4" fillId="3" borderId="12" xfId="0" applyNumberFormat="1" applyFont="1" applyFill="1" applyBorder="1" applyAlignment="1">
      <alignment horizontal="left" vertical="center"/>
    </xf>
    <xf numFmtId="37" fontId="4" fillId="3" borderId="11" xfId="0" applyNumberFormat="1" applyFont="1" applyFill="1" applyBorder="1" applyAlignment="1">
      <alignment horizontal="left" vertical="center"/>
    </xf>
    <xf numFmtId="3" fontId="4" fillId="5" borderId="11" xfId="0" applyNumberFormat="1"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37" fontId="4" fillId="5" borderId="1" xfId="0" applyNumberFormat="1" applyFont="1" applyFill="1" applyBorder="1" applyAlignment="1" applyProtection="1">
      <alignment horizontal="right" vertical="center" wrapText="1"/>
      <protection locked="0"/>
    </xf>
    <xf numFmtId="37" fontId="4" fillId="4" borderId="1" xfId="0" applyNumberFormat="1" applyFont="1" applyFill="1" applyBorder="1" applyAlignment="1">
      <alignment horizontal="right" vertical="center" wrapText="1"/>
    </xf>
    <xf numFmtId="0" fontId="11" fillId="3" borderId="0" xfId="0" applyFont="1" applyFill="1" applyAlignment="1">
      <alignment horizontal="center" vertical="center"/>
    </xf>
    <xf numFmtId="0" fontId="4" fillId="3" borderId="13" xfId="0" applyFont="1" applyFill="1" applyBorder="1" applyAlignment="1">
      <alignment vertical="center"/>
    </xf>
    <xf numFmtId="3" fontId="0" fillId="3" borderId="0" xfId="0" applyNumberFormat="1" applyFill="1" applyAlignment="1" applyProtection="1">
      <alignment vertical="center"/>
      <protection locked="0"/>
    </xf>
    <xf numFmtId="37" fontId="3" fillId="3" borderId="5" xfId="0" applyNumberFormat="1" applyFont="1" applyFill="1" applyBorder="1" applyAlignment="1">
      <alignment horizontal="left" vertical="center"/>
    </xf>
    <xf numFmtId="37" fontId="4" fillId="3" borderId="2" xfId="0" applyNumberFormat="1" applyFont="1" applyFill="1" applyBorder="1" applyAlignment="1">
      <alignment horizontal="left" vertical="center"/>
    </xf>
    <xf numFmtId="3" fontId="4" fillId="4" borderId="10" xfId="0" applyNumberFormat="1" applyFont="1" applyFill="1" applyBorder="1" applyAlignment="1">
      <alignment vertical="center"/>
    </xf>
    <xf numFmtId="3" fontId="4" fillId="3" borderId="8" xfId="0" applyNumberFormat="1" applyFont="1" applyFill="1" applyBorder="1" applyAlignment="1">
      <alignment vertical="center"/>
    </xf>
    <xf numFmtId="0" fontId="4" fillId="3" borderId="0" xfId="0" applyFont="1" applyFill="1" applyAlignment="1">
      <alignment horizontal="center" vertical="center"/>
    </xf>
    <xf numFmtId="37" fontId="4" fillId="8" borderId="0" xfId="0" applyNumberFormat="1" applyFont="1" applyFill="1" applyAlignment="1">
      <alignment horizontal="left" vertical="center"/>
    </xf>
    <xf numFmtId="0" fontId="4" fillId="8" borderId="0" xfId="0" applyFont="1" applyFill="1" applyAlignment="1">
      <alignment vertical="center"/>
    </xf>
    <xf numFmtId="0" fontId="0" fillId="8" borderId="0" xfId="0" applyFill="1" applyAlignment="1">
      <alignment vertical="center"/>
    </xf>
    <xf numFmtId="0" fontId="0" fillId="3" borderId="8" xfId="0" applyFill="1" applyBorder="1" applyAlignment="1">
      <alignment vertical="center"/>
    </xf>
    <xf numFmtId="0" fontId="0" fillId="3" borderId="12" xfId="0" applyFill="1" applyBorder="1" applyAlignment="1">
      <alignment vertical="center"/>
    </xf>
    <xf numFmtId="3" fontId="4" fillId="5" borderId="7" xfId="0" applyNumberFormat="1" applyFont="1" applyFill="1" applyBorder="1" applyAlignment="1" applyProtection="1">
      <alignment vertical="center"/>
      <protection locked="0"/>
    </xf>
    <xf numFmtId="0" fontId="0" fillId="3" borderId="11" xfId="0" applyFill="1" applyBorder="1" applyAlignment="1">
      <alignment vertical="center"/>
    </xf>
    <xf numFmtId="0" fontId="0" fillId="3" borderId="10" xfId="0" applyFill="1" applyBorder="1" applyAlignment="1">
      <alignment vertical="center"/>
    </xf>
    <xf numFmtId="0" fontId="4" fillId="7" borderId="6" xfId="0" applyFont="1" applyFill="1" applyBorder="1" applyAlignment="1">
      <alignment horizontal="center" vertical="center"/>
    </xf>
    <xf numFmtId="0" fontId="14" fillId="3" borderId="0" xfId="0" applyFont="1" applyFill="1" applyAlignment="1">
      <alignment vertical="center"/>
    </xf>
    <xf numFmtId="0" fontId="17" fillId="3" borderId="0" xfId="0" applyFont="1" applyFill="1" applyAlignment="1">
      <alignment vertical="center"/>
    </xf>
    <xf numFmtId="0" fontId="4" fillId="7" borderId="7" xfId="0" applyFont="1" applyFill="1" applyBorder="1" applyAlignment="1">
      <alignment horizontal="center" vertical="center"/>
    </xf>
    <xf numFmtId="37" fontId="4" fillId="3" borderId="7" xfId="0" applyNumberFormat="1" applyFont="1" applyFill="1" applyBorder="1" applyAlignment="1">
      <alignment vertical="center"/>
    </xf>
    <xf numFmtId="0" fontId="4" fillId="3" borderId="0" xfId="0" applyFont="1" applyFill="1" applyAlignment="1">
      <alignment horizontal="right" vertical="center"/>
    </xf>
    <xf numFmtId="37" fontId="4" fillId="3" borderId="0" xfId="0" applyNumberFormat="1" applyFont="1" applyFill="1" applyAlignment="1">
      <alignment horizontal="centerContinuous" vertical="center"/>
    </xf>
    <xf numFmtId="37" fontId="4" fillId="3" borderId="2" xfId="0" applyNumberFormat="1" applyFont="1" applyFill="1" applyBorder="1" applyAlignment="1">
      <alignment horizontal="centerContinuous" vertical="center"/>
    </xf>
    <xf numFmtId="0" fontId="4" fillId="3" borderId="11" xfId="0" applyFont="1" applyFill="1" applyBorder="1" applyAlignment="1">
      <alignment horizontal="centerContinuous" vertical="center"/>
    </xf>
    <xf numFmtId="0" fontId="4" fillId="3" borderId="10" xfId="0" applyFont="1" applyFill="1" applyBorder="1" applyAlignment="1">
      <alignment horizontal="centerContinuous" vertical="center"/>
    </xf>
    <xf numFmtId="37" fontId="4" fillId="3" borderId="8" xfId="0" applyNumberFormat="1" applyFont="1" applyFill="1" applyBorder="1" applyAlignment="1">
      <alignment horizontal="fill" vertical="center"/>
    </xf>
    <xf numFmtId="37" fontId="4" fillId="3" borderId="3" xfId="0" applyNumberFormat="1" applyFont="1" applyFill="1" applyBorder="1" applyAlignment="1">
      <alignment horizontal="left" vertical="center"/>
    </xf>
    <xf numFmtId="37" fontId="4" fillId="3" borderId="3" xfId="0" applyNumberFormat="1" applyFont="1" applyFill="1" applyBorder="1" applyAlignment="1">
      <alignment horizontal="center" vertical="center"/>
    </xf>
    <xf numFmtId="37" fontId="4" fillId="3" borderId="6" xfId="0" applyNumberFormat="1" applyFont="1" applyFill="1" applyBorder="1" applyAlignment="1">
      <alignment horizontal="center" vertical="center"/>
    </xf>
    <xf numFmtId="0" fontId="4" fillId="3" borderId="6" xfId="0" applyFont="1" applyFill="1" applyBorder="1" applyAlignment="1">
      <alignment horizontal="center" vertical="center"/>
    </xf>
    <xf numFmtId="37" fontId="3" fillId="3" borderId="8" xfId="0" applyNumberFormat="1" applyFont="1" applyFill="1" applyBorder="1" applyAlignment="1">
      <alignment horizontal="left" vertical="center"/>
    </xf>
    <xf numFmtId="37" fontId="4" fillId="3" borderId="7" xfId="0" applyNumberFormat="1" applyFont="1" applyFill="1" applyBorder="1" applyAlignment="1">
      <alignment horizontal="center" vertical="center"/>
    </xf>
    <xf numFmtId="0" fontId="4" fillId="3" borderId="7" xfId="0" applyFont="1" applyFill="1" applyBorder="1" applyAlignment="1">
      <alignment horizontal="center" vertical="center"/>
    </xf>
    <xf numFmtId="37" fontId="4" fillId="3" borderId="1" xfId="0" applyNumberFormat="1" applyFont="1" applyFill="1" applyBorder="1" applyAlignment="1">
      <alignment horizontal="center" vertical="center"/>
    </xf>
    <xf numFmtId="0" fontId="4" fillId="3" borderId="3" xfId="0" applyFont="1" applyFill="1" applyBorder="1" applyAlignment="1">
      <alignment vertical="center"/>
    </xf>
    <xf numFmtId="0" fontId="4" fillId="3" borderId="6" xfId="0" applyFont="1" applyFill="1" applyBorder="1" applyAlignment="1">
      <alignment vertical="center"/>
    </xf>
    <xf numFmtId="37" fontId="11" fillId="3" borderId="2" xfId="0" applyNumberFormat="1" applyFont="1" applyFill="1" applyBorder="1" applyAlignment="1">
      <alignment horizontal="left" vertical="center"/>
    </xf>
    <xf numFmtId="37" fontId="11" fillId="3" borderId="10"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7" xfId="0" applyFont="1" applyFill="1" applyBorder="1" applyAlignment="1">
      <alignment vertical="center"/>
    </xf>
    <xf numFmtId="37" fontId="4" fillId="4" borderId="1" xfId="0" applyNumberFormat="1" applyFont="1" applyFill="1" applyBorder="1" applyAlignment="1">
      <alignment horizontal="center" vertical="center"/>
    </xf>
    <xf numFmtId="37" fontId="4" fillId="3" borderId="2" xfId="0" applyNumberFormat="1" applyFont="1" applyFill="1" applyBorder="1" applyAlignment="1">
      <alignment vertical="center"/>
    </xf>
    <xf numFmtId="0" fontId="4" fillId="3" borderId="10" xfId="0" applyFont="1" applyFill="1" applyBorder="1" applyAlignment="1">
      <alignment horizontal="center" vertical="center"/>
    </xf>
    <xf numFmtId="37" fontId="4" fillId="3" borderId="10" xfId="0" applyNumberFormat="1"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xf>
    <xf numFmtId="37" fontId="4" fillId="3" borderId="0" xfId="0" applyNumberFormat="1" applyFont="1" applyFill="1" applyAlignment="1">
      <alignment horizontal="right" vertical="center"/>
    </xf>
    <xf numFmtId="0" fontId="4" fillId="5" borderId="8" xfId="0" applyFont="1" applyFill="1" applyBorder="1" applyAlignment="1" applyProtection="1">
      <alignment vertical="center"/>
      <protection locked="0"/>
    </xf>
    <xf numFmtId="0" fontId="4" fillId="5" borderId="11" xfId="0" applyFont="1" applyFill="1" applyBorder="1" applyAlignment="1" applyProtection="1">
      <alignment vertical="center"/>
      <protection locked="0"/>
    </xf>
    <xf numFmtId="0" fontId="4" fillId="3" borderId="0" xfId="0" applyFont="1" applyFill="1" applyAlignment="1">
      <alignment horizontal="left" vertical="center"/>
    </xf>
    <xf numFmtId="0" fontId="3" fillId="3" borderId="0" xfId="0" applyFont="1" applyFill="1" applyAlignment="1">
      <alignment horizontal="center" vertical="center"/>
    </xf>
    <xf numFmtId="0" fontId="4" fillId="3" borderId="8" xfId="0" applyFont="1" applyFill="1" applyBorder="1" applyAlignment="1">
      <alignment horizontal="centerContinuous" vertical="center"/>
    </xf>
    <xf numFmtId="0" fontId="4" fillId="3" borderId="3" xfId="0" applyFont="1" applyFill="1" applyBorder="1" applyAlignment="1">
      <alignment horizontal="center" vertical="center"/>
    </xf>
    <xf numFmtId="3" fontId="4" fillId="4" borderId="15" xfId="0" applyNumberFormat="1" applyFont="1" applyFill="1" applyBorder="1" applyAlignment="1">
      <alignment horizontal="center" vertical="center"/>
    </xf>
    <xf numFmtId="166" fontId="4" fillId="3" borderId="0" xfId="0" applyNumberFormat="1" applyFont="1" applyFill="1" applyAlignment="1">
      <alignment vertical="center"/>
    </xf>
    <xf numFmtId="37" fontId="4" fillId="3" borderId="8" xfId="0" applyNumberFormat="1" applyFont="1" applyFill="1" applyBorder="1" applyAlignment="1">
      <alignment vertical="center"/>
    </xf>
    <xf numFmtId="0" fontId="4" fillId="0" borderId="0" xfId="0" applyFont="1" applyAlignment="1" applyProtection="1">
      <alignment horizontal="center" vertical="center"/>
      <protection locked="0"/>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1" fontId="4" fillId="3" borderId="7" xfId="0" applyNumberFormat="1" applyFont="1" applyFill="1" applyBorder="1" applyAlignment="1">
      <alignment horizontal="center" vertical="center"/>
    </xf>
    <xf numFmtId="0" fontId="4" fillId="5" borderId="7" xfId="0" applyFont="1" applyFill="1" applyBorder="1" applyAlignment="1" applyProtection="1">
      <alignment vertical="center"/>
      <protection locked="0"/>
    </xf>
    <xf numFmtId="0" fontId="4" fillId="5" borderId="7" xfId="0" applyFont="1" applyFill="1" applyBorder="1" applyAlignment="1" applyProtection="1">
      <alignment horizontal="center" vertical="center"/>
      <protection locked="0"/>
    </xf>
    <xf numFmtId="0" fontId="4" fillId="5" borderId="1" xfId="0" applyFont="1" applyFill="1" applyBorder="1" applyAlignment="1" applyProtection="1">
      <alignment vertical="center"/>
      <protection locked="0"/>
    </xf>
    <xf numFmtId="0" fontId="3" fillId="3" borderId="1" xfId="0" applyFont="1" applyFill="1" applyBorder="1" applyAlignment="1">
      <alignment horizontal="center" vertical="center"/>
    </xf>
    <xf numFmtId="3" fontId="4" fillId="4" borderId="1" xfId="0" applyNumberFormat="1" applyFont="1" applyFill="1" applyBorder="1" applyAlignment="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lignment horizontal="center" vertical="center"/>
    </xf>
    <xf numFmtId="0" fontId="4" fillId="5" borderId="1" xfId="0" applyFont="1" applyFill="1" applyBorder="1" applyAlignment="1" applyProtection="1">
      <alignment horizontal="center" vertical="center"/>
      <protection locked="0"/>
    </xf>
    <xf numFmtId="0" fontId="3" fillId="3" borderId="0" xfId="519" applyFont="1" applyFill="1" applyAlignment="1">
      <alignment horizontal="centerContinuous" vertical="center"/>
    </xf>
    <xf numFmtId="0" fontId="4" fillId="3" borderId="8" xfId="0" applyFont="1" applyFill="1" applyBorder="1" applyAlignment="1">
      <alignment horizontal="fill" vertical="center"/>
    </xf>
    <xf numFmtId="0" fontId="6" fillId="3" borderId="7" xfId="0" applyFont="1" applyFill="1" applyBorder="1" applyAlignment="1">
      <alignment horizontal="center" vertical="center"/>
    </xf>
    <xf numFmtId="14" fontId="4" fillId="3" borderId="7" xfId="0" quotePrefix="1" applyNumberFormat="1"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1" fontId="4" fillId="2" borderId="1" xfId="0" applyNumberFormat="1" applyFont="1" applyFill="1" applyBorder="1" applyAlignment="1" applyProtection="1">
      <alignment horizontal="center" vertical="center"/>
      <protection locked="0"/>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0" fontId="3" fillId="3" borderId="0" xfId="0" applyFont="1" applyFill="1" applyAlignment="1">
      <alignment horizontal="left" vertical="center"/>
    </xf>
    <xf numFmtId="3" fontId="3" fillId="4" borderId="15" xfId="0" applyNumberFormat="1" applyFont="1" applyFill="1" applyBorder="1" applyAlignment="1">
      <alignment horizontal="center" vertical="center"/>
    </xf>
    <xf numFmtId="0" fontId="4" fillId="0" borderId="0" xfId="0" applyFont="1" applyAlignment="1">
      <alignment horizontal="centerContinuous" vertical="center"/>
    </xf>
    <xf numFmtId="37" fontId="4" fillId="3" borderId="0" xfId="0" applyNumberFormat="1" applyFont="1" applyFill="1" applyAlignment="1">
      <alignment horizontal="fill" vertical="center"/>
    </xf>
    <xf numFmtId="1" fontId="4" fillId="3" borderId="2" xfId="0" applyNumberFormat="1" applyFont="1" applyFill="1" applyBorder="1" applyAlignment="1">
      <alignment horizontal="centerContinuous" vertical="center"/>
    </xf>
    <xf numFmtId="1" fontId="4" fillId="3" borderId="3" xfId="0" applyNumberFormat="1" applyFont="1" applyFill="1" applyBorder="1" applyAlignment="1">
      <alignment horizontal="center" vertical="center"/>
    </xf>
    <xf numFmtId="37" fontId="4" fillId="3" borderId="7" xfId="0" applyNumberFormat="1" applyFont="1" applyFill="1" applyBorder="1" applyAlignment="1">
      <alignment horizontal="fill" vertical="center"/>
    </xf>
    <xf numFmtId="1" fontId="5" fillId="3" borderId="0" xfId="0" applyNumberFormat="1" applyFont="1" applyFill="1" applyAlignment="1">
      <alignment horizontal="center" vertical="center"/>
    </xf>
    <xf numFmtId="3" fontId="4" fillId="3" borderId="8" xfId="0" applyNumberFormat="1" applyFont="1" applyFill="1" applyBorder="1" applyAlignment="1">
      <alignment horizontal="center" vertical="center"/>
    </xf>
    <xf numFmtId="0" fontId="4" fillId="5" borderId="0" xfId="0" applyFont="1" applyFill="1" applyAlignment="1" applyProtection="1">
      <alignment horizontal="left" vertical="center"/>
      <protection locked="0"/>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3" fontId="4" fillId="5" borderId="1" xfId="0" applyNumberFormat="1" applyFont="1" applyFill="1" applyBorder="1" applyAlignment="1" applyProtection="1">
      <alignment horizontal="center" vertical="center"/>
      <protection locked="0"/>
    </xf>
    <xf numFmtId="171"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3" fontId="4" fillId="5" borderId="3" xfId="0" applyNumberFormat="1" applyFont="1" applyFill="1" applyBorder="1" applyAlignment="1" applyProtection="1">
      <alignment horizontal="center" vertical="center"/>
      <protection locked="0"/>
    </xf>
    <xf numFmtId="3" fontId="4" fillId="3" borderId="15" xfId="0" applyNumberFormat="1" applyFont="1" applyFill="1" applyBorder="1" applyAlignment="1">
      <alignment horizontal="center" vertical="center"/>
    </xf>
    <xf numFmtId="171" fontId="4" fillId="3" borderId="15" xfId="0" applyNumberFormat="1" applyFont="1" applyFill="1" applyBorder="1" applyAlignment="1">
      <alignment horizontal="center" vertical="center"/>
    </xf>
    <xf numFmtId="171" fontId="4" fillId="3" borderId="8" xfId="0" applyNumberFormat="1" applyFont="1" applyFill="1" applyBorder="1" applyAlignment="1">
      <alignment horizontal="center" vertical="center"/>
    </xf>
    <xf numFmtId="171" fontId="4" fillId="3" borderId="0" xfId="0" applyNumberFormat="1" applyFont="1" applyFill="1" applyAlignment="1">
      <alignment horizontal="center" vertical="center"/>
    </xf>
    <xf numFmtId="0" fontId="0" fillId="3" borderId="0" xfId="0" applyFill="1" applyAlignment="1">
      <alignment horizontal="center" vertical="center"/>
    </xf>
    <xf numFmtId="169" fontId="4" fillId="3" borderId="0" xfId="0" applyNumberFormat="1" applyFont="1" applyFill="1" applyAlignment="1">
      <alignment vertical="center"/>
    </xf>
    <xf numFmtId="0" fontId="3" fillId="0" borderId="0" xfId="0" applyFont="1" applyAlignment="1">
      <alignment vertical="center" wrapText="1"/>
    </xf>
    <xf numFmtId="0" fontId="10" fillId="3" borderId="3" xfId="0" applyFont="1" applyFill="1" applyBorder="1" applyAlignment="1">
      <alignment vertical="center"/>
    </xf>
    <xf numFmtId="0" fontId="10" fillId="3" borderId="10" xfId="0" applyFont="1" applyFill="1" applyBorder="1" applyAlignment="1">
      <alignment horizontal="center" vertical="center"/>
    </xf>
    <xf numFmtId="0" fontId="10" fillId="3" borderId="4" xfId="0" applyFont="1" applyFill="1" applyBorder="1" applyAlignment="1">
      <alignment vertical="center"/>
    </xf>
    <xf numFmtId="0" fontId="10" fillId="3" borderId="1" xfId="0" applyFont="1" applyFill="1" applyBorder="1" applyAlignment="1">
      <alignment horizontal="center" vertical="center"/>
    </xf>
    <xf numFmtId="0" fontId="10" fillId="3" borderId="9" xfId="0" applyFont="1" applyFill="1" applyBorder="1" applyAlignment="1">
      <alignment vertical="center"/>
    </xf>
    <xf numFmtId="3" fontId="10" fillId="5" borderId="1" xfId="0" applyNumberFormat="1" applyFont="1" applyFill="1" applyBorder="1" applyAlignment="1" applyProtection="1">
      <alignment horizontal="center" vertical="center"/>
      <protection locked="0"/>
    </xf>
    <xf numFmtId="0" fontId="10" fillId="3" borderId="8" xfId="0" applyFont="1" applyFill="1" applyBorder="1" applyAlignment="1">
      <alignment vertical="center"/>
    </xf>
    <xf numFmtId="3" fontId="10" fillId="4" borderId="1" xfId="0" applyNumberFormat="1" applyFont="1" applyFill="1" applyBorder="1" applyAlignment="1">
      <alignment horizontal="center" vertical="center"/>
    </xf>
    <xf numFmtId="0" fontId="10" fillId="3" borderId="0" xfId="0" applyFont="1" applyFill="1" applyAlignment="1">
      <alignment vertical="center"/>
    </xf>
    <xf numFmtId="3" fontId="10" fillId="3" borderId="0" xfId="0" applyNumberFormat="1" applyFont="1" applyFill="1" applyAlignment="1">
      <alignment horizontal="center" vertical="center"/>
    </xf>
    <xf numFmtId="0" fontId="10" fillId="3" borderId="0" xfId="0" applyFont="1" applyFill="1" applyAlignment="1">
      <alignment horizontal="center" vertical="center"/>
    </xf>
    <xf numFmtId="0" fontId="10" fillId="5" borderId="1" xfId="0" applyFont="1" applyFill="1" applyBorder="1" applyAlignment="1" applyProtection="1">
      <alignment vertical="center"/>
      <protection locked="0"/>
    </xf>
    <xf numFmtId="3" fontId="10" fillId="5" borderId="4" xfId="0" applyNumberFormat="1"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0" fillId="5" borderId="0" xfId="0" applyFont="1" applyFill="1" applyAlignment="1" applyProtection="1">
      <alignment vertical="center"/>
      <protection locked="0"/>
    </xf>
    <xf numFmtId="0" fontId="10" fillId="5" borderId="10" xfId="0" applyFont="1" applyFill="1" applyBorder="1" applyAlignment="1" applyProtection="1">
      <alignment vertical="center"/>
      <protection locked="0"/>
    </xf>
    <xf numFmtId="0" fontId="10" fillId="5" borderId="7" xfId="0" applyFont="1" applyFill="1" applyBorder="1" applyAlignment="1" applyProtection="1">
      <alignment vertical="center"/>
      <protection locked="0"/>
    </xf>
    <xf numFmtId="0" fontId="10" fillId="5" borderId="14" xfId="0" applyFont="1" applyFill="1" applyBorder="1" applyAlignment="1" applyProtection="1">
      <alignment vertical="center"/>
      <protection locked="0"/>
    </xf>
    <xf numFmtId="3" fontId="15" fillId="9" borderId="1" xfId="0" applyNumberFormat="1" applyFont="1" applyFill="1" applyBorder="1" applyAlignment="1">
      <alignment horizontal="center" vertical="center"/>
    </xf>
    <xf numFmtId="3" fontId="26" fillId="9" borderId="0" xfId="0" applyNumberFormat="1" applyFont="1" applyFill="1" applyAlignment="1">
      <alignment horizontal="center" vertical="center"/>
    </xf>
    <xf numFmtId="3" fontId="4" fillId="0" borderId="0" xfId="0" applyNumberFormat="1" applyFont="1" applyAlignment="1">
      <alignment vertical="center"/>
    </xf>
    <xf numFmtId="1" fontId="4" fillId="3" borderId="0" xfId="0" applyNumberFormat="1" applyFont="1" applyFill="1" applyAlignment="1">
      <alignment horizontal="right" vertical="center"/>
    </xf>
    <xf numFmtId="0" fontId="3" fillId="3" borderId="0" xfId="0" applyFont="1" applyFill="1" applyAlignment="1">
      <alignment vertical="center"/>
    </xf>
    <xf numFmtId="166" fontId="4" fillId="3" borderId="8" xfId="0" applyNumberFormat="1" applyFont="1" applyFill="1" applyBorder="1" applyAlignment="1">
      <alignment vertical="center"/>
    </xf>
    <xf numFmtId="37" fontId="4" fillId="3" borderId="8" xfId="0" quotePrefix="1" applyNumberFormat="1" applyFont="1" applyFill="1" applyBorder="1" applyAlignment="1">
      <alignment horizontal="right" vertical="center"/>
    </xf>
    <xf numFmtId="3" fontId="4" fillId="2" borderId="10" xfId="0" applyNumberFormat="1" applyFont="1" applyFill="1" applyBorder="1" applyAlignment="1" applyProtection="1">
      <alignment vertical="center"/>
      <protection locked="0"/>
    </xf>
    <xf numFmtId="3" fontId="4" fillId="3" borderId="1" xfId="0" applyNumberFormat="1" applyFont="1" applyFill="1" applyBorder="1" applyAlignment="1">
      <alignment vertical="center"/>
    </xf>
    <xf numFmtId="37" fontId="4" fillId="3" borderId="9" xfId="0" applyNumberFormat="1" applyFont="1" applyFill="1" applyBorder="1" applyAlignment="1">
      <alignment horizontal="left" vertical="center"/>
    </xf>
    <xf numFmtId="0" fontId="4" fillId="2" borderId="2" xfId="0"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37" fontId="4" fillId="2" borderId="2" xfId="0" applyNumberFormat="1" applyFont="1" applyFill="1" applyBorder="1" applyAlignment="1" applyProtection="1">
      <alignment horizontal="left" vertical="center"/>
      <protection locked="0"/>
    </xf>
    <xf numFmtId="0" fontId="4" fillId="3" borderId="2" xfId="0" applyFont="1" applyFill="1" applyBorder="1" applyAlignment="1">
      <alignment vertical="center"/>
    </xf>
    <xf numFmtId="3" fontId="14" fillId="6" borderId="4" xfId="0" applyNumberFormat="1" applyFont="1" applyFill="1" applyBorder="1" applyAlignment="1">
      <alignment horizontal="center" vertical="center"/>
    </xf>
    <xf numFmtId="37" fontId="3" fillId="3" borderId="2" xfId="0" applyNumberFormat="1" applyFont="1" applyFill="1" applyBorder="1" applyAlignment="1">
      <alignment horizontal="left" vertical="center"/>
    </xf>
    <xf numFmtId="37" fontId="3" fillId="4" borderId="1" xfId="0" applyNumberFormat="1" applyFont="1" applyFill="1" applyBorder="1" applyAlignment="1">
      <alignment vertical="center"/>
    </xf>
    <xf numFmtId="3" fontId="3" fillId="4" borderId="1" xfId="0" applyNumberFormat="1" applyFont="1" applyFill="1" applyBorder="1" applyAlignment="1">
      <alignment vertical="center"/>
    </xf>
    <xf numFmtId="3" fontId="4" fillId="3" borderId="0" xfId="0" applyNumberFormat="1" applyFont="1" applyFill="1" applyAlignment="1">
      <alignment horizontal="center" vertical="center"/>
    </xf>
    <xf numFmtId="0" fontId="12" fillId="3" borderId="0" xfId="0" applyFont="1" applyFill="1" applyAlignment="1">
      <alignment horizontal="center" vertical="center"/>
    </xf>
    <xf numFmtId="0" fontId="4" fillId="3" borderId="2" xfId="0" applyFont="1" applyFill="1" applyBorder="1" applyAlignment="1">
      <alignment horizontal="left" vertical="center"/>
    </xf>
    <xf numFmtId="0" fontId="4" fillId="3" borderId="9" xfId="0" applyFont="1" applyFill="1" applyBorder="1" applyAlignment="1">
      <alignment horizontal="left" vertical="center"/>
    </xf>
    <xf numFmtId="0" fontId="4" fillId="2" borderId="2" xfId="0" applyFont="1" applyFill="1" applyBorder="1" applyAlignment="1" applyProtection="1">
      <alignment horizontal="left" vertical="center"/>
      <protection locked="0"/>
    </xf>
    <xf numFmtId="3" fontId="4" fillId="3" borderId="8" xfId="0" applyNumberFormat="1" applyFont="1" applyFill="1" applyBorder="1" applyAlignment="1">
      <alignment horizontal="fill" vertical="center"/>
    </xf>
    <xf numFmtId="3" fontId="4" fillId="3" borderId="1" xfId="0" applyNumberFormat="1"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3" fontId="4" fillId="3" borderId="1" xfId="0" applyNumberFormat="1" applyFont="1" applyFill="1" applyBorder="1" applyAlignment="1">
      <alignment horizontal="fill" vertical="center"/>
    </xf>
    <xf numFmtId="0" fontId="14" fillId="0" borderId="0" xfId="0" applyFont="1" applyAlignment="1">
      <alignment vertical="center"/>
    </xf>
    <xf numFmtId="3" fontId="4" fillId="0" borderId="0" xfId="0" applyNumberFormat="1" applyFont="1" applyAlignment="1" applyProtection="1">
      <alignment horizontal="fill" vertical="center"/>
      <protection locked="0"/>
    </xf>
    <xf numFmtId="37" fontId="3" fillId="4" borderId="2" xfId="0" applyNumberFormat="1" applyFont="1" applyFill="1" applyBorder="1" applyAlignment="1">
      <alignment horizontal="left" vertical="center"/>
    </xf>
    <xf numFmtId="3" fontId="4" fillId="9" borderId="15" xfId="0" applyNumberFormat="1" applyFont="1" applyFill="1" applyBorder="1" applyAlignment="1">
      <alignment vertical="center"/>
    </xf>
    <xf numFmtId="37" fontId="4" fillId="3" borderId="0" xfId="0" quotePrefix="1" applyNumberFormat="1" applyFont="1" applyFill="1" applyAlignment="1">
      <alignment horizontal="right" vertical="center"/>
    </xf>
    <xf numFmtId="3" fontId="4" fillId="3"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3" borderId="1" xfId="0" applyNumberFormat="1" applyFont="1" applyFill="1" applyBorder="1" applyAlignment="1">
      <alignment horizontal="right" vertical="center"/>
    </xf>
    <xf numFmtId="0" fontId="4" fillId="2" borderId="5" xfId="0" applyFont="1" applyFill="1" applyBorder="1" applyAlignment="1" applyProtection="1">
      <alignment horizontal="left" vertical="center"/>
      <protection locked="0"/>
    </xf>
    <xf numFmtId="3" fontId="14" fillId="6" borderId="1" xfId="0" applyNumberFormat="1" applyFont="1" applyFill="1" applyBorder="1" applyAlignment="1">
      <alignment horizontal="center" vertical="center"/>
    </xf>
    <xf numFmtId="3" fontId="3" fillId="4" borderId="7"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0" fontId="4" fillId="3" borderId="0" xfId="0" applyFont="1" applyFill="1" applyAlignment="1">
      <alignment horizontal="fill" vertical="center"/>
    </xf>
    <xf numFmtId="37" fontId="4" fillId="3" borderId="1" xfId="0" applyNumberFormat="1" applyFont="1" applyFill="1" applyBorder="1" applyAlignment="1">
      <alignment horizontal="fill" vertical="center"/>
    </xf>
    <xf numFmtId="37" fontId="4" fillId="2" borderId="2" xfId="0" applyNumberFormat="1" applyFont="1" applyFill="1" applyBorder="1" applyAlignment="1" applyProtection="1">
      <alignment vertical="center"/>
      <protection locked="0"/>
    </xf>
    <xf numFmtId="0" fontId="3" fillId="3" borderId="2"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4" fillId="4" borderId="2" xfId="0" applyFont="1" applyFill="1" applyBorder="1" applyAlignment="1">
      <alignment vertical="center"/>
    </xf>
    <xf numFmtId="0" fontId="4" fillId="3" borderId="1" xfId="0" applyFont="1" applyFill="1" applyBorder="1" applyAlignment="1">
      <alignment horizontal="left" vertical="center"/>
    </xf>
    <xf numFmtId="0" fontId="4" fillId="5"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37" fontId="3" fillId="9" borderId="15" xfId="0" applyNumberFormat="1" applyFont="1" applyFill="1" applyBorder="1" applyAlignment="1">
      <alignment vertical="center"/>
    </xf>
    <xf numFmtId="0" fontId="4" fillId="12" borderId="0" xfId="0" applyFont="1" applyFill="1" applyAlignment="1">
      <alignment vertical="center"/>
    </xf>
    <xf numFmtId="37" fontId="4" fillId="12" borderId="0" xfId="0" applyNumberFormat="1" applyFont="1" applyFill="1" applyAlignment="1">
      <alignment vertical="center"/>
    </xf>
    <xf numFmtId="0" fontId="4" fillId="12" borderId="0" xfId="0" applyFont="1" applyFill="1" applyAlignment="1">
      <alignment horizontal="left" vertical="center"/>
    </xf>
    <xf numFmtId="0" fontId="4" fillId="12" borderId="16" xfId="0" applyFont="1" applyFill="1" applyBorder="1" applyAlignment="1">
      <alignment horizontal="left" vertical="center"/>
    </xf>
    <xf numFmtId="37" fontId="4" fillId="12" borderId="16" xfId="0" applyNumberFormat="1" applyFont="1" applyFill="1" applyBorder="1" applyAlignment="1">
      <alignment vertical="center"/>
    </xf>
    <xf numFmtId="0" fontId="4" fillId="13" borderId="16" xfId="0" applyFont="1" applyFill="1" applyBorder="1" applyAlignment="1" applyProtection="1">
      <alignment horizontal="left" vertical="center"/>
      <protection locked="0"/>
    </xf>
    <xf numFmtId="37" fontId="4" fillId="13" borderId="16" xfId="0" applyNumberFormat="1" applyFont="1" applyFill="1" applyBorder="1" applyAlignment="1" applyProtection="1">
      <alignment vertical="center"/>
      <protection locked="0"/>
    </xf>
    <xf numFmtId="0" fontId="4" fillId="13" borderId="16" xfId="0" applyFont="1" applyFill="1" applyBorder="1" applyAlignment="1" applyProtection="1">
      <alignment vertical="center"/>
      <protection locked="0"/>
    </xf>
    <xf numFmtId="37" fontId="3" fillId="14" borderId="16" xfId="0" applyNumberFormat="1" applyFont="1" applyFill="1" applyBorder="1" applyAlignment="1">
      <alignment vertical="center"/>
    </xf>
    <xf numFmtId="0" fontId="4" fillId="13" borderId="0" xfId="0" applyFont="1" applyFill="1" applyAlignment="1" applyProtection="1">
      <alignment horizontal="left" vertical="center"/>
      <protection locked="0"/>
    </xf>
    <xf numFmtId="0" fontId="4" fillId="12" borderId="16" xfId="0" applyFont="1" applyFill="1" applyBorder="1" applyAlignment="1">
      <alignment vertical="center"/>
    </xf>
    <xf numFmtId="37" fontId="4" fillId="14" borderId="16" xfId="0" applyNumberFormat="1" applyFont="1" applyFill="1" applyBorder="1" applyAlignment="1">
      <alignment vertical="center"/>
    </xf>
    <xf numFmtId="0" fontId="14" fillId="12" borderId="0" xfId="0" applyFont="1" applyFill="1" applyAlignment="1">
      <alignment vertical="center"/>
    </xf>
    <xf numFmtId="37" fontId="3" fillId="15" borderId="17" xfId="0" applyNumberFormat="1" applyFont="1" applyFill="1" applyBorder="1" applyAlignment="1">
      <alignment vertical="center"/>
    </xf>
    <xf numFmtId="0" fontId="27" fillId="0" borderId="0" xfId="484"/>
    <xf numFmtId="0" fontId="4" fillId="0" borderId="0" xfId="484" applyFont="1" applyAlignment="1">
      <alignment horizontal="left" vertical="center"/>
    </xf>
    <xf numFmtId="0" fontId="13" fillId="0" borderId="0" xfId="0" applyFont="1" applyAlignment="1">
      <alignment horizontal="center"/>
    </xf>
    <xf numFmtId="0" fontId="2" fillId="0" borderId="0" xfId="0" applyFont="1"/>
    <xf numFmtId="0" fontId="28" fillId="0" borderId="0" xfId="0" applyFont="1"/>
    <xf numFmtId="0" fontId="42"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14" fontId="4" fillId="2" borderId="1" xfId="0" applyNumberFormat="1" applyFont="1" applyFill="1" applyBorder="1" applyAlignment="1" applyProtection="1">
      <alignment horizontal="center"/>
      <protection locked="0"/>
    </xf>
    <xf numFmtId="3" fontId="10" fillId="4" borderId="7" xfId="0" applyNumberFormat="1" applyFont="1" applyFill="1" applyBorder="1" applyAlignment="1">
      <alignment horizontal="center" vertical="center"/>
    </xf>
    <xf numFmtId="37" fontId="12" fillId="3" borderId="0" xfId="0" applyNumberFormat="1" applyFont="1" applyFill="1" applyAlignment="1">
      <alignment horizontal="center" vertical="center"/>
    </xf>
    <xf numFmtId="3" fontId="4" fillId="2" borderId="2" xfId="0" applyNumberFormat="1" applyFont="1" applyFill="1" applyBorder="1" applyAlignment="1" applyProtection="1">
      <alignment vertical="center"/>
      <protection locked="0"/>
    </xf>
    <xf numFmtId="3" fontId="14" fillId="6" borderId="2" xfId="0" applyNumberFormat="1" applyFont="1" applyFill="1" applyBorder="1" applyAlignment="1">
      <alignment horizontal="center" vertical="center"/>
    </xf>
    <xf numFmtId="3" fontId="4" fillId="4" borderId="2" xfId="0" applyNumberFormat="1" applyFont="1" applyFill="1" applyBorder="1" applyAlignment="1">
      <alignment vertical="center"/>
    </xf>
    <xf numFmtId="0" fontId="4" fillId="3" borderId="9" xfId="0" applyFont="1" applyFill="1" applyBorder="1" applyAlignment="1">
      <alignment horizontal="center" vertical="center"/>
    </xf>
    <xf numFmtId="3" fontId="3" fillId="4" borderId="2" xfId="0" applyNumberFormat="1" applyFont="1" applyFill="1" applyBorder="1" applyAlignment="1">
      <alignment vertical="center"/>
    </xf>
    <xf numFmtId="3" fontId="4" fillId="3" borderId="2" xfId="0" applyNumberFormat="1" applyFont="1" applyFill="1" applyBorder="1" applyAlignment="1">
      <alignment vertical="center"/>
    </xf>
    <xf numFmtId="3" fontId="4" fillId="2" borderId="2" xfId="0" applyNumberFormat="1" applyFont="1" applyFill="1" applyBorder="1" applyAlignment="1" applyProtection="1">
      <alignment horizontal="right" vertical="center"/>
      <protection locked="0"/>
    </xf>
    <xf numFmtId="1" fontId="4" fillId="3" borderId="9" xfId="0" applyNumberFormat="1" applyFont="1" applyFill="1" applyBorder="1" applyAlignment="1">
      <alignment horizontal="center" vertical="center"/>
    </xf>
    <xf numFmtId="3" fontId="4" fillId="3" borderId="2" xfId="0" applyNumberFormat="1" applyFont="1" applyFill="1" applyBorder="1" applyAlignment="1">
      <alignment horizontal="right" vertical="center"/>
    </xf>
    <xf numFmtId="3" fontId="3" fillId="4" borderId="9" xfId="0" applyNumberFormat="1" applyFont="1" applyFill="1" applyBorder="1" applyAlignment="1">
      <alignment horizontal="right" vertical="center"/>
    </xf>
    <xf numFmtId="3" fontId="3" fillId="4" borderId="2" xfId="0" applyNumberFormat="1" applyFont="1" applyFill="1" applyBorder="1" applyAlignment="1">
      <alignment horizontal="right" vertical="center"/>
    </xf>
    <xf numFmtId="3" fontId="4" fillId="4" borderId="2" xfId="0" applyNumberFormat="1" applyFont="1" applyFill="1" applyBorder="1" applyAlignment="1">
      <alignment horizontal="right" vertical="center"/>
    </xf>
    <xf numFmtId="3" fontId="4" fillId="12" borderId="0" xfId="1" applyNumberFormat="1" applyFont="1" applyFill="1" applyBorder="1" applyAlignment="1" applyProtection="1">
      <alignment vertical="center"/>
      <protection locked="0"/>
    </xf>
    <xf numFmtId="0" fontId="4" fillId="3" borderId="18" xfId="0" applyFont="1" applyFill="1" applyBorder="1" applyAlignment="1">
      <alignment horizontal="center" vertical="center"/>
    </xf>
    <xf numFmtId="0" fontId="4" fillId="2" borderId="2" xfId="33" applyFont="1" applyFill="1" applyBorder="1" applyAlignment="1" applyProtection="1">
      <alignment horizontal="left" vertical="center"/>
      <protection locked="0"/>
    </xf>
    <xf numFmtId="164" fontId="4" fillId="3" borderId="1" xfId="0" applyNumberFormat="1" applyFont="1" applyFill="1" applyBorder="1" applyAlignment="1">
      <alignment horizontal="center" vertical="center"/>
    </xf>
    <xf numFmtId="166" fontId="4" fillId="3" borderId="0" xfId="0" applyNumberFormat="1" applyFont="1" applyFill="1" applyAlignment="1">
      <alignment horizontal="center" vertical="center"/>
    </xf>
    <xf numFmtId="3" fontId="4" fillId="3" borderId="7" xfId="0" applyNumberFormat="1" applyFont="1" applyFill="1" applyBorder="1" applyAlignment="1">
      <alignment horizontal="center" vertical="center"/>
    </xf>
    <xf numFmtId="0" fontId="43" fillId="0" borderId="0" xfId="0" applyFont="1" applyAlignment="1">
      <alignment vertical="center"/>
    </xf>
    <xf numFmtId="0" fontId="4" fillId="15" borderId="12" xfId="0" applyFont="1" applyFill="1" applyBorder="1" applyAlignment="1">
      <alignment vertical="center"/>
    </xf>
    <xf numFmtId="0" fontId="4" fillId="12" borderId="14" xfId="0" applyFont="1" applyFill="1" applyBorder="1" applyAlignment="1">
      <alignment vertical="center"/>
    </xf>
    <xf numFmtId="0" fontId="4" fillId="12" borderId="20" xfId="0" applyFont="1" applyFill="1" applyBorder="1" applyAlignment="1">
      <alignment vertical="center"/>
    </xf>
    <xf numFmtId="0" fontId="4" fillId="3" borderId="0" xfId="66" applyFont="1" applyFill="1" applyAlignment="1">
      <alignment horizontal="right" vertical="center"/>
    </xf>
    <xf numFmtId="3" fontId="4" fillId="3" borderId="2" xfId="1" applyNumberFormat="1" applyFont="1" applyFill="1" applyBorder="1" applyAlignment="1" applyProtection="1">
      <alignment horizontal="right" vertical="center"/>
    </xf>
    <xf numFmtId="0" fontId="3" fillId="3" borderId="0" xfId="33" applyFont="1" applyFill="1" applyAlignment="1">
      <alignment vertical="center"/>
    </xf>
    <xf numFmtId="3" fontId="4" fillId="3" borderId="3" xfId="0" applyNumberFormat="1" applyFont="1" applyFill="1" applyBorder="1" applyAlignment="1">
      <alignment horizontal="center" vertical="center"/>
    </xf>
    <xf numFmtId="0" fontId="10" fillId="15" borderId="8" xfId="0" applyFont="1" applyFill="1" applyBorder="1" applyAlignment="1">
      <alignment vertical="center"/>
    </xf>
    <xf numFmtId="172" fontId="10" fillId="15" borderId="9" xfId="0" applyNumberFormat="1" applyFont="1" applyFill="1" applyBorder="1" applyAlignment="1">
      <alignment horizontal="center" vertical="center"/>
    </xf>
    <xf numFmtId="172" fontId="10" fillId="12" borderId="20" xfId="0" applyNumberFormat="1" applyFont="1" applyFill="1" applyBorder="1" applyAlignment="1">
      <alignment vertical="center"/>
    </xf>
    <xf numFmtId="172" fontId="10" fillId="12" borderId="9" xfId="0" applyNumberFormat="1" applyFont="1" applyFill="1" applyBorder="1" applyAlignment="1">
      <alignment horizontal="center" vertical="center"/>
    </xf>
    <xf numFmtId="0" fontId="10" fillId="12" borderId="0" xfId="0" applyFont="1" applyFill="1" applyAlignment="1">
      <alignment vertical="center"/>
    </xf>
    <xf numFmtId="172" fontId="10" fillId="12" borderId="20" xfId="0" applyNumberFormat="1" applyFont="1" applyFill="1" applyBorder="1" applyAlignment="1">
      <alignment horizontal="center" vertical="center"/>
    </xf>
    <xf numFmtId="0" fontId="31" fillId="12" borderId="20" xfId="62" applyFont="1" applyFill="1" applyBorder="1"/>
    <xf numFmtId="0" fontId="4" fillId="12" borderId="0" xfId="62" applyFont="1" applyFill="1"/>
    <xf numFmtId="172" fontId="4" fillId="12" borderId="14" xfId="62" applyNumberFormat="1" applyFont="1" applyFill="1" applyBorder="1" applyAlignment="1">
      <alignment horizontal="center"/>
    </xf>
    <xf numFmtId="0" fontId="4" fillId="12" borderId="9" xfId="62" applyFont="1" applyFill="1" applyBorder="1"/>
    <xf numFmtId="0" fontId="4" fillId="12" borderId="8" xfId="62" applyFont="1" applyFill="1" applyBorder="1"/>
    <xf numFmtId="172" fontId="4" fillId="15" borderId="12" xfId="62" applyNumberFormat="1" applyFont="1" applyFill="1" applyBorder="1" applyAlignment="1">
      <alignment horizontal="center"/>
    </xf>
    <xf numFmtId="0" fontId="4" fillId="0" borderId="0" xfId="62" applyFont="1"/>
    <xf numFmtId="0" fontId="4" fillId="12" borderId="20" xfId="62" applyFont="1" applyFill="1" applyBorder="1"/>
    <xf numFmtId="0" fontId="4" fillId="12" borderId="14" xfId="62" applyFont="1" applyFill="1" applyBorder="1"/>
    <xf numFmtId="169" fontId="4" fillId="12" borderId="14" xfId="62" applyNumberFormat="1" applyFont="1" applyFill="1" applyBorder="1" applyAlignment="1">
      <alignment horizontal="center"/>
    </xf>
    <xf numFmtId="0" fontId="4" fillId="15" borderId="20" xfId="62" applyFont="1" applyFill="1" applyBorder="1"/>
    <xf numFmtId="0" fontId="4" fillId="15" borderId="0" xfId="62" applyFont="1" applyFill="1"/>
    <xf numFmtId="0" fontId="4" fillId="15" borderId="9" xfId="62" applyFont="1" applyFill="1" applyBorder="1"/>
    <xf numFmtId="0" fontId="4" fillId="15" borderId="8" xfId="62" applyFont="1" applyFill="1" applyBorder="1"/>
    <xf numFmtId="172" fontId="4" fillId="12" borderId="12" xfId="62" applyNumberFormat="1" applyFont="1" applyFill="1" applyBorder="1" applyAlignment="1">
      <alignment horizontal="center"/>
    </xf>
    <xf numFmtId="171" fontId="4" fillId="13" borderId="14" xfId="62" applyNumberFormat="1" applyFont="1" applyFill="1" applyBorder="1" applyAlignment="1" applyProtection="1">
      <alignment horizontal="center"/>
      <protection locked="0"/>
    </xf>
    <xf numFmtId="3" fontId="4" fillId="2" borderId="1" xfId="0" applyNumberFormat="1" applyFont="1" applyFill="1" applyBorder="1" applyProtection="1">
      <protection locked="0"/>
    </xf>
    <xf numFmtId="3" fontId="4" fillId="5" borderId="1" xfId="0" applyNumberFormat="1" applyFont="1" applyFill="1" applyBorder="1" applyProtection="1">
      <protection locked="0"/>
    </xf>
    <xf numFmtId="3" fontId="4" fillId="14" borderId="15" xfId="0" applyNumberFormat="1" applyFont="1" applyFill="1" applyBorder="1" applyAlignment="1">
      <alignment horizontal="center" vertical="center"/>
    </xf>
    <xf numFmtId="37" fontId="4" fillId="13" borderId="2" xfId="0" applyNumberFormat="1" applyFont="1" applyFill="1" applyBorder="1" applyAlignment="1">
      <alignment vertical="center"/>
    </xf>
    <xf numFmtId="3" fontId="4" fillId="3" borderId="18" xfId="0" applyNumberFormat="1" applyFont="1" applyFill="1" applyBorder="1" applyAlignment="1">
      <alignment horizontal="center" vertical="center"/>
    </xf>
    <xf numFmtId="0" fontId="44" fillId="3" borderId="0" xfId="0" applyFont="1" applyFill="1" applyAlignment="1">
      <alignment horizontal="center" vertical="center"/>
    </xf>
    <xf numFmtId="0" fontId="3" fillId="0" borderId="0" xfId="33" applyFont="1" applyAlignment="1">
      <alignment wrapText="1"/>
    </xf>
    <xf numFmtId="0" fontId="4" fillId="0" borderId="0" xfId="33" applyFont="1"/>
    <xf numFmtId="0" fontId="21" fillId="0" borderId="0" xfId="33" applyFont="1"/>
    <xf numFmtId="0" fontId="20" fillId="0" borderId="0" xfId="33" applyFont="1" applyAlignment="1">
      <alignment horizontal="center"/>
    </xf>
    <xf numFmtId="0" fontId="45" fillId="0" borderId="0" xfId="33" applyFont="1" applyAlignment="1">
      <alignment wrapText="1"/>
    </xf>
    <xf numFmtId="0" fontId="4" fillId="0" borderId="20" xfId="0" applyFont="1" applyBorder="1" applyAlignment="1" applyProtection="1">
      <alignment vertical="center"/>
      <protection locked="0"/>
    </xf>
    <xf numFmtId="3" fontId="14" fillId="6" borderId="3" xfId="0" applyNumberFormat="1" applyFont="1" applyFill="1" applyBorder="1" applyAlignment="1">
      <alignment horizontal="center" vertical="center"/>
    </xf>
    <xf numFmtId="3" fontId="14" fillId="6" borderId="3" xfId="0" applyNumberFormat="1" applyFont="1" applyFill="1" applyBorder="1" applyAlignment="1">
      <alignment horizontal="center"/>
    </xf>
    <xf numFmtId="0" fontId="4" fillId="0" borderId="0" xfId="66" applyFont="1" applyAlignment="1">
      <alignment vertical="center" wrapText="1"/>
    </xf>
    <xf numFmtId="37" fontId="4" fillId="12" borderId="0" xfId="0" applyNumberFormat="1" applyFont="1" applyFill="1" applyAlignment="1">
      <alignment horizontal="center" vertical="center"/>
    </xf>
    <xf numFmtId="0" fontId="0" fillId="12" borderId="0" xfId="0" applyFill="1" applyAlignment="1" applyProtection="1">
      <alignment horizontal="left" vertical="center"/>
      <protection locked="0"/>
    </xf>
    <xf numFmtId="37" fontId="3" fillId="3" borderId="8" xfId="0" applyNumberFormat="1" applyFont="1" applyFill="1" applyBorder="1" applyAlignment="1">
      <alignment vertical="center"/>
    </xf>
    <xf numFmtId="37" fontId="3" fillId="3" borderId="0" xfId="0" applyNumberFormat="1" applyFont="1" applyFill="1" applyAlignment="1">
      <alignment vertical="center"/>
    </xf>
    <xf numFmtId="37" fontId="4" fillId="3" borderId="8" xfId="0" applyNumberFormat="1" applyFont="1" applyFill="1" applyBorder="1" applyAlignment="1" applyProtection="1">
      <alignment horizontal="center" vertical="center"/>
      <protection locked="0"/>
    </xf>
    <xf numFmtId="164" fontId="4" fillId="3" borderId="0" xfId="0" applyNumberFormat="1" applyFont="1" applyFill="1" applyAlignment="1">
      <alignment horizontal="center" vertical="center"/>
    </xf>
    <xf numFmtId="49" fontId="4" fillId="12" borderId="0" xfId="0" applyNumberFormat="1" applyFont="1" applyFill="1" applyAlignment="1" applyProtection="1">
      <alignment horizontal="left" vertical="center"/>
      <protection locked="0"/>
    </xf>
    <xf numFmtId="3" fontId="4" fillId="5" borderId="7" xfId="1" applyNumberFormat="1" applyFont="1" applyFill="1" applyBorder="1" applyAlignment="1" applyProtection="1">
      <alignment horizontal="center" vertical="center"/>
      <protection locked="0"/>
    </xf>
    <xf numFmtId="3" fontId="4" fillId="5" borderId="1" xfId="1" applyNumberFormat="1" applyFont="1" applyFill="1" applyBorder="1" applyAlignment="1" applyProtection="1">
      <alignment horizontal="center" vertical="center"/>
      <protection locked="0"/>
    </xf>
    <xf numFmtId="1" fontId="6" fillId="3" borderId="5" xfId="0" applyNumberFormat="1" applyFont="1" applyFill="1" applyBorder="1" applyAlignment="1">
      <alignment horizontal="center" vertical="center"/>
    </xf>
    <xf numFmtId="37" fontId="6" fillId="3" borderId="5" xfId="0" applyNumberFormat="1" applyFont="1" applyFill="1" applyBorder="1" applyAlignment="1">
      <alignment horizontal="center" vertical="center"/>
    </xf>
    <xf numFmtId="37" fontId="6" fillId="3" borderId="3" xfId="0" applyNumberFormat="1" applyFont="1" applyFill="1" applyBorder="1" applyAlignment="1">
      <alignment horizontal="center" vertical="center"/>
    </xf>
    <xf numFmtId="37" fontId="3" fillId="3" borderId="0" xfId="0" applyNumberFormat="1" applyFont="1" applyFill="1"/>
    <xf numFmtId="37" fontId="6" fillId="12" borderId="21" xfId="0" applyNumberFormat="1" applyFont="1" applyFill="1" applyBorder="1" applyAlignment="1">
      <alignment horizontal="center" vertical="center"/>
    </xf>
    <xf numFmtId="172" fontId="4" fillId="15" borderId="14" xfId="62" applyNumberFormat="1" applyFont="1" applyFill="1" applyBorder="1" applyAlignment="1">
      <alignment horizontal="center"/>
    </xf>
    <xf numFmtId="0" fontId="4" fillId="15" borderId="9" xfId="0" applyFont="1" applyFill="1" applyBorder="1" applyAlignment="1">
      <alignment vertical="center"/>
    </xf>
    <xf numFmtId="0" fontId="4" fillId="15" borderId="8" xfId="0" applyFont="1" applyFill="1" applyBorder="1" applyAlignment="1">
      <alignment vertical="center"/>
    </xf>
    <xf numFmtId="172" fontId="4" fillId="15" borderId="12" xfId="0" applyNumberFormat="1" applyFont="1" applyFill="1" applyBorder="1" applyAlignment="1">
      <alignment horizontal="center" vertical="center"/>
    </xf>
    <xf numFmtId="1" fontId="4" fillId="3" borderId="5" xfId="0" applyNumberFormat="1" applyFont="1" applyFill="1" applyBorder="1" applyAlignment="1">
      <alignment horizontal="center" vertical="center"/>
    </xf>
    <xf numFmtId="37" fontId="4" fillId="3" borderId="5" xfId="0" applyNumberFormat="1" applyFont="1" applyFill="1" applyBorder="1" applyAlignment="1">
      <alignment horizontal="center" vertical="center"/>
    </xf>
    <xf numFmtId="37" fontId="6" fillId="12" borderId="21" xfId="0" applyNumberFormat="1" applyFont="1" applyFill="1" applyBorder="1" applyAlignment="1">
      <alignment horizontal="left" vertical="center"/>
    </xf>
    <xf numFmtId="0" fontId="4" fillId="12" borderId="22" xfId="0" applyFont="1" applyFill="1" applyBorder="1" applyAlignment="1">
      <alignment horizontal="left" vertical="center"/>
    </xf>
    <xf numFmtId="1" fontId="4" fillId="12" borderId="22" xfId="0" applyNumberFormat="1" applyFont="1" applyFill="1" applyBorder="1" applyAlignment="1">
      <alignment horizontal="center" vertical="center"/>
    </xf>
    <xf numFmtId="0" fontId="3" fillId="0" borderId="0" xfId="33" applyFont="1" applyAlignment="1">
      <alignment vertical="center"/>
    </xf>
    <xf numFmtId="0" fontId="4" fillId="12" borderId="0" xfId="43" applyFont="1" applyFill="1"/>
    <xf numFmtId="0" fontId="2" fillId="0" borderId="0" xfId="43"/>
    <xf numFmtId="0" fontId="4" fillId="12" borderId="0" xfId="43" applyFont="1" applyFill="1" applyAlignment="1">
      <alignment vertical="center"/>
    </xf>
    <xf numFmtId="37" fontId="4" fillId="12" borderId="0" xfId="43" applyNumberFormat="1" applyFont="1" applyFill="1" applyAlignment="1">
      <alignment vertical="center"/>
    </xf>
    <xf numFmtId="0" fontId="4" fillId="12" borderId="8" xfId="43" applyFont="1" applyFill="1" applyBorder="1" applyAlignment="1">
      <alignment vertical="center"/>
    </xf>
    <xf numFmtId="0" fontId="4" fillId="12" borderId="0" xfId="43" applyFont="1" applyFill="1" applyAlignment="1">
      <alignment horizontal="center" vertical="center"/>
    </xf>
    <xf numFmtId="0" fontId="5" fillId="12" borderId="0" xfId="43" applyFont="1" applyFill="1" applyAlignment="1">
      <alignment horizontal="center" vertical="center"/>
    </xf>
    <xf numFmtId="172" fontId="4" fillId="12" borderId="0" xfId="43" applyNumberFormat="1" applyFont="1" applyFill="1" applyAlignment="1">
      <alignment vertical="center"/>
    </xf>
    <xf numFmtId="172" fontId="4" fillId="12" borderId="13" xfId="43" applyNumberFormat="1" applyFont="1" applyFill="1" applyBorder="1" applyAlignment="1">
      <alignment vertical="center"/>
    </xf>
    <xf numFmtId="6" fontId="4" fillId="12" borderId="0" xfId="43" applyNumberFormat="1" applyFont="1" applyFill="1" applyAlignment="1">
      <alignment vertical="center"/>
    </xf>
    <xf numFmtId="0" fontId="46" fillId="15" borderId="0" xfId="43" applyFont="1" applyFill="1" applyAlignment="1">
      <alignment vertical="center"/>
    </xf>
    <xf numFmtId="0" fontId="46" fillId="12" borderId="0" xfId="43" applyFont="1" applyFill="1" applyAlignment="1">
      <alignment horizontal="center" vertical="center"/>
    </xf>
    <xf numFmtId="171" fontId="4" fillId="12" borderId="0" xfId="43" applyNumberFormat="1" applyFont="1" applyFill="1" applyAlignment="1">
      <alignment horizontal="center" vertical="center"/>
    </xf>
    <xf numFmtId="175" fontId="46" fillId="12" borderId="0" xfId="43" applyNumberFormat="1" applyFont="1" applyFill="1" applyAlignment="1">
      <alignment horizontal="center" vertical="center"/>
    </xf>
    <xf numFmtId="0" fontId="46" fillId="15" borderId="0" xfId="43" applyFont="1" applyFill="1" applyAlignment="1">
      <alignment horizontal="center" vertical="center"/>
    </xf>
    <xf numFmtId="0" fontId="47" fillId="15" borderId="0" xfId="43" applyFont="1" applyFill="1" applyAlignment="1">
      <alignment horizontal="center" vertical="center"/>
    </xf>
    <xf numFmtId="0" fontId="4" fillId="12" borderId="0" xfId="43" applyFont="1" applyFill="1" applyAlignment="1">
      <alignment horizontal="right" vertical="center"/>
    </xf>
    <xf numFmtId="0" fontId="4" fillId="12" borderId="0" xfId="43" applyFont="1" applyFill="1" applyAlignment="1">
      <alignment horizontal="left" vertical="center"/>
    </xf>
    <xf numFmtId="0" fontId="4" fillId="12" borderId="0" xfId="35" applyFont="1" applyFill="1"/>
    <xf numFmtId="0" fontId="2" fillId="12" borderId="0" xfId="43" applyFill="1"/>
    <xf numFmtId="0" fontId="3" fillId="12" borderId="0" xfId="35" applyFont="1" applyFill="1"/>
    <xf numFmtId="0" fontId="2" fillId="12" borderId="0" xfId="35" applyFill="1"/>
    <xf numFmtId="0" fontId="9" fillId="0" borderId="0" xfId="17" applyAlignment="1" applyProtection="1"/>
    <xf numFmtId="0" fontId="3" fillId="3" borderId="0" xfId="0" applyFont="1" applyFill="1" applyAlignment="1">
      <alignment horizontal="right" vertical="center"/>
    </xf>
    <xf numFmtId="0" fontId="4" fillId="3" borderId="3" xfId="0" applyFont="1" applyFill="1" applyBorder="1"/>
    <xf numFmtId="49" fontId="4" fillId="2" borderId="1" xfId="0" applyNumberFormat="1" applyFont="1" applyFill="1" applyBorder="1" applyAlignment="1" applyProtection="1">
      <alignment horizontal="center" vertical="center"/>
      <protection locked="0"/>
    </xf>
    <xf numFmtId="169" fontId="4" fillId="3" borderId="10" xfId="0" applyNumberFormat="1" applyFont="1" applyFill="1" applyBorder="1" applyAlignment="1">
      <alignment vertical="center"/>
    </xf>
    <xf numFmtId="37" fontId="4" fillId="12" borderId="0" xfId="0" applyNumberFormat="1" applyFont="1" applyFill="1" applyAlignment="1">
      <alignment horizontal="left" vertical="center"/>
    </xf>
    <xf numFmtId="176" fontId="4" fillId="2" borderId="1" xfId="0" applyNumberFormat="1" applyFont="1" applyFill="1" applyBorder="1" applyAlignment="1" applyProtection="1">
      <alignment horizontal="center" vertical="center"/>
      <protection locked="0"/>
    </xf>
    <xf numFmtId="49" fontId="4" fillId="0" borderId="0" xfId="484" applyNumberFormat="1" applyFont="1" applyAlignment="1" applyProtection="1">
      <alignment horizontal="left" vertical="center"/>
      <protection locked="0"/>
    </xf>
    <xf numFmtId="0" fontId="20" fillId="0" borderId="0" xfId="0" applyFont="1" applyAlignment="1">
      <alignment horizontal="center" vertical="center"/>
    </xf>
    <xf numFmtId="0" fontId="23" fillId="0" borderId="0" xfId="0" applyFont="1" applyAlignment="1">
      <alignment wrapText="1"/>
    </xf>
    <xf numFmtId="0" fontId="21" fillId="0" borderId="0" xfId="0" applyFont="1" applyAlignment="1">
      <alignment vertical="center"/>
    </xf>
    <xf numFmtId="0" fontId="23" fillId="0" borderId="0" xfId="0" applyFont="1" applyAlignment="1">
      <alignment vertical="center" wrapText="1"/>
    </xf>
    <xf numFmtId="0" fontId="6" fillId="0" borderId="0" xfId="0" applyFont="1" applyAlignment="1">
      <alignment vertical="center"/>
    </xf>
    <xf numFmtId="0" fontId="45" fillId="0" borderId="0" xfId="0" applyFont="1" applyAlignment="1">
      <alignment wrapText="1"/>
    </xf>
    <xf numFmtId="0" fontId="22" fillId="0" borderId="0" xfId="0" applyFont="1" applyAlignment="1">
      <alignment vertical="center" wrapText="1"/>
    </xf>
    <xf numFmtId="0" fontId="3" fillId="0" borderId="0" xfId="0" applyFont="1" applyAlignment="1">
      <alignment wrapText="1"/>
    </xf>
    <xf numFmtId="0" fontId="24" fillId="0" borderId="0" xfId="0" applyFont="1" applyAlignment="1">
      <alignment vertical="center"/>
    </xf>
    <xf numFmtId="3" fontId="4" fillId="12" borderId="0" xfId="1" applyNumberFormat="1" applyFont="1" applyFill="1" applyBorder="1" applyAlignment="1" applyProtection="1">
      <alignment vertical="center"/>
    </xf>
    <xf numFmtId="0" fontId="0" fillId="12" borderId="0" xfId="0" applyFill="1" applyAlignment="1">
      <alignment horizontal="center" vertical="center"/>
    </xf>
    <xf numFmtId="37" fontId="4" fillId="3" borderId="0" xfId="0" applyNumberFormat="1" applyFont="1" applyFill="1" applyAlignment="1" applyProtection="1">
      <alignment horizontal="fill" vertical="center"/>
      <protection locked="0"/>
    </xf>
    <xf numFmtId="37" fontId="4" fillId="3" borderId="0" xfId="0" applyNumberFormat="1" applyFont="1" applyFill="1" applyAlignment="1" applyProtection="1">
      <alignment horizontal="center" vertical="center"/>
      <protection locked="0"/>
    </xf>
    <xf numFmtId="0" fontId="4" fillId="12" borderId="20" xfId="61" applyFont="1" applyFill="1" applyBorder="1" applyAlignment="1">
      <alignment vertical="center"/>
    </xf>
    <xf numFmtId="0" fontId="4" fillId="12" borderId="0" xfId="61" applyFont="1" applyFill="1" applyAlignment="1">
      <alignment vertical="center"/>
    </xf>
    <xf numFmtId="0" fontId="4" fillId="12" borderId="14" xfId="61" applyFont="1" applyFill="1" applyBorder="1" applyAlignment="1">
      <alignment vertical="center"/>
    </xf>
    <xf numFmtId="0" fontId="31" fillId="12" borderId="20" xfId="61" applyFont="1" applyFill="1" applyBorder="1" applyAlignment="1">
      <alignment horizontal="left" vertical="center"/>
    </xf>
    <xf numFmtId="0" fontId="31" fillId="12" borderId="0" xfId="61" applyFont="1" applyFill="1" applyAlignment="1">
      <alignment vertical="center"/>
    </xf>
    <xf numFmtId="172" fontId="31" fillId="13" borderId="1" xfId="61" applyNumberFormat="1" applyFont="1" applyFill="1" applyBorder="1" applyAlignment="1" applyProtection="1">
      <alignment horizontal="center" vertical="center"/>
      <protection locked="0"/>
    </xf>
    <xf numFmtId="0" fontId="31" fillId="12" borderId="20" xfId="61" applyFont="1" applyFill="1" applyBorder="1" applyAlignment="1">
      <alignment vertical="center"/>
    </xf>
    <xf numFmtId="0" fontId="4" fillId="12" borderId="0" xfId="61" applyFont="1" applyFill="1" applyAlignment="1" applyProtection="1">
      <alignment vertical="center"/>
      <protection locked="0"/>
    </xf>
    <xf numFmtId="0" fontId="31" fillId="12" borderId="0" xfId="61" applyFont="1" applyFill="1" applyAlignment="1" applyProtection="1">
      <alignment vertical="center"/>
      <protection locked="0"/>
    </xf>
    <xf numFmtId="171" fontId="31" fillId="12" borderId="10" xfId="61" applyNumberFormat="1" applyFont="1" applyFill="1" applyBorder="1" applyAlignment="1" applyProtection="1">
      <alignment horizontal="center" vertical="center"/>
      <protection locked="0"/>
    </xf>
    <xf numFmtId="0" fontId="35" fillId="15" borderId="20" xfId="61" applyFont="1" applyFill="1" applyBorder="1" applyAlignment="1" applyProtection="1">
      <alignment vertical="center"/>
      <protection locked="0"/>
    </xf>
    <xf numFmtId="0" fontId="4" fillId="15" borderId="0" xfId="61" applyFont="1" applyFill="1" applyAlignment="1" applyProtection="1">
      <alignment vertical="center"/>
      <protection locked="0"/>
    </xf>
    <xf numFmtId="0" fontId="31" fillId="15" borderId="0" xfId="61" applyFont="1" applyFill="1" applyAlignment="1" applyProtection="1">
      <alignment vertical="center"/>
      <protection locked="0"/>
    </xf>
    <xf numFmtId="172" fontId="35" fillId="15" borderId="10" xfId="61" applyNumberFormat="1" applyFont="1" applyFill="1" applyBorder="1" applyAlignment="1" applyProtection="1">
      <alignment horizontal="center" vertical="center"/>
      <protection locked="0"/>
    </xf>
    <xf numFmtId="37" fontId="31" fillId="3" borderId="9" xfId="0" applyNumberFormat="1" applyFont="1" applyFill="1" applyBorder="1" applyAlignment="1">
      <alignment horizontal="left" vertical="center"/>
    </xf>
    <xf numFmtId="0" fontId="4" fillId="12" borderId="8" xfId="0" applyFont="1" applyFill="1" applyBorder="1" applyAlignment="1" applyProtection="1">
      <alignment vertical="center"/>
      <protection locked="0"/>
    </xf>
    <xf numFmtId="172" fontId="35" fillId="15" borderId="12" xfId="0" applyNumberFormat="1" applyFont="1" applyFill="1" applyBorder="1" applyAlignment="1" applyProtection="1">
      <alignment horizontal="center" vertical="center"/>
      <protection locked="0"/>
    </xf>
    <xf numFmtId="172" fontId="31" fillId="12" borderId="20" xfId="61" applyNumberFormat="1" applyFont="1" applyFill="1" applyBorder="1" applyAlignment="1">
      <alignment horizontal="center" vertical="center"/>
    </xf>
    <xf numFmtId="0" fontId="31" fillId="12" borderId="0" xfId="61" applyFont="1" applyFill="1" applyAlignment="1">
      <alignment horizontal="left" vertical="center"/>
    </xf>
    <xf numFmtId="0" fontId="31" fillId="12" borderId="14" xfId="61" applyFont="1" applyFill="1" applyBorder="1" applyAlignment="1">
      <alignment vertical="center"/>
    </xf>
    <xf numFmtId="172" fontId="31" fillId="12" borderId="9" xfId="61" applyNumberFormat="1" applyFont="1" applyFill="1" applyBorder="1" applyAlignment="1">
      <alignment horizontal="center" vertical="center"/>
    </xf>
    <xf numFmtId="0" fontId="43" fillId="0" borderId="0" xfId="0" applyFont="1" applyProtection="1">
      <protection locked="0"/>
    </xf>
    <xf numFmtId="0" fontId="37" fillId="0" borderId="0" xfId="0" applyFont="1" applyAlignment="1">
      <alignment vertical="center"/>
    </xf>
    <xf numFmtId="172" fontId="31" fillId="12" borderId="20" xfId="61" applyNumberFormat="1" applyFont="1" applyFill="1" applyBorder="1" applyAlignment="1">
      <alignment vertical="center"/>
    </xf>
    <xf numFmtId="172" fontId="35" fillId="15" borderId="9" xfId="61" applyNumberFormat="1" applyFont="1" applyFill="1" applyBorder="1" applyAlignment="1">
      <alignment horizontal="center" vertical="center"/>
    </xf>
    <xf numFmtId="0" fontId="35" fillId="15" borderId="8" xfId="61" applyFont="1" applyFill="1" applyBorder="1" applyAlignment="1">
      <alignment vertical="center"/>
    </xf>
    <xf numFmtId="0" fontId="31" fillId="15" borderId="12" xfId="61" applyFont="1" applyFill="1" applyBorder="1" applyAlignment="1">
      <alignment vertical="center"/>
    </xf>
    <xf numFmtId="0" fontId="4" fillId="15" borderId="12" xfId="61" applyFont="1" applyFill="1" applyBorder="1" applyAlignment="1">
      <alignment vertical="center"/>
    </xf>
    <xf numFmtId="0" fontId="31" fillId="12" borderId="0" xfId="0" applyFont="1" applyFill="1" applyAlignment="1">
      <alignment horizontal="left" vertical="center"/>
    </xf>
    <xf numFmtId="0" fontId="34" fillId="12" borderId="0" xfId="0" applyFont="1" applyFill="1" applyAlignment="1">
      <alignment horizontal="center" vertical="center"/>
    </xf>
    <xf numFmtId="0" fontId="0" fillId="12" borderId="14" xfId="0" applyFill="1" applyBorder="1" applyAlignment="1">
      <alignment vertical="center"/>
    </xf>
    <xf numFmtId="171" fontId="31" fillId="15" borderId="9" xfId="0" applyNumberFormat="1" applyFont="1" applyFill="1" applyBorder="1" applyAlignment="1">
      <alignment horizontal="center" vertical="center"/>
    </xf>
    <xf numFmtId="171" fontId="31" fillId="12" borderId="2" xfId="0" applyNumberFormat="1" applyFont="1" applyFill="1" applyBorder="1" applyAlignment="1">
      <alignment horizontal="center" vertical="center"/>
    </xf>
    <xf numFmtId="0" fontId="31" fillId="12" borderId="20" xfId="0" applyFont="1" applyFill="1" applyBorder="1" applyAlignment="1">
      <alignment vertical="center"/>
    </xf>
    <xf numFmtId="0" fontId="31" fillId="12" borderId="0" xfId="0" applyFont="1" applyFill="1" applyAlignment="1">
      <alignment vertical="center"/>
    </xf>
    <xf numFmtId="172" fontId="31" fillId="12" borderId="14" xfId="0" applyNumberFormat="1" applyFont="1" applyFill="1" applyBorder="1" applyAlignment="1">
      <alignment horizontal="center" vertical="center"/>
    </xf>
    <xf numFmtId="0" fontId="31" fillId="12" borderId="20" xfId="0" applyFont="1" applyFill="1" applyBorder="1" applyAlignment="1">
      <alignment horizontal="left" vertical="center"/>
    </xf>
    <xf numFmtId="172" fontId="31" fillId="13" borderId="1" xfId="0" applyNumberFormat="1" applyFont="1" applyFill="1" applyBorder="1" applyAlignment="1" applyProtection="1">
      <alignment horizontal="center" vertical="center"/>
      <protection locked="0"/>
    </xf>
    <xf numFmtId="171" fontId="35" fillId="12" borderId="10" xfId="35" applyNumberFormat="1" applyFont="1" applyFill="1" applyBorder="1" applyAlignment="1">
      <alignment horizontal="center" vertical="center"/>
    </xf>
    <xf numFmtId="0" fontId="35" fillId="15" borderId="20" xfId="0" applyFont="1" applyFill="1" applyBorder="1" applyAlignment="1">
      <alignment vertical="center"/>
    </xf>
    <xf numFmtId="0" fontId="4" fillId="15" borderId="0" xfId="0" applyFont="1" applyFill="1" applyAlignment="1">
      <alignment vertical="center"/>
    </xf>
    <xf numFmtId="0" fontId="31" fillId="15" borderId="0" xfId="0" applyFont="1" applyFill="1" applyAlignment="1">
      <alignment vertical="center"/>
    </xf>
    <xf numFmtId="172" fontId="35" fillId="15" borderId="10" xfId="0" applyNumberFormat="1" applyFont="1" applyFill="1" applyBorder="1" applyAlignment="1">
      <alignment horizontal="center" vertical="center"/>
    </xf>
    <xf numFmtId="0" fontId="38" fillId="12" borderId="8" xfId="0" applyFont="1" applyFill="1" applyBorder="1" applyAlignment="1">
      <alignment horizontal="left" vertical="center"/>
    </xf>
    <xf numFmtId="0" fontId="4" fillId="3" borderId="14" xfId="17" applyNumberFormat="1" applyFont="1" applyFill="1" applyBorder="1" applyAlignment="1" applyProtection="1">
      <alignment horizontal="right" vertical="center"/>
    </xf>
    <xf numFmtId="172" fontId="10" fillId="12" borderId="20" xfId="61" applyNumberFormat="1" applyFont="1" applyFill="1" applyBorder="1" applyAlignment="1">
      <alignment horizontal="center" vertical="center"/>
    </xf>
    <xf numFmtId="0" fontId="10" fillId="12" borderId="0" xfId="61" applyFont="1" applyFill="1" applyAlignment="1">
      <alignment horizontal="left" vertical="center"/>
    </xf>
    <xf numFmtId="0" fontId="10" fillId="12" borderId="0" xfId="61" applyFont="1" applyFill="1" applyAlignment="1">
      <alignment vertical="center"/>
    </xf>
    <xf numFmtId="172" fontId="10" fillId="12" borderId="9" xfId="61" applyNumberFormat="1" applyFont="1" applyFill="1" applyBorder="1" applyAlignment="1">
      <alignment horizontal="center" vertical="center"/>
    </xf>
    <xf numFmtId="0" fontId="43" fillId="0" borderId="0" xfId="0" applyFont="1" applyAlignment="1" applyProtection="1">
      <alignment vertical="center"/>
      <protection locked="0"/>
    </xf>
    <xf numFmtId="172" fontId="10" fillId="12" borderId="20" xfId="61" applyNumberFormat="1" applyFont="1" applyFill="1" applyBorder="1" applyAlignment="1">
      <alignment vertical="center"/>
    </xf>
    <xf numFmtId="172" fontId="10" fillId="15" borderId="9" xfId="61" applyNumberFormat="1" applyFont="1" applyFill="1" applyBorder="1" applyAlignment="1">
      <alignment horizontal="center" vertical="center"/>
    </xf>
    <xf numFmtId="0" fontId="10" fillId="15" borderId="8" xfId="61" applyFont="1" applyFill="1" applyBorder="1" applyAlignment="1">
      <alignment vertical="center"/>
    </xf>
    <xf numFmtId="0" fontId="4" fillId="15" borderId="12" xfId="0" applyFont="1" applyFill="1" applyBorder="1" applyAlignment="1" applyProtection="1">
      <alignment vertical="center"/>
      <protection locked="0"/>
    </xf>
    <xf numFmtId="171" fontId="35" fillId="12" borderId="10" xfId="0" applyNumberFormat="1" applyFont="1" applyFill="1" applyBorder="1" applyAlignment="1">
      <alignment horizontal="center" vertical="center"/>
    </xf>
    <xf numFmtId="0" fontId="4" fillId="12" borderId="14" xfId="0" applyFont="1" applyFill="1" applyBorder="1" applyProtection="1">
      <protection locked="0"/>
    </xf>
    <xf numFmtId="172" fontId="31" fillId="12" borderId="20" xfId="0" applyNumberFormat="1" applyFont="1" applyFill="1" applyBorder="1" applyAlignment="1">
      <alignment horizontal="center" vertical="center"/>
    </xf>
    <xf numFmtId="0" fontId="31" fillId="12" borderId="14" xfId="0" applyFont="1" applyFill="1" applyBorder="1" applyAlignment="1">
      <alignment vertical="center"/>
    </xf>
    <xf numFmtId="172" fontId="31" fillId="12" borderId="9" xfId="0" applyNumberFormat="1" applyFont="1" applyFill="1" applyBorder="1" applyAlignment="1">
      <alignment horizontal="center" vertical="center"/>
    </xf>
    <xf numFmtId="0" fontId="4" fillId="12" borderId="14" xfId="0" applyFont="1" applyFill="1" applyBorder="1" applyAlignment="1" applyProtection="1">
      <alignment vertical="center"/>
      <protection locked="0"/>
    </xf>
    <xf numFmtId="172" fontId="31" fillId="12" borderId="20" xfId="0" applyNumberFormat="1" applyFont="1" applyFill="1" applyBorder="1" applyAlignment="1">
      <alignment vertical="center"/>
    </xf>
    <xf numFmtId="172" fontId="31" fillId="15" borderId="9" xfId="0" applyNumberFormat="1" applyFont="1" applyFill="1" applyBorder="1" applyAlignment="1">
      <alignment horizontal="center" vertical="center"/>
    </xf>
    <xf numFmtId="0" fontId="31" fillId="15" borderId="8" xfId="0" applyFont="1" applyFill="1" applyBorder="1" applyAlignment="1">
      <alignment vertical="center"/>
    </xf>
    <xf numFmtId="0" fontId="31" fillId="15" borderId="12" xfId="0" applyFont="1" applyFill="1" applyBorder="1" applyAlignment="1">
      <alignment vertical="center"/>
    </xf>
    <xf numFmtId="0" fontId="4" fillId="15" borderId="12" xfId="0" applyFont="1" applyFill="1" applyBorder="1" applyProtection="1">
      <protection locked="0"/>
    </xf>
    <xf numFmtId="174" fontId="4" fillId="3" borderId="1" xfId="0" applyNumberFormat="1" applyFont="1" applyFill="1" applyBorder="1" applyAlignment="1">
      <alignment horizontal="right" vertical="center"/>
    </xf>
    <xf numFmtId="169" fontId="4" fillId="3" borderId="1" xfId="0" applyNumberFormat="1" applyFont="1" applyFill="1" applyBorder="1" applyAlignment="1">
      <alignment horizontal="right" vertical="center"/>
    </xf>
    <xf numFmtId="0" fontId="4" fillId="3" borderId="1" xfId="0" applyFont="1" applyFill="1" applyBorder="1" applyAlignment="1">
      <alignment horizontal="right" vertical="center"/>
    </xf>
    <xf numFmtId="3" fontId="4" fillId="3" borderId="18" xfId="0" applyNumberFormat="1" applyFont="1" applyFill="1" applyBorder="1" applyAlignment="1">
      <alignment horizontal="right" vertical="center"/>
    </xf>
    <xf numFmtId="0" fontId="4" fillId="3" borderId="18" xfId="0" applyFont="1" applyFill="1" applyBorder="1" applyAlignment="1">
      <alignment horizontal="right" vertical="center"/>
    </xf>
    <xf numFmtId="1" fontId="4" fillId="4" borderId="2" xfId="0" applyNumberFormat="1" applyFont="1" applyFill="1" applyBorder="1" applyAlignment="1" applyProtection="1">
      <alignment vertical="center"/>
      <protection locked="0"/>
    </xf>
    <xf numFmtId="1" fontId="4" fillId="4" borderId="1" xfId="0" applyNumberFormat="1" applyFont="1" applyFill="1" applyBorder="1" applyAlignment="1" applyProtection="1">
      <alignment vertical="center"/>
      <protection locked="0"/>
    </xf>
    <xf numFmtId="1" fontId="4" fillId="9" borderId="2" xfId="0" applyNumberFormat="1" applyFont="1" applyFill="1" applyBorder="1" applyAlignment="1">
      <alignment vertical="center"/>
    </xf>
    <xf numFmtId="1" fontId="4" fillId="9" borderId="1" xfId="0" applyNumberFormat="1" applyFont="1" applyFill="1" applyBorder="1" applyAlignment="1">
      <alignment vertical="center"/>
    </xf>
    <xf numFmtId="176" fontId="4" fillId="3" borderId="0" xfId="0" applyNumberFormat="1" applyFont="1" applyFill="1" applyAlignment="1">
      <alignment horizontal="center" vertical="center"/>
    </xf>
    <xf numFmtId="0" fontId="4" fillId="12" borderId="0" xfId="0" applyFont="1" applyFill="1" applyAlignment="1" applyProtection="1">
      <alignment vertical="center"/>
      <protection locked="0"/>
    </xf>
    <xf numFmtId="0" fontId="4" fillId="3" borderId="3" xfId="43" applyFont="1" applyFill="1" applyBorder="1" applyAlignment="1">
      <alignment horizontal="center" vertical="center"/>
    </xf>
    <xf numFmtId="0" fontId="4" fillId="3" borderId="7" xfId="43" applyFont="1" applyFill="1" applyBorder="1" applyAlignment="1">
      <alignment horizontal="center" vertical="center"/>
    </xf>
    <xf numFmtId="176" fontId="4" fillId="2" borderId="1" xfId="43" applyNumberFormat="1" applyFont="1" applyFill="1" applyBorder="1" applyAlignment="1" applyProtection="1">
      <alignment vertical="center"/>
      <protection locked="0"/>
    </xf>
    <xf numFmtId="3" fontId="4" fillId="3" borderId="1" xfId="43" applyNumberFormat="1" applyFont="1" applyFill="1" applyBorder="1" applyAlignment="1">
      <alignment vertical="center"/>
    </xf>
    <xf numFmtId="0" fontId="4" fillId="0" borderId="0" xfId="35" applyFont="1" applyAlignment="1">
      <alignment vertical="center" wrapText="1"/>
    </xf>
    <xf numFmtId="0" fontId="39" fillId="0" borderId="0" xfId="0" applyFont="1" applyAlignment="1">
      <alignment vertical="center"/>
    </xf>
    <xf numFmtId="0" fontId="9" fillId="18" borderId="0" xfId="17" applyFill="1" applyAlignment="1" applyProtection="1"/>
    <xf numFmtId="0" fontId="41" fillId="18" borderId="0" xfId="389" applyFill="1"/>
    <xf numFmtId="37" fontId="4" fillId="9" borderId="15" xfId="0" applyNumberFormat="1" applyFont="1" applyFill="1" applyBorder="1" applyAlignment="1">
      <alignment horizontal="right" vertical="center"/>
    </xf>
    <xf numFmtId="37" fontId="4" fillId="3" borderId="1" xfId="0" applyNumberFormat="1" applyFont="1" applyFill="1" applyBorder="1" applyAlignment="1">
      <alignment horizontal="right" vertical="center"/>
    </xf>
    <xf numFmtId="3" fontId="4" fillId="3" borderId="3" xfId="0" applyNumberFormat="1" applyFont="1" applyFill="1" applyBorder="1" applyAlignment="1">
      <alignment vertical="center"/>
    </xf>
    <xf numFmtId="0" fontId="12" fillId="3" borderId="13" xfId="0" applyFont="1" applyFill="1" applyBorder="1" applyAlignment="1">
      <alignment horizontal="center" vertical="center"/>
    </xf>
    <xf numFmtId="3" fontId="4" fillId="3" borderId="1" xfId="0" applyNumberFormat="1" applyFont="1" applyFill="1" applyBorder="1" applyAlignment="1">
      <alignment horizontal="right"/>
    </xf>
    <xf numFmtId="0" fontId="4" fillId="3" borderId="0" xfId="0" applyFont="1" applyFill="1" applyAlignment="1">
      <alignment horizontal="left"/>
    </xf>
    <xf numFmtId="3" fontId="4" fillId="3" borderId="3" xfId="0" applyNumberFormat="1" applyFont="1" applyFill="1" applyBorder="1"/>
    <xf numFmtId="169" fontId="4" fillId="5" borderId="1" xfId="0" applyNumberFormat="1" applyFont="1" applyFill="1" applyBorder="1" applyAlignment="1" applyProtection="1">
      <alignment vertical="center"/>
      <protection locked="0"/>
    </xf>
    <xf numFmtId="169" fontId="4" fillId="5" borderId="3" xfId="0" applyNumberFormat="1" applyFont="1" applyFill="1" applyBorder="1" applyAlignment="1" applyProtection="1">
      <alignment vertical="center"/>
      <protection locked="0"/>
    </xf>
    <xf numFmtId="0" fontId="4" fillId="7" borderId="10" xfId="0" applyFont="1" applyFill="1" applyBorder="1" applyAlignment="1">
      <alignment vertical="center"/>
    </xf>
    <xf numFmtId="37" fontId="11" fillId="10" borderId="5" xfId="0" applyNumberFormat="1" applyFont="1" applyFill="1" applyBorder="1" applyAlignment="1">
      <alignment horizontal="left" vertical="center"/>
    </xf>
    <xf numFmtId="0" fontId="5" fillId="7" borderId="4" xfId="0" applyFont="1" applyFill="1" applyBorder="1" applyAlignment="1">
      <alignment vertical="center"/>
    </xf>
    <xf numFmtId="0" fontId="4" fillId="10" borderId="20" xfId="0" applyFont="1" applyFill="1" applyBorder="1" applyAlignment="1">
      <alignment vertical="center"/>
    </xf>
    <xf numFmtId="0" fontId="4" fillId="10" borderId="14" xfId="0" applyFont="1" applyFill="1" applyBorder="1" applyAlignment="1">
      <alignment vertical="center"/>
    </xf>
    <xf numFmtId="0" fontId="4" fillId="10" borderId="9" xfId="0" applyFont="1" applyFill="1" applyBorder="1" applyAlignment="1">
      <alignment vertical="center"/>
    </xf>
    <xf numFmtId="0" fontId="4" fillId="10" borderId="12" xfId="0" applyFont="1" applyFill="1" applyBorder="1" applyAlignment="1">
      <alignment vertical="center"/>
    </xf>
    <xf numFmtId="0" fontId="4" fillId="10" borderId="2" xfId="0" applyFont="1" applyFill="1" applyBorder="1" applyAlignment="1">
      <alignment vertical="center"/>
    </xf>
    <xf numFmtId="37" fontId="4" fillId="3" borderId="7" xfId="0" applyNumberFormat="1" applyFont="1" applyFill="1" applyBorder="1" applyAlignment="1">
      <alignment horizontal="centerContinuous" vertical="top" wrapText="1"/>
    </xf>
    <xf numFmtId="37" fontId="4" fillId="3" borderId="7" xfId="0" applyNumberFormat="1" applyFont="1" applyFill="1" applyBorder="1" applyAlignment="1">
      <alignment horizontal="center" vertical="top" wrapText="1"/>
    </xf>
    <xf numFmtId="37" fontId="11" fillId="10" borderId="2" xfId="0" applyNumberFormat="1" applyFont="1" applyFill="1" applyBorder="1" applyAlignment="1">
      <alignment horizontal="left" vertical="center"/>
    </xf>
    <xf numFmtId="3" fontId="4" fillId="10" borderId="11" xfId="0" applyNumberFormat="1" applyFont="1" applyFill="1" applyBorder="1" applyAlignment="1">
      <alignment vertical="center"/>
    </xf>
    <xf numFmtId="173" fontId="4" fillId="15" borderId="12" xfId="62" applyNumberFormat="1" applyFont="1" applyFill="1" applyBorder="1" applyAlignment="1">
      <alignment horizontal="center"/>
    </xf>
    <xf numFmtId="0" fontId="3" fillId="10" borderId="5" xfId="0" applyFont="1" applyFill="1" applyBorder="1" applyAlignment="1">
      <alignment vertical="center"/>
    </xf>
    <xf numFmtId="0" fontId="4" fillId="10" borderId="4" xfId="0" applyFont="1" applyFill="1" applyBorder="1" applyAlignment="1">
      <alignment vertical="center"/>
    </xf>
    <xf numFmtId="37" fontId="3" fillId="11" borderId="20" xfId="0" applyNumberFormat="1" applyFont="1" applyFill="1" applyBorder="1" applyAlignment="1">
      <alignment horizontal="left" vertical="center"/>
    </xf>
    <xf numFmtId="0" fontId="4" fillId="11" borderId="14" xfId="0" applyFont="1" applyFill="1" applyBorder="1" applyAlignment="1">
      <alignment vertical="center"/>
    </xf>
    <xf numFmtId="37" fontId="3" fillId="11" borderId="9" xfId="0" applyNumberFormat="1" applyFont="1" applyFill="1" applyBorder="1" applyAlignment="1">
      <alignment horizontal="left" vertical="center"/>
    </xf>
    <xf numFmtId="0" fontId="4" fillId="11" borderId="12" xfId="0" applyFont="1" applyFill="1" applyBorder="1" applyAlignment="1">
      <alignment vertical="center"/>
    </xf>
    <xf numFmtId="37" fontId="4" fillId="7" borderId="2" xfId="0" applyNumberFormat="1" applyFont="1" applyFill="1" applyBorder="1" applyAlignment="1">
      <alignment horizontal="left" vertical="center"/>
    </xf>
    <xf numFmtId="164" fontId="4" fillId="3" borderId="11" xfId="0" applyNumberFormat="1" applyFont="1" applyFill="1" applyBorder="1" applyAlignment="1" applyProtection="1">
      <alignment vertical="center"/>
      <protection locked="0"/>
    </xf>
    <xf numFmtId="164" fontId="4" fillId="2" borderId="7" xfId="0" applyNumberFormat="1" applyFont="1" applyFill="1" applyBorder="1" applyAlignment="1" applyProtection="1">
      <alignment vertical="center"/>
      <protection locked="0"/>
    </xf>
    <xf numFmtId="3" fontId="4" fillId="7" borderId="10" xfId="0" applyNumberFormat="1" applyFont="1" applyFill="1" applyBorder="1" applyAlignment="1">
      <alignment vertical="center"/>
    </xf>
    <xf numFmtId="0" fontId="4" fillId="10" borderId="11" xfId="0" applyFont="1" applyFill="1" applyBorder="1" applyAlignment="1">
      <alignment vertical="center"/>
    </xf>
    <xf numFmtId="0" fontId="4" fillId="12" borderId="0" xfId="35" applyFont="1" applyFill="1" applyAlignment="1">
      <alignment vertical="center"/>
    </xf>
    <xf numFmtId="37" fontId="4" fillId="10" borderId="3" xfId="0" applyNumberFormat="1" applyFont="1" applyFill="1" applyBorder="1" applyAlignment="1">
      <alignment horizontal="center" vertical="center"/>
    </xf>
    <xf numFmtId="0" fontId="4" fillId="10" borderId="7" xfId="0" applyFont="1" applyFill="1" applyBorder="1" applyAlignment="1">
      <alignment horizontal="center" vertical="center"/>
    </xf>
    <xf numFmtId="0" fontId="4" fillId="10" borderId="10" xfId="0" applyFont="1" applyFill="1" applyBorder="1" applyAlignment="1">
      <alignment vertical="center"/>
    </xf>
    <xf numFmtId="37" fontId="3" fillId="11" borderId="2" xfId="0" applyNumberFormat="1" applyFont="1" applyFill="1" applyBorder="1" applyAlignment="1">
      <alignment horizontal="left" vertical="center"/>
    </xf>
    <xf numFmtId="0" fontId="4" fillId="11" borderId="10" xfId="0" applyFont="1" applyFill="1" applyBorder="1" applyAlignment="1">
      <alignment vertical="center"/>
    </xf>
    <xf numFmtId="0" fontId="4" fillId="5" borderId="0" xfId="0" applyFont="1" applyFill="1" applyAlignment="1" applyProtection="1">
      <alignment horizontal="center" vertical="center"/>
      <protection locked="0"/>
    </xf>
    <xf numFmtId="0" fontId="4" fillId="5" borderId="0" xfId="0" applyFont="1" applyFill="1" applyAlignment="1" applyProtection="1">
      <alignment horizontal="center"/>
      <protection locked="0"/>
    </xf>
    <xf numFmtId="37" fontId="4" fillId="12" borderId="0" xfId="0" applyNumberFormat="1" applyFont="1" applyFill="1" applyAlignment="1">
      <alignment horizontal="centerContinuous" vertical="center"/>
    </xf>
    <xf numFmtId="0" fontId="4" fillId="12" borderId="0" xfId="0" applyFont="1" applyFill="1" applyAlignment="1">
      <alignment horizontal="centerContinuous" vertical="center"/>
    </xf>
    <xf numFmtId="37" fontId="3" fillId="3" borderId="20" xfId="0" applyNumberFormat="1" applyFont="1" applyFill="1" applyBorder="1" applyAlignment="1">
      <alignment horizontal="left" vertical="center"/>
    </xf>
    <xf numFmtId="3" fontId="4" fillId="7" borderId="11" xfId="0" applyNumberFormat="1" applyFont="1" applyFill="1" applyBorder="1" applyAlignment="1">
      <alignment vertical="center"/>
    </xf>
    <xf numFmtId="3" fontId="4" fillId="12" borderId="0" xfId="0" applyNumberFormat="1" applyFont="1" applyFill="1" applyAlignment="1">
      <alignment vertical="center"/>
    </xf>
    <xf numFmtId="165" fontId="4" fillId="12" borderId="8" xfId="0" applyNumberFormat="1" applyFont="1" applyFill="1" applyBorder="1" applyAlignment="1">
      <alignment vertical="center"/>
    </xf>
    <xf numFmtId="165" fontId="4" fillId="12" borderId="0" xfId="0" applyNumberFormat="1" applyFont="1" applyFill="1" applyAlignment="1">
      <alignment vertical="center"/>
    </xf>
    <xf numFmtId="0" fontId="0" fillId="12" borderId="0" xfId="0" applyFill="1" applyAlignment="1">
      <alignment vertical="center"/>
    </xf>
    <xf numFmtId="3" fontId="4" fillId="2" borderId="1" xfId="33" applyNumberFormat="1" applyFont="1" applyFill="1" applyBorder="1" applyAlignment="1" applyProtection="1">
      <alignment vertical="center"/>
      <protection locked="0"/>
    </xf>
    <xf numFmtId="169" fontId="4" fillId="3" borderId="0" xfId="33" applyNumberFormat="1" applyFont="1" applyFill="1" applyAlignment="1">
      <alignment vertical="center"/>
    </xf>
    <xf numFmtId="0" fontId="4" fillId="2" borderId="1" xfId="33" applyFont="1" applyFill="1" applyBorder="1" applyAlignment="1" applyProtection="1">
      <alignment vertical="center"/>
      <protection locked="0"/>
    </xf>
    <xf numFmtId="0" fontId="4" fillId="5" borderId="1" xfId="33" applyFont="1" applyFill="1" applyBorder="1" applyAlignment="1" applyProtection="1">
      <alignment vertical="center"/>
      <protection locked="0"/>
    </xf>
    <xf numFmtId="3" fontId="4" fillId="2" borderId="7" xfId="33" applyNumberFormat="1" applyFont="1" applyFill="1" applyBorder="1" applyAlignment="1" applyProtection="1">
      <alignment vertical="center"/>
      <protection locked="0"/>
    </xf>
    <xf numFmtId="37" fontId="4" fillId="3" borderId="7" xfId="35" applyNumberFormat="1" applyFont="1" applyFill="1" applyBorder="1" applyAlignment="1">
      <alignment horizontal="center" vertical="center"/>
    </xf>
    <xf numFmtId="37" fontId="4" fillId="3" borderId="13" xfId="33" applyNumberFormat="1" applyFont="1" applyFill="1" applyBorder="1" applyAlignment="1">
      <alignment horizontal="center" vertical="center"/>
    </xf>
    <xf numFmtId="37" fontId="4" fillId="3" borderId="0" xfId="33" applyNumberFormat="1" applyFont="1" applyFill="1" applyAlignment="1">
      <alignment horizontal="left" vertical="center"/>
    </xf>
    <xf numFmtId="165" fontId="4" fillId="12" borderId="0" xfId="33" applyNumberFormat="1" applyFont="1" applyFill="1" applyAlignment="1">
      <alignment vertical="center"/>
    </xf>
    <xf numFmtId="0" fontId="4" fillId="12" borderId="0" xfId="35" applyFont="1" applyFill="1" applyAlignment="1" applyProtection="1">
      <alignment vertical="center"/>
      <protection locked="0"/>
    </xf>
    <xf numFmtId="0" fontId="4" fillId="12" borderId="0" xfId="33" applyFont="1" applyFill="1" applyAlignment="1">
      <alignment vertical="center"/>
    </xf>
    <xf numFmtId="0" fontId="4" fillId="3" borderId="2" xfId="33" applyFont="1" applyFill="1" applyBorder="1" applyAlignment="1">
      <alignment horizontal="left" vertical="center"/>
    </xf>
    <xf numFmtId="0" fontId="4" fillId="3" borderId="4" xfId="0" applyFont="1" applyFill="1" applyBorder="1" applyAlignment="1">
      <alignment vertical="center"/>
    </xf>
    <xf numFmtId="37" fontId="4" fillId="3" borderId="20" xfId="0" applyNumberFormat="1" applyFont="1" applyFill="1" applyBorder="1" applyAlignment="1" applyProtection="1">
      <alignment horizontal="center" vertical="center"/>
      <protection locked="0"/>
    </xf>
    <xf numFmtId="37" fontId="4" fillId="3" borderId="9" xfId="0" applyNumberFormat="1" applyFont="1" applyFill="1" applyBorder="1" applyAlignment="1" applyProtection="1">
      <alignment horizontal="center" vertical="center"/>
      <protection locked="0"/>
    </xf>
    <xf numFmtId="0" fontId="4" fillId="3" borderId="13" xfId="0" applyFont="1" applyFill="1" applyBorder="1" applyAlignment="1">
      <alignment horizontal="right" vertical="center"/>
    </xf>
    <xf numFmtId="0" fontId="4" fillId="3" borderId="9" xfId="0" applyFont="1" applyFill="1" applyBorder="1" applyAlignment="1">
      <alignment vertical="center"/>
    </xf>
    <xf numFmtId="0" fontId="4" fillId="3" borderId="8" xfId="0" applyFont="1" applyFill="1" applyBorder="1" applyAlignment="1">
      <alignment horizontal="right" vertical="center"/>
    </xf>
    <xf numFmtId="37" fontId="4" fillId="3" borderId="20" xfId="0" applyNumberFormat="1" applyFont="1" applyFill="1" applyBorder="1" applyAlignment="1">
      <alignment horizontal="right" vertical="center"/>
    </xf>
    <xf numFmtId="0" fontId="12" fillId="3" borderId="4" xfId="0" applyFont="1" applyFill="1" applyBorder="1" applyAlignment="1">
      <alignment horizontal="center" vertical="center"/>
    </xf>
    <xf numFmtId="0" fontId="4" fillId="3" borderId="20" xfId="0" applyFont="1" applyFill="1" applyBorder="1" applyAlignment="1">
      <alignment horizontal="right" vertical="center"/>
    </xf>
    <xf numFmtId="0" fontId="12" fillId="3" borderId="14" xfId="0" applyFont="1" applyFill="1" applyBorder="1" applyAlignment="1">
      <alignment horizontal="center" vertical="center"/>
    </xf>
    <xf numFmtId="0" fontId="4" fillId="3" borderId="9" xfId="0" applyFont="1" applyFill="1" applyBorder="1" applyAlignment="1">
      <alignment horizontal="right" vertical="center"/>
    </xf>
    <xf numFmtId="0" fontId="12" fillId="3" borderId="8" xfId="0" applyFont="1" applyFill="1" applyBorder="1" applyAlignment="1">
      <alignment horizontal="center" vertical="center"/>
    </xf>
    <xf numFmtId="0" fontId="4" fillId="3" borderId="20" xfId="0" applyFont="1" applyFill="1" applyBorder="1" applyAlignment="1">
      <alignment horizontal="right"/>
    </xf>
    <xf numFmtId="0" fontId="4" fillId="3" borderId="9" xfId="0" applyFont="1" applyFill="1" applyBorder="1" applyAlignment="1">
      <alignment horizontal="right"/>
    </xf>
    <xf numFmtId="0" fontId="0" fillId="3" borderId="12" xfId="0" applyFill="1" applyBorder="1"/>
    <xf numFmtId="37" fontId="3" fillId="3" borderId="5" xfId="0" applyNumberFormat="1" applyFont="1" applyFill="1" applyBorder="1" applyAlignment="1" applyProtection="1">
      <alignment horizontal="left" vertical="center"/>
      <protection locked="0"/>
    </xf>
    <xf numFmtId="0" fontId="3" fillId="3" borderId="5" xfId="0" applyFont="1" applyFill="1" applyBorder="1" applyAlignment="1">
      <alignment vertical="center"/>
    </xf>
    <xf numFmtId="0" fontId="3" fillId="3" borderId="5" xfId="0" applyFont="1" applyFill="1" applyBorder="1" applyAlignment="1">
      <alignment horizontal="left" vertical="center"/>
    </xf>
    <xf numFmtId="0" fontId="3" fillId="3" borderId="5" xfId="0" applyFont="1" applyFill="1" applyBorder="1" applyAlignment="1">
      <alignment horizontal="left"/>
    </xf>
    <xf numFmtId="0" fontId="4" fillId="12" borderId="0" xfId="0" applyFont="1" applyFill="1" applyAlignment="1">
      <alignment vertical="center" shrinkToFit="1"/>
    </xf>
    <xf numFmtId="0" fontId="5" fillId="3" borderId="0" xfId="0" applyFont="1" applyFill="1" applyAlignment="1">
      <alignment vertical="center"/>
    </xf>
    <xf numFmtId="3" fontId="5" fillId="12" borderId="0" xfId="1" applyNumberFormat="1" applyFont="1" applyFill="1" applyBorder="1" applyAlignment="1" applyProtection="1">
      <alignment vertical="center"/>
      <protection locked="0"/>
    </xf>
    <xf numFmtId="37" fontId="4" fillId="3" borderId="11" xfId="0" applyNumberFormat="1" applyFont="1" applyFill="1" applyBorder="1" applyAlignment="1">
      <alignment horizontal="center" vertical="center" wrapText="1"/>
    </xf>
    <xf numFmtId="37" fontId="4" fillId="3" borderId="10" xfId="0" applyNumberFormat="1" applyFont="1" applyFill="1" applyBorder="1" applyAlignment="1">
      <alignment horizontal="center" vertical="center" wrapText="1"/>
    </xf>
    <xf numFmtId="3" fontId="4" fillId="3" borderId="13" xfId="0" applyNumberFormat="1" applyFont="1" applyFill="1" applyBorder="1" applyAlignment="1">
      <alignment vertical="center"/>
    </xf>
    <xf numFmtId="0" fontId="4" fillId="3" borderId="20" xfId="0" applyFont="1" applyFill="1" applyBorder="1" applyAlignment="1">
      <alignment vertical="center"/>
    </xf>
    <xf numFmtId="0" fontId="4" fillId="3" borderId="14" xfId="0" applyFont="1" applyFill="1" applyBorder="1" applyAlignment="1">
      <alignment vertical="center"/>
    </xf>
    <xf numFmtId="37" fontId="18" fillId="3" borderId="0" xfId="0" applyNumberFormat="1" applyFont="1" applyFill="1" applyAlignment="1">
      <alignment horizontal="left" vertical="center"/>
    </xf>
    <xf numFmtId="0" fontId="20" fillId="0" borderId="0" xfId="0" applyFont="1" applyAlignment="1">
      <alignment horizontal="center" vertical="center" wrapText="1"/>
    </xf>
    <xf numFmtId="0" fontId="32" fillId="0" borderId="0" xfId="0" applyFont="1" applyAlignment="1">
      <alignment horizontal="center" vertical="center" wrapText="1"/>
    </xf>
    <xf numFmtId="0" fontId="44" fillId="0" borderId="0" xfId="0" applyFont="1" applyAlignment="1">
      <alignment vertical="center" wrapText="1"/>
    </xf>
    <xf numFmtId="0" fontId="49"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indent="2"/>
    </xf>
    <xf numFmtId="0" fontId="4" fillId="0" borderId="0" xfId="0" applyFont="1" applyAlignment="1">
      <alignment horizontal="left" vertical="center" wrapText="1"/>
    </xf>
    <xf numFmtId="0" fontId="4" fillId="0" borderId="0" xfId="0" applyFont="1" applyAlignment="1">
      <alignment horizontal="left" vertical="center" indent="2"/>
    </xf>
    <xf numFmtId="0" fontId="50" fillId="0" borderId="0" xfId="0" applyFont="1" applyAlignment="1">
      <alignment horizontal="left" vertical="center" wrapText="1" indent="4"/>
    </xf>
    <xf numFmtId="0" fontId="11" fillId="0" borderId="0" xfId="0" applyFont="1" applyAlignment="1">
      <alignment vertical="center" wrapText="1"/>
    </xf>
    <xf numFmtId="169" fontId="4" fillId="5" borderId="1" xfId="0" applyNumberFormat="1" applyFont="1" applyFill="1" applyBorder="1" applyAlignment="1" applyProtection="1">
      <alignment horizontal="center" vertical="center"/>
      <protection locked="0"/>
    </xf>
    <xf numFmtId="0" fontId="53" fillId="17" borderId="0" xfId="484" applyFont="1" applyFill="1" applyAlignment="1">
      <alignment wrapText="1"/>
    </xf>
    <xf numFmtId="0" fontId="4" fillId="0" borderId="0" xfId="0" applyFont="1" applyAlignment="1">
      <alignment horizontal="right"/>
    </xf>
    <xf numFmtId="0" fontId="0" fillId="0" borderId="0" xfId="0" applyAlignment="1">
      <alignment horizontal="left"/>
    </xf>
    <xf numFmtId="0" fontId="27" fillId="0" borderId="0" xfId="484" applyAlignment="1">
      <alignment horizontal="right"/>
    </xf>
    <xf numFmtId="0" fontId="27" fillId="0" borderId="0" xfId="484" applyAlignment="1">
      <alignment horizontal="left"/>
    </xf>
    <xf numFmtId="0" fontId="4" fillId="0" borderId="0" xfId="484" applyFont="1" applyAlignment="1">
      <alignment horizontal="right" vertical="center"/>
    </xf>
    <xf numFmtId="0" fontId="18" fillId="0" borderId="0" xfId="484" applyFont="1" applyAlignment="1">
      <alignment horizontal="left" vertical="center"/>
    </xf>
    <xf numFmtId="0" fontId="3" fillId="8" borderId="0" xfId="518" applyFont="1" applyFill="1" applyAlignment="1">
      <alignment vertical="center"/>
    </xf>
    <xf numFmtId="171" fontId="31" fillId="12" borderId="9" xfId="0" applyNumberFormat="1" applyFont="1" applyFill="1" applyBorder="1" applyAlignment="1">
      <alignment horizontal="center" vertical="center"/>
    </xf>
    <xf numFmtId="171" fontId="35" fillId="12" borderId="9" xfId="0" applyNumberFormat="1" applyFont="1" applyFill="1" applyBorder="1" applyAlignment="1">
      <alignment horizontal="center" vertical="center"/>
    </xf>
    <xf numFmtId="0" fontId="35" fillId="12" borderId="0" xfId="0" applyFont="1" applyFill="1" applyAlignment="1">
      <alignment horizontal="left" vertical="center"/>
    </xf>
    <xf numFmtId="171" fontId="18" fillId="3" borderId="7" xfId="0" applyNumberFormat="1" applyFont="1" applyFill="1" applyBorder="1" applyAlignment="1">
      <alignment horizontal="center" vertical="center"/>
    </xf>
    <xf numFmtId="37" fontId="3" fillId="3" borderId="15" xfId="0" applyNumberFormat="1" applyFont="1" applyFill="1" applyBorder="1" applyAlignment="1">
      <alignment horizontal="left" vertical="center"/>
    </xf>
    <xf numFmtId="3" fontId="4" fillId="14" borderId="23" xfId="0" applyNumberFormat="1" applyFont="1" applyFill="1" applyBorder="1" applyAlignment="1">
      <alignment horizontal="center" vertical="center"/>
    </xf>
    <xf numFmtId="164" fontId="4" fillId="14" borderId="23" xfId="0" applyNumberFormat="1" applyFont="1" applyFill="1" applyBorder="1" applyAlignment="1">
      <alignment horizontal="center" vertical="center"/>
    </xf>
    <xf numFmtId="0" fontId="3" fillId="12" borderId="20" xfId="62" applyFont="1" applyFill="1" applyBorder="1"/>
    <xf numFmtId="171" fontId="3" fillId="12" borderId="14" xfId="62" applyNumberFormat="1" applyFont="1" applyFill="1" applyBorder="1" applyAlignment="1">
      <alignment horizontal="center"/>
    </xf>
    <xf numFmtId="1" fontId="4" fillId="3" borderId="0" xfId="0" applyNumberFormat="1" applyFont="1" applyFill="1" applyAlignment="1" applyProtection="1">
      <alignment vertical="center"/>
      <protection locked="0"/>
    </xf>
    <xf numFmtId="169" fontId="4" fillId="3" borderId="1" xfId="0" applyNumberFormat="1" applyFont="1" applyFill="1" applyBorder="1" applyAlignment="1">
      <alignment horizontal="centerContinuous" vertical="center"/>
    </xf>
    <xf numFmtId="169" fontId="4" fillId="3" borderId="1" xfId="0" applyNumberFormat="1" applyFont="1" applyFill="1" applyBorder="1" applyAlignment="1">
      <alignment horizontal="center" vertical="center"/>
    </xf>
    <xf numFmtId="49" fontId="4" fillId="3" borderId="0" xfId="0" applyNumberFormat="1" applyFont="1" applyFill="1" applyAlignment="1" applyProtection="1">
      <alignment horizontal="left" vertical="center"/>
      <protection locked="0"/>
    </xf>
    <xf numFmtId="0" fontId="11" fillId="0" borderId="0" xfId="0" applyFont="1" applyAlignment="1">
      <alignment horizontal="center"/>
    </xf>
    <xf numFmtId="0" fontId="3" fillId="0" borderId="0" xfId="0" applyFont="1"/>
    <xf numFmtId="0" fontId="4" fillId="0" borderId="0" xfId="0" quotePrefix="1" applyFont="1"/>
    <xf numFmtId="0" fontId="5" fillId="0" borderId="0" xfId="0" applyFont="1" applyAlignment="1">
      <alignment vertical="center" wrapText="1"/>
    </xf>
    <xf numFmtId="0" fontId="5" fillId="0" borderId="0" xfId="35" applyFont="1" applyAlignment="1">
      <alignment wrapText="1"/>
    </xf>
    <xf numFmtId="0" fontId="5" fillId="0" borderId="0" xfId="0" applyFont="1" applyAlignment="1">
      <alignment wrapText="1"/>
    </xf>
    <xf numFmtId="0" fontId="5" fillId="0" borderId="0" xfId="103" applyFont="1" applyAlignment="1">
      <alignment vertical="center" wrapText="1"/>
    </xf>
    <xf numFmtId="0" fontId="4" fillId="0" borderId="0" xfId="103" applyFont="1" applyAlignment="1">
      <alignment vertical="center" wrapText="1"/>
    </xf>
    <xf numFmtId="0" fontId="4" fillId="0" borderId="0" xfId="479" applyFont="1" applyAlignment="1">
      <alignment vertical="center" wrapText="1"/>
    </xf>
    <xf numFmtId="0" fontId="4" fillId="0" borderId="8" xfId="0" applyFont="1" applyBorder="1"/>
    <xf numFmtId="37" fontId="4" fillId="3" borderId="18" xfId="0" applyNumberFormat="1" applyFont="1" applyFill="1" applyBorder="1" applyAlignment="1">
      <alignment horizontal="left" vertical="center"/>
    </xf>
    <xf numFmtId="0" fontId="30" fillId="0" borderId="0" xfId="0" applyFont="1" applyAlignment="1">
      <alignment vertical="center"/>
    </xf>
    <xf numFmtId="3" fontId="0" fillId="0" borderId="0" xfId="0" applyNumberFormat="1" applyAlignment="1" applyProtection="1">
      <alignment vertical="center"/>
      <protection locked="0"/>
    </xf>
    <xf numFmtId="3" fontId="0" fillId="0" borderId="0" xfId="0" applyNumberFormat="1" applyAlignment="1">
      <alignment vertical="center"/>
    </xf>
    <xf numFmtId="0" fontId="0" fillId="0" borderId="0" xfId="0" applyAlignment="1">
      <alignment vertical="center" wrapText="1"/>
    </xf>
    <xf numFmtId="3" fontId="4" fillId="12" borderId="0" xfId="1" applyNumberFormat="1" applyFont="1" applyFill="1" applyBorder="1" applyAlignment="1" applyProtection="1">
      <alignment horizontal="right" vertical="center"/>
      <protection locked="0"/>
    </xf>
    <xf numFmtId="3" fontId="4" fillId="12" borderId="1" xfId="1" applyNumberFormat="1" applyFont="1" applyFill="1" applyBorder="1" applyAlignment="1" applyProtection="1">
      <alignment horizontal="center" vertical="center"/>
    </xf>
    <xf numFmtId="0" fontId="56" fillId="0" borderId="0" xfId="520" applyFont="1"/>
    <xf numFmtId="0" fontId="56" fillId="0" borderId="0" xfId="520" applyFont="1" applyAlignment="1">
      <alignment horizontal="left" wrapText="1"/>
    </xf>
    <xf numFmtId="0" fontId="56" fillId="0" borderId="0" xfId="520" applyFont="1" applyAlignment="1">
      <alignment horizontal="center" wrapText="1"/>
    </xf>
    <xf numFmtId="0" fontId="56" fillId="0" borderId="0" xfId="520" applyFont="1" applyAlignment="1">
      <alignment horizontal="center"/>
    </xf>
    <xf numFmtId="0" fontId="58" fillId="20" borderId="1" xfId="520" applyFont="1" applyFill="1" applyBorder="1" applyAlignment="1">
      <alignment horizontal="center" vertical="center"/>
    </xf>
    <xf numFmtId="0" fontId="56" fillId="0" borderId="1" xfId="520" applyFont="1" applyBorder="1" applyAlignment="1">
      <alignment horizontal="center"/>
    </xf>
    <xf numFmtId="0" fontId="56" fillId="0" borderId="15" xfId="520" applyFont="1" applyBorder="1" applyAlignment="1">
      <alignment horizontal="center"/>
    </xf>
    <xf numFmtId="0" fontId="59" fillId="0" borderId="7" xfId="520" applyFont="1" applyBorder="1" applyAlignment="1">
      <alignment horizontal="center" vertical="center"/>
    </xf>
    <xf numFmtId="0" fontId="56" fillId="0" borderId="0" xfId="520" applyFont="1" applyAlignment="1">
      <alignment horizontal="right" wrapText="1"/>
    </xf>
    <xf numFmtId="0" fontId="56" fillId="0" borderId="0" xfId="520" applyFont="1" applyAlignment="1">
      <alignment wrapText="1"/>
    </xf>
    <xf numFmtId="0" fontId="4" fillId="0" borderId="0" xfId="214" applyFont="1"/>
    <xf numFmtId="0" fontId="62" fillId="0" borderId="0" xfId="0" applyFont="1"/>
    <xf numFmtId="0" fontId="63" fillId="0" borderId="0" xfId="0" applyFont="1"/>
    <xf numFmtId="0" fontId="64" fillId="0" borderId="0" xfId="0" applyFont="1" applyAlignment="1">
      <alignment horizontal="left" vertical="center" readingOrder="1"/>
    </xf>
    <xf numFmtId="0" fontId="65" fillId="0" borderId="0" xfId="0" applyFont="1" applyAlignment="1">
      <alignment horizontal="left" vertical="center" indent="2" readingOrder="1"/>
    </xf>
    <xf numFmtId="0" fontId="65" fillId="0" borderId="8" xfId="0" applyFont="1" applyBorder="1" applyAlignment="1">
      <alignment horizontal="center" vertical="center" readingOrder="1"/>
    </xf>
    <xf numFmtId="0" fontId="66" fillId="0" borderId="0" xfId="0" applyFont="1" applyAlignment="1">
      <alignment horizontal="left" vertical="center" readingOrder="1"/>
    </xf>
    <xf numFmtId="0" fontId="0" fillId="21" borderId="0" xfId="0" applyFill="1"/>
    <xf numFmtId="0" fontId="64" fillId="21" borderId="0" xfId="0" applyFont="1" applyFill="1" applyAlignment="1">
      <alignment horizontal="left" vertical="center" readingOrder="1"/>
    </xf>
    <xf numFmtId="0" fontId="68" fillId="0" borderId="0" xfId="0" applyFont="1" applyAlignment="1">
      <alignment wrapText="1"/>
    </xf>
    <xf numFmtId="0" fontId="1" fillId="0" borderId="0" xfId="0" applyFont="1"/>
    <xf numFmtId="0" fontId="69" fillId="0" borderId="0" xfId="0" applyFont="1" applyAlignment="1">
      <alignment horizontal="left"/>
    </xf>
    <xf numFmtId="0" fontId="56" fillId="0" borderId="0" xfId="0" applyFont="1"/>
    <xf numFmtId="0" fontId="33" fillId="0" borderId="0" xfId="17" applyFont="1" applyAlignment="1" applyProtection="1"/>
    <xf numFmtId="0" fontId="4" fillId="0" borderId="0" xfId="136" applyFont="1" applyAlignment="1">
      <alignment vertical="center" wrapText="1"/>
    </xf>
    <xf numFmtId="0" fontId="4" fillId="0" borderId="0" xfId="108" applyFont="1" applyAlignment="1">
      <alignment vertical="center" wrapText="1"/>
    </xf>
    <xf numFmtId="0" fontId="4" fillId="0" borderId="0" xfId="0" applyFont="1" applyAlignment="1">
      <alignment vertical="top" wrapText="1"/>
    </xf>
    <xf numFmtId="0" fontId="4" fillId="13" borderId="1" xfId="0" applyFont="1" applyFill="1" applyBorder="1" applyAlignment="1">
      <alignment horizontal="right" vertical="center"/>
    </xf>
    <xf numFmtId="0" fontId="4" fillId="13" borderId="18" xfId="0" applyFont="1" applyFill="1" applyBorder="1" applyAlignment="1">
      <alignment horizontal="right" vertical="center"/>
    </xf>
    <xf numFmtId="3" fontId="4" fillId="3" borderId="23" xfId="0" applyNumberFormat="1" applyFont="1" applyFill="1" applyBorder="1" applyAlignment="1">
      <alignment horizontal="center" vertical="center"/>
    </xf>
    <xf numFmtId="170" fontId="4" fillId="3" borderId="23" xfId="0" applyNumberFormat="1" applyFont="1" applyFill="1" applyBorder="1" applyAlignment="1">
      <alignment horizontal="center" vertical="center"/>
    </xf>
    <xf numFmtId="169" fontId="4" fillId="3" borderId="0" xfId="0" applyNumberFormat="1" applyFont="1" applyFill="1" applyAlignment="1">
      <alignment horizontal="center" vertical="center"/>
    </xf>
    <xf numFmtId="37" fontId="12" fillId="3" borderId="0" xfId="0" applyNumberFormat="1" applyFont="1" applyFill="1" applyAlignment="1">
      <alignment horizontal="center" vertical="center"/>
    </xf>
    <xf numFmtId="0" fontId="13" fillId="0" borderId="0" xfId="0" applyFont="1" applyAlignment="1">
      <alignment horizontal="center" vertical="center"/>
    </xf>
    <xf numFmtId="37" fontId="11" fillId="3" borderId="0" xfId="0" applyNumberFormat="1" applyFont="1" applyFill="1" applyAlignment="1">
      <alignment horizontal="center" vertical="center"/>
    </xf>
    <xf numFmtId="0" fontId="0" fillId="0" borderId="0" xfId="0" applyAlignment="1">
      <alignment horizontal="center" vertical="center"/>
    </xf>
    <xf numFmtId="37" fontId="3" fillId="3" borderId="0" xfId="35" applyNumberFormat="1" applyFont="1" applyFill="1" applyAlignment="1">
      <alignment vertical="center" wrapText="1"/>
    </xf>
    <xf numFmtId="0" fontId="4" fillId="3" borderId="5" xfId="35" applyFont="1" applyFill="1" applyBorder="1" applyAlignment="1">
      <alignment vertical="center" wrapText="1"/>
    </xf>
    <xf numFmtId="0" fontId="2" fillId="0" borderId="4" xfId="35" applyBorder="1" applyAlignment="1">
      <alignment vertical="center" wrapText="1"/>
    </xf>
    <xf numFmtId="0" fontId="2" fillId="0" borderId="20" xfId="35" applyBorder="1" applyAlignment="1">
      <alignment vertical="center" wrapText="1"/>
    </xf>
    <xf numFmtId="0" fontId="2" fillId="0" borderId="14" xfId="35" applyBorder="1" applyAlignment="1">
      <alignment vertical="center" wrapText="1"/>
    </xf>
    <xf numFmtId="0" fontId="2" fillId="0" borderId="9" xfId="35" applyBorder="1" applyAlignment="1">
      <alignment vertical="center" wrapText="1"/>
    </xf>
    <xf numFmtId="0" fontId="2" fillId="0" borderId="12" xfId="35" applyBorder="1" applyAlignment="1">
      <alignment vertical="center" wrapText="1"/>
    </xf>
    <xf numFmtId="37" fontId="4" fillId="5" borderId="2" xfId="0" applyNumberFormat="1" applyFont="1" applyFill="1" applyBorder="1" applyAlignment="1" applyProtection="1">
      <alignment horizontal="center" vertical="center"/>
      <protection locked="0"/>
    </xf>
    <xf numFmtId="37" fontId="4" fillId="5" borderId="10" xfId="0" applyNumberFormat="1" applyFont="1" applyFill="1" applyBorder="1" applyAlignment="1" applyProtection="1">
      <alignment horizontal="center" vertical="center"/>
      <protection locked="0"/>
    </xf>
    <xf numFmtId="37" fontId="51" fillId="3" borderId="20" xfId="0" applyNumberFormat="1" applyFont="1" applyFill="1" applyBorder="1" applyAlignment="1" applyProtection="1">
      <alignment horizontal="center" vertical="center" wrapText="1"/>
      <protection locked="0"/>
    </xf>
    <xf numFmtId="37" fontId="51" fillId="3" borderId="0" xfId="0" applyNumberFormat="1" applyFont="1" applyFill="1" applyAlignment="1" applyProtection="1">
      <alignment horizontal="center" vertical="center" wrapText="1"/>
      <protection locked="0"/>
    </xf>
    <xf numFmtId="0" fontId="3" fillId="10" borderId="2" xfId="0" applyFont="1" applyFill="1" applyBorder="1" applyAlignment="1">
      <alignment horizontal="left" vertical="center"/>
    </xf>
    <xf numFmtId="0" fontId="3" fillId="10" borderId="11" xfId="0" applyFont="1" applyFill="1" applyBorder="1" applyAlignment="1">
      <alignment horizontal="left" vertical="center"/>
    </xf>
    <xf numFmtId="0" fontId="3" fillId="10" borderId="10" xfId="0" applyFont="1" applyFill="1" applyBorder="1" applyAlignment="1">
      <alignment horizontal="left" vertical="center"/>
    </xf>
    <xf numFmtId="37" fontId="4" fillId="3"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3" fontId="4" fillId="3" borderId="6"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center" vertical="center" wrapText="1"/>
      <protection locked="0"/>
    </xf>
    <xf numFmtId="37" fontId="3" fillId="3" borderId="19" xfId="0" applyNumberFormat="1" applyFont="1" applyFill="1" applyBorder="1" applyAlignment="1">
      <alignment horizontal="center" vertical="center"/>
    </xf>
    <xf numFmtId="0" fontId="1" fillId="3" borderId="19" xfId="0" applyFont="1" applyFill="1" applyBorder="1" applyAlignment="1">
      <alignment horizontal="center" vertical="center"/>
    </xf>
    <xf numFmtId="37" fontId="3" fillId="11" borderId="2"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16" fillId="0" borderId="19" xfId="0" applyFont="1" applyBorder="1" applyAlignment="1">
      <alignment horizontal="center" vertical="center"/>
    </xf>
    <xf numFmtId="0" fontId="0" fillId="0" borderId="7" xfId="0" applyBorder="1" applyAlignment="1">
      <alignment horizontal="center" vertical="center" wrapText="1"/>
    </xf>
    <xf numFmtId="0" fontId="3" fillId="3" borderId="19" xfId="0" applyFont="1" applyFill="1" applyBorder="1" applyAlignment="1">
      <alignment horizontal="center" vertical="center"/>
    </xf>
    <xf numFmtId="0" fontId="16" fillId="0" borderId="19" xfId="0" applyFont="1" applyBorder="1" applyAlignment="1">
      <alignment vertical="center"/>
    </xf>
    <xf numFmtId="37" fontId="4" fillId="3" borderId="3" xfId="33" applyNumberFormat="1" applyFont="1" applyFill="1" applyBorder="1" applyAlignment="1">
      <alignment horizontal="center" vertical="top" wrapText="1"/>
    </xf>
    <xf numFmtId="0" fontId="2" fillId="0" borderId="7" xfId="33" applyBorder="1" applyAlignment="1">
      <alignment horizontal="center" vertical="top" wrapText="1"/>
    </xf>
    <xf numFmtId="37" fontId="4" fillId="3" borderId="6" xfId="33" applyNumberFormat="1" applyFont="1" applyFill="1" applyBorder="1" applyAlignment="1">
      <alignment horizontal="center" vertical="top" wrapText="1"/>
    </xf>
    <xf numFmtId="37" fontId="3" fillId="3" borderId="20" xfId="0" applyNumberFormat="1" applyFont="1" applyFill="1" applyBorder="1" applyAlignment="1">
      <alignment horizontal="center" vertical="center"/>
    </xf>
    <xf numFmtId="0" fontId="0" fillId="0" borderId="14" xfId="0" applyBorder="1" applyAlignment="1">
      <alignment horizontal="center" vertical="center"/>
    </xf>
    <xf numFmtId="0" fontId="14" fillId="3" borderId="0" xfId="0" applyFont="1" applyFill="1" applyAlignment="1">
      <alignment vertical="center"/>
    </xf>
    <xf numFmtId="0" fontId="17" fillId="0" borderId="0" xfId="0" applyFont="1" applyAlignment="1">
      <alignment vertical="center"/>
    </xf>
    <xf numFmtId="0" fontId="4" fillId="7" borderId="3" xfId="0" applyFont="1" applyFill="1" applyBorder="1" applyAlignment="1">
      <alignment horizontal="center" vertical="center" wrapText="1"/>
    </xf>
    <xf numFmtId="0" fontId="0" fillId="0" borderId="6" xfId="0" applyBorder="1" applyAlignment="1">
      <alignment horizontal="center" vertical="center" wrapText="1"/>
    </xf>
    <xf numFmtId="3" fontId="4" fillId="3" borderId="6" xfId="0" applyNumberFormat="1" applyFont="1" applyFill="1" applyBorder="1" applyAlignment="1">
      <alignment horizontal="center" vertical="center" wrapText="1"/>
    </xf>
    <xf numFmtId="0" fontId="4" fillId="8" borderId="0" xfId="0" applyFont="1" applyFill="1" applyAlignment="1">
      <alignment vertical="center" wrapText="1"/>
    </xf>
    <xf numFmtId="0" fontId="0" fillId="0" borderId="0" xfId="0" applyAlignment="1">
      <alignment vertical="center" wrapText="1"/>
    </xf>
    <xf numFmtId="0" fontId="0" fillId="0" borderId="0" xfId="0" applyAlignment="1">
      <alignment vertical="center"/>
    </xf>
    <xf numFmtId="0" fontId="3" fillId="7" borderId="2" xfId="0" applyFont="1" applyFill="1" applyBorder="1" applyAlignment="1">
      <alignment horizontal="center" vertical="center"/>
    </xf>
    <xf numFmtId="0" fontId="1" fillId="7" borderId="10" xfId="0" applyFont="1" applyFill="1" applyBorder="1" applyAlignment="1">
      <alignment horizontal="center" vertical="center"/>
    </xf>
    <xf numFmtId="0" fontId="53" fillId="19" borderId="0" xfId="484" applyFont="1" applyFill="1" applyAlignment="1">
      <alignment horizontal="center" vertical="center" wrapText="1"/>
    </xf>
    <xf numFmtId="49" fontId="4" fillId="5" borderId="2" xfId="484" applyNumberFormat="1" applyFont="1" applyFill="1" applyBorder="1" applyAlignment="1" applyProtection="1">
      <alignment horizontal="left" vertical="center"/>
      <protection locked="0"/>
    </xf>
    <xf numFmtId="49" fontId="4" fillId="5" borderId="11" xfId="484" applyNumberFormat="1" applyFont="1" applyFill="1" applyBorder="1" applyAlignment="1" applyProtection="1">
      <alignment horizontal="left" vertical="center"/>
      <protection locked="0"/>
    </xf>
    <xf numFmtId="49" fontId="4" fillId="5" borderId="10" xfId="484" applyNumberFormat="1" applyFont="1" applyFill="1" applyBorder="1" applyAlignment="1" applyProtection="1">
      <alignment horizontal="left" vertical="center"/>
      <protection locked="0"/>
    </xf>
    <xf numFmtId="0" fontId="18" fillId="0" borderId="0" xfId="0" applyFont="1" applyAlignment="1">
      <alignment horizontal="center" vertical="top" wrapText="1"/>
    </xf>
    <xf numFmtId="0" fontId="4" fillId="5" borderId="2" xfId="484" applyFont="1" applyFill="1" applyBorder="1" applyAlignment="1" applyProtection="1">
      <alignment horizontal="left" vertical="center"/>
      <protection locked="0"/>
    </xf>
    <xf numFmtId="0" fontId="4" fillId="5" borderId="11" xfId="484" applyFont="1" applyFill="1" applyBorder="1" applyAlignment="1" applyProtection="1">
      <alignment horizontal="left" vertical="center"/>
      <protection locked="0"/>
    </xf>
    <xf numFmtId="0" fontId="4" fillId="5" borderId="10" xfId="484" applyFont="1" applyFill="1" applyBorder="1" applyAlignment="1" applyProtection="1">
      <alignment horizontal="left" vertical="center"/>
      <protection locked="0"/>
    </xf>
    <xf numFmtId="0" fontId="52" fillId="19" borderId="0" xfId="0" applyFont="1" applyFill="1" applyAlignment="1">
      <alignment horizontal="center" vertical="center"/>
    </xf>
    <xf numFmtId="0" fontId="4" fillId="0" borderId="0" xfId="484" applyFont="1" applyAlignment="1">
      <alignment horizontal="center" vertical="center" wrapText="1"/>
    </xf>
    <xf numFmtId="0" fontId="3" fillId="18" borderId="0" xfId="0" applyFont="1" applyFill="1" applyAlignment="1">
      <alignment horizontal="left" vertical="top" wrapText="1"/>
    </xf>
    <xf numFmtId="37" fontId="4" fillId="3" borderId="2" xfId="0" applyNumberFormat="1" applyFont="1" applyFill="1" applyBorder="1" applyAlignment="1">
      <alignment horizontal="left" vertical="center"/>
    </xf>
    <xf numFmtId="37" fontId="4" fillId="3" borderId="10" xfId="0" applyNumberFormat="1" applyFont="1" applyFill="1" applyBorder="1" applyAlignment="1">
      <alignment horizontal="left" vertical="center"/>
    </xf>
    <xf numFmtId="3" fontId="4" fillId="12" borderId="1" xfId="1"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7" fillId="16" borderId="24"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6" borderId="6" xfId="0" applyFont="1" applyFill="1" applyBorder="1" applyAlignment="1">
      <alignment horizontal="center" vertical="center" wrapText="1"/>
    </xf>
    <xf numFmtId="3" fontId="4" fillId="13" borderId="6" xfId="0" applyNumberFormat="1" applyFont="1" applyFill="1" applyBorder="1" applyAlignment="1">
      <alignment horizontal="center" vertical="center"/>
    </xf>
    <xf numFmtId="3" fontId="4" fillId="13" borderId="7" xfId="0" applyNumberFormat="1" applyFont="1" applyFill="1" applyBorder="1" applyAlignment="1">
      <alignment horizontal="center" vertical="center"/>
    </xf>
    <xf numFmtId="3" fontId="3" fillId="12" borderId="0" xfId="1" applyNumberFormat="1" applyFont="1" applyFill="1" applyBorder="1" applyAlignment="1" applyProtection="1">
      <alignment horizontal="right" vertical="center"/>
      <protection locked="0"/>
    </xf>
    <xf numFmtId="3" fontId="4" fillId="12" borderId="0" xfId="1" applyNumberFormat="1" applyFont="1" applyFill="1" applyBorder="1" applyAlignment="1" applyProtection="1">
      <alignment horizontal="right" vertical="center"/>
      <protection locked="0"/>
    </xf>
    <xf numFmtId="0" fontId="28" fillId="3" borderId="0" xfId="0" applyFont="1" applyFill="1" applyAlignment="1">
      <alignment horizontal="center" vertical="center"/>
    </xf>
    <xf numFmtId="37" fontId="4" fillId="12" borderId="0" xfId="0" applyNumberFormat="1" applyFont="1" applyFill="1" applyAlignment="1">
      <alignment horizontal="center" vertical="center"/>
    </xf>
    <xf numFmtId="37" fontId="4" fillId="3" borderId="3" xfId="0" applyNumberFormat="1" applyFont="1" applyFill="1" applyBorder="1" applyAlignment="1">
      <alignment horizontal="center" vertical="center" wrapText="1"/>
    </xf>
    <xf numFmtId="37" fontId="4" fillId="3" borderId="7" xfId="0" applyNumberFormat="1" applyFont="1" applyFill="1" applyBorder="1" applyAlignment="1">
      <alignment horizontal="center" vertical="center" wrapText="1"/>
    </xf>
    <xf numFmtId="37" fontId="4" fillId="3" borderId="2" xfId="0" applyNumberFormat="1" applyFont="1" applyFill="1" applyBorder="1" applyAlignment="1">
      <alignment horizontal="center" vertical="center"/>
    </xf>
    <xf numFmtId="37" fontId="3" fillId="3" borderId="0" xfId="33" applyNumberFormat="1" applyFont="1" applyFill="1" applyAlignment="1">
      <alignment horizontal="center" vertical="center"/>
    </xf>
    <xf numFmtId="0" fontId="2" fillId="0" borderId="0" xfId="33" applyAlignment="1">
      <alignment horizontal="center" vertical="center"/>
    </xf>
    <xf numFmtId="0" fontId="3" fillId="3" borderId="0" xfId="0" applyFont="1" applyFill="1" applyAlignment="1">
      <alignment horizontal="center" vertical="center"/>
    </xf>
    <xf numFmtId="0" fontId="4" fillId="3" borderId="9" xfId="0" applyFont="1" applyFill="1" applyBorder="1" applyAlignment="1">
      <alignment horizontal="center"/>
    </xf>
    <xf numFmtId="0" fontId="0" fillId="0" borderId="12" xfId="0" applyBorder="1"/>
    <xf numFmtId="1" fontId="4" fillId="3" borderId="9" xfId="0" applyNumberFormat="1" applyFont="1" applyFill="1" applyBorder="1" applyAlignment="1">
      <alignment horizontal="center"/>
    </xf>
    <xf numFmtId="0" fontId="0" fillId="0" borderId="12" xfId="0" applyBorder="1" applyAlignment="1">
      <alignment horizontal="center"/>
    </xf>
    <xf numFmtId="0" fontId="11" fillId="12" borderId="0" xfId="504" applyFont="1" applyFill="1" applyAlignment="1">
      <alignment horizontal="center"/>
    </xf>
    <xf numFmtId="0" fontId="2" fillId="12" borderId="0" xfId="43" applyFill="1" applyAlignment="1">
      <alignment horizontal="center"/>
    </xf>
    <xf numFmtId="0" fontId="3" fillId="12" borderId="0" xfId="43" applyFont="1" applyFill="1" applyAlignment="1">
      <alignment horizontal="center" vertical="center"/>
    </xf>
    <xf numFmtId="0" fontId="11" fillId="12" borderId="0" xfId="43" applyFont="1" applyFill="1" applyAlignment="1">
      <alignment horizontal="center" vertical="center"/>
    </xf>
    <xf numFmtId="0" fontId="4" fillId="12" borderId="0" xfId="43" applyFont="1" applyFill="1" applyAlignment="1">
      <alignment vertical="center" wrapText="1"/>
    </xf>
    <xf numFmtId="0" fontId="46" fillId="0" borderId="13" xfId="0" applyFont="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4" fillId="3" borderId="0" xfId="0" applyFont="1" applyFill="1" applyAlignment="1">
      <alignment horizontal="right" vertical="center"/>
    </xf>
    <xf numFmtId="0" fontId="0" fillId="0" borderId="0" xfId="0" applyAlignment="1">
      <alignment horizontal="right" vertical="center"/>
    </xf>
    <xf numFmtId="3" fontId="4" fillId="3" borderId="13" xfId="66" applyNumberFormat="1" applyFont="1" applyFill="1" applyBorder="1" applyAlignment="1">
      <alignment horizontal="right" vertical="center"/>
    </xf>
    <xf numFmtId="0" fontId="2" fillId="0" borderId="4" xfId="66" applyBorder="1" applyAlignment="1">
      <alignment horizontal="right" vertical="center"/>
    </xf>
    <xf numFmtId="0" fontId="4" fillId="3" borderId="0" xfId="66" applyFont="1" applyFill="1" applyAlignment="1">
      <alignment horizontal="right" vertical="center"/>
    </xf>
    <xf numFmtId="0" fontId="4" fillId="0" borderId="14" xfId="66" applyFont="1" applyBorder="1" applyAlignment="1">
      <alignment horizontal="right" vertical="center"/>
    </xf>
    <xf numFmtId="0" fontId="34" fillId="12" borderId="5" xfId="61" applyFont="1" applyFill="1" applyBorder="1" applyAlignment="1">
      <alignment horizontal="center" vertical="center"/>
    </xf>
    <xf numFmtId="0" fontId="34" fillId="12" borderId="13" xfId="61" applyFont="1" applyFill="1" applyBorder="1" applyAlignment="1">
      <alignment horizontal="center" vertical="center"/>
    </xf>
    <xf numFmtId="0" fontId="2" fillId="0" borderId="4" xfId="61" applyBorder="1" applyAlignment="1">
      <alignment vertical="center"/>
    </xf>
    <xf numFmtId="0" fontId="0" fillId="0" borderId="13" xfId="0" applyBorder="1" applyAlignment="1">
      <alignment vertical="center"/>
    </xf>
    <xf numFmtId="0" fontId="0" fillId="0" borderId="4" xfId="0" applyBorder="1" applyAlignment="1">
      <alignment vertical="center"/>
    </xf>
    <xf numFmtId="171" fontId="34" fillId="12" borderId="5" xfId="0" applyNumberFormat="1" applyFont="1" applyFill="1" applyBorder="1" applyAlignment="1">
      <alignment horizontal="center" wrapText="1"/>
    </xf>
    <xf numFmtId="171" fontId="34" fillId="12" borderId="13" xfId="0" applyNumberFormat="1" applyFont="1" applyFill="1" applyBorder="1" applyAlignment="1">
      <alignment horizontal="center" wrapText="1"/>
    </xf>
    <xf numFmtId="171" fontId="34" fillId="12" borderId="4" xfId="0" applyNumberFormat="1" applyFont="1" applyFill="1" applyBorder="1" applyAlignment="1">
      <alignment horizontal="center" wrapText="1"/>
    </xf>
    <xf numFmtId="171" fontId="34" fillId="12" borderId="20" xfId="0" applyNumberFormat="1" applyFont="1" applyFill="1" applyBorder="1" applyAlignment="1">
      <alignment horizontal="center" wrapText="1"/>
    </xf>
    <xf numFmtId="171" fontId="34" fillId="12" borderId="0" xfId="0" applyNumberFormat="1" applyFont="1" applyFill="1" applyAlignment="1">
      <alignment horizontal="center" wrapText="1"/>
    </xf>
    <xf numFmtId="171" fontId="34" fillId="12" borderId="14" xfId="0" applyNumberFormat="1" applyFont="1" applyFill="1" applyBorder="1" applyAlignment="1">
      <alignment horizontal="center" wrapText="1"/>
    </xf>
    <xf numFmtId="0" fontId="4" fillId="12" borderId="2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9" xfId="0" applyFont="1" applyFill="1" applyBorder="1" applyAlignment="1">
      <alignment horizontal="center" vertical="center" wrapText="1"/>
    </xf>
    <xf numFmtId="0" fontId="4" fillId="12" borderId="8" xfId="0" applyFont="1" applyFill="1" applyBorder="1" applyAlignment="1">
      <alignment horizontal="center" vertical="center" wrapText="1"/>
    </xf>
    <xf numFmtId="49" fontId="54" fillId="12" borderId="14" xfId="0" applyNumberFormat="1" applyFont="1" applyFill="1" applyBorder="1" applyAlignment="1">
      <alignment horizontal="center" vertical="center"/>
    </xf>
    <xf numFmtId="49" fontId="54" fillId="12" borderId="12" xfId="0" applyNumberFormat="1" applyFont="1" applyFill="1" applyBorder="1" applyAlignment="1">
      <alignment horizontal="center" vertical="center"/>
    </xf>
    <xf numFmtId="0" fontId="34" fillId="12" borderId="5" xfId="0" applyFont="1" applyFill="1" applyBorder="1" applyAlignment="1">
      <alignment horizontal="center" vertical="center"/>
    </xf>
    <xf numFmtId="0" fontId="36" fillId="12" borderId="5" xfId="61" applyFont="1" applyFill="1" applyBorder="1" applyAlignment="1">
      <alignment horizontal="center" vertical="center"/>
    </xf>
    <xf numFmtId="0" fontId="0" fillId="0" borderId="13" xfId="0" applyBorder="1" applyAlignment="1">
      <alignment horizontal="center" vertical="center"/>
    </xf>
    <xf numFmtId="0" fontId="38" fillId="0" borderId="13" xfId="0" applyFont="1" applyBorder="1" applyAlignment="1">
      <alignment horizontal="center" vertical="center"/>
    </xf>
    <xf numFmtId="0" fontId="0" fillId="0" borderId="4" xfId="0" applyBorder="1"/>
    <xf numFmtId="0" fontId="18" fillId="3" borderId="0" xfId="0" applyFont="1" applyFill="1" applyAlignment="1">
      <alignment horizontal="center" vertical="center"/>
    </xf>
    <xf numFmtId="0" fontId="4" fillId="8" borderId="0" xfId="0" applyFont="1" applyFill="1" applyAlignment="1">
      <alignment horizontal="right"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3" fillId="12" borderId="5" xfId="0" applyFont="1" applyFill="1" applyBorder="1" applyAlignment="1">
      <alignment horizontal="center" wrapText="1"/>
    </xf>
    <xf numFmtId="0" fontId="11" fillId="12" borderId="13" xfId="0" applyFont="1" applyFill="1" applyBorder="1" applyAlignment="1">
      <alignment horizontal="center" wrapText="1"/>
    </xf>
    <xf numFmtId="0" fontId="11" fillId="12" borderId="9" xfId="0" applyFont="1" applyFill="1" applyBorder="1" applyAlignment="1">
      <alignment horizontal="center" wrapText="1"/>
    </xf>
    <xf numFmtId="0" fontId="11" fillId="12" borderId="8" xfId="0" applyFont="1" applyFill="1" applyBorder="1" applyAlignment="1">
      <alignment horizontal="center" wrapText="1"/>
    </xf>
    <xf numFmtId="0" fontId="52" fillId="12" borderId="4" xfId="0" applyFont="1" applyFill="1" applyBorder="1" applyAlignment="1">
      <alignment horizontal="center" vertical="center" wrapText="1"/>
    </xf>
    <xf numFmtId="0" fontId="53" fillId="12" borderId="12" xfId="0" applyFont="1" applyFill="1" applyBorder="1" applyAlignment="1">
      <alignment horizontal="center" vertical="center" wrapText="1"/>
    </xf>
    <xf numFmtId="37" fontId="3" fillId="12" borderId="0" xfId="0" applyNumberFormat="1" applyFont="1" applyFill="1" applyAlignment="1">
      <alignment horizontal="center" vertical="center"/>
    </xf>
    <xf numFmtId="0" fontId="4" fillId="12" borderId="0" xfId="0" applyFont="1" applyFill="1" applyAlignment="1">
      <alignment horizontal="center" vertical="center"/>
    </xf>
    <xf numFmtId="0" fontId="2" fillId="0" borderId="0" xfId="0" applyFont="1" applyAlignment="1">
      <alignment vertical="center"/>
    </xf>
    <xf numFmtId="0" fontId="11" fillId="12" borderId="5" xfId="62" applyFont="1" applyFill="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11" fillId="12" borderId="13" xfId="62" applyFont="1" applyFill="1" applyBorder="1" applyAlignment="1">
      <alignment horizontal="center"/>
    </xf>
    <xf numFmtId="0" fontId="11" fillId="12" borderId="4" xfId="62" applyFont="1" applyFill="1" applyBorder="1" applyAlignment="1">
      <alignment horizontal="center"/>
    </xf>
    <xf numFmtId="0" fontId="2" fillId="0" borderId="13" xfId="62" applyBorder="1" applyAlignment="1">
      <alignment horizontal="center"/>
    </xf>
    <xf numFmtId="0" fontId="2" fillId="0" borderId="4" xfId="62" applyBorder="1" applyAlignment="1">
      <alignment horizontal="center"/>
    </xf>
    <xf numFmtId="37" fontId="4" fillId="3" borderId="0" xfId="0" applyNumberFormat="1" applyFont="1" applyFill="1" applyAlignment="1">
      <alignment horizontal="center" vertical="center"/>
    </xf>
    <xf numFmtId="49" fontId="4" fillId="12" borderId="0" xfId="0" applyNumberFormat="1" applyFont="1" applyFill="1" applyAlignment="1" applyProtection="1">
      <alignment horizontal="left" vertical="center"/>
      <protection locked="0"/>
    </xf>
    <xf numFmtId="0" fontId="0" fillId="12" borderId="0" xfId="0" applyFill="1" applyAlignment="1" applyProtection="1">
      <alignment horizontal="left" vertical="center"/>
      <protection locked="0"/>
    </xf>
    <xf numFmtId="37" fontId="4" fillId="3" borderId="13" xfId="0" applyNumberFormat="1" applyFont="1" applyFill="1" applyBorder="1" applyAlignment="1">
      <alignment horizontal="center" vertical="center"/>
    </xf>
    <xf numFmtId="37" fontId="3" fillId="3" borderId="8" xfId="0" applyNumberFormat="1" applyFont="1" applyFill="1" applyBorder="1" applyAlignment="1" applyProtection="1">
      <alignment horizontal="center" vertical="center"/>
      <protection locked="0"/>
    </xf>
    <xf numFmtId="0" fontId="28" fillId="0" borderId="8" xfId="0" applyFont="1" applyBorder="1" applyAlignment="1">
      <alignment horizontal="center" vertical="center"/>
    </xf>
    <xf numFmtId="37" fontId="18" fillId="3" borderId="9" xfId="0" applyNumberFormat="1" applyFont="1" applyFill="1" applyBorder="1" applyAlignment="1">
      <alignment horizontal="right" vertical="center"/>
    </xf>
    <xf numFmtId="37" fontId="18" fillId="3" borderId="8" xfId="0" applyNumberFormat="1" applyFont="1" applyFill="1" applyBorder="1" applyAlignment="1">
      <alignment horizontal="right" vertical="center"/>
    </xf>
    <xf numFmtId="37" fontId="18" fillId="3" borderId="12" xfId="0" applyNumberFormat="1" applyFont="1" applyFill="1" applyBorder="1" applyAlignment="1">
      <alignment horizontal="right" vertical="center"/>
    </xf>
    <xf numFmtId="0" fontId="4" fillId="3" borderId="1" xfId="0" applyFont="1" applyFill="1" applyBorder="1" applyAlignment="1">
      <alignment horizontal="center" vertical="center"/>
    </xf>
    <xf numFmtId="49" fontId="4" fillId="3" borderId="0" xfId="0" applyNumberFormat="1" applyFont="1" applyFill="1" applyAlignment="1" applyProtection="1">
      <alignment horizontal="left" vertical="center"/>
      <protection locked="0"/>
    </xf>
    <xf numFmtId="0" fontId="11"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18" borderId="0" xfId="0" applyFont="1" applyFill="1" applyAlignment="1">
      <alignment horizontal="center" vertical="center"/>
    </xf>
    <xf numFmtId="0" fontId="4" fillId="18" borderId="0" xfId="0" applyFont="1" applyFill="1" applyAlignment="1">
      <alignment horizontal="right" vertical="center"/>
    </xf>
    <xf numFmtId="0" fontId="11" fillId="0" borderId="0" xfId="0" applyFont="1"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center"/>
    </xf>
    <xf numFmtId="0" fontId="56" fillId="0" borderId="1" xfId="520" applyFont="1" applyBorder="1" applyAlignment="1">
      <alignment horizontal="center"/>
    </xf>
    <xf numFmtId="0" fontId="56" fillId="0" borderId="15" xfId="520" applyFont="1" applyBorder="1" applyAlignment="1">
      <alignment horizontal="center"/>
    </xf>
    <xf numFmtId="0" fontId="59" fillId="0" borderId="7" xfId="520" applyFont="1" applyBorder="1" applyAlignment="1">
      <alignment horizontal="center" vertical="center"/>
    </xf>
    <xf numFmtId="0" fontId="56" fillId="0" borderId="8" xfId="520" applyFont="1" applyBorder="1" applyAlignment="1">
      <alignment horizontal="center" wrapText="1"/>
    </xf>
    <xf numFmtId="0" fontId="56" fillId="0" borderId="2" xfId="520" applyFont="1" applyBorder="1" applyAlignment="1">
      <alignment horizontal="center"/>
    </xf>
    <xf numFmtId="0" fontId="56" fillId="0" borderId="11" xfId="520" applyFont="1" applyBorder="1" applyAlignment="1">
      <alignment horizontal="center"/>
    </xf>
    <xf numFmtId="0" fontId="56" fillId="0" borderId="10" xfId="520" applyFont="1" applyBorder="1" applyAlignment="1">
      <alignment horizontal="center"/>
    </xf>
    <xf numFmtId="0" fontId="55" fillId="0" borderId="0" xfId="520" applyFont="1" applyAlignment="1">
      <alignment horizontal="center"/>
    </xf>
    <xf numFmtId="0" fontId="56" fillId="0" borderId="0" xfId="520" applyFont="1" applyAlignment="1">
      <alignment horizontal="center" wrapText="1"/>
    </xf>
    <xf numFmtId="0" fontId="56" fillId="0" borderId="0" xfId="520" applyFont="1" applyAlignment="1">
      <alignment horizontal="center"/>
    </xf>
    <xf numFmtId="0" fontId="58" fillId="20" borderId="2" xfId="520" applyFont="1" applyFill="1" applyBorder="1" applyAlignment="1">
      <alignment horizontal="center" vertical="center"/>
    </xf>
    <xf numFmtId="0" fontId="58" fillId="20" borderId="11" xfId="520" applyFont="1" applyFill="1" applyBorder="1" applyAlignment="1">
      <alignment horizontal="center" vertical="center"/>
    </xf>
    <xf numFmtId="0" fontId="58" fillId="20" borderId="10" xfId="520" applyFont="1" applyFill="1" applyBorder="1" applyAlignment="1">
      <alignment horizontal="center" vertical="center"/>
    </xf>
    <xf numFmtId="0" fontId="3" fillId="0" borderId="0" xfId="0" applyFont="1" applyAlignment="1">
      <alignment wrapText="1"/>
    </xf>
    <xf numFmtId="0" fontId="4" fillId="0" borderId="0" xfId="0" applyFont="1" applyAlignment="1">
      <alignment wrapText="1"/>
    </xf>
    <xf numFmtId="0" fontId="60" fillId="0" borderId="0" xfId="0" quotePrefix="1" applyFont="1" applyAlignment="1">
      <alignment horizontal="center" vertical="center"/>
    </xf>
    <xf numFmtId="0" fontId="60" fillId="0" borderId="0" xfId="0" applyFont="1" applyAlignment="1">
      <alignment horizontal="center" vertical="center"/>
    </xf>
    <xf numFmtId="0" fontId="52" fillId="0" borderId="0" xfId="0" applyFont="1" applyAlignment="1">
      <alignment horizontal="center" vertical="center"/>
    </xf>
    <xf numFmtId="0" fontId="68" fillId="0" borderId="0" xfId="0" applyFont="1" applyAlignment="1">
      <alignment horizontal="center" wrapText="1"/>
    </xf>
  </cellXfs>
  <cellStyles count="521">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2" xfId="6" xr:uid="{00000000-0005-0000-0000-000005000000}"/>
    <cellStyle name="Comma 2 2" xfId="7" xr:uid="{00000000-0005-0000-0000-000006000000}"/>
    <cellStyle name="Comma 3 2" xfId="8" xr:uid="{00000000-0005-0000-0000-000007000000}"/>
    <cellStyle name="Comma 3 3" xfId="9" xr:uid="{00000000-0005-0000-0000-000008000000}"/>
    <cellStyle name="Comma 4" xfId="10" xr:uid="{00000000-0005-0000-0000-000009000000}"/>
    <cellStyle name="Comma 4 2" xfId="11" xr:uid="{00000000-0005-0000-0000-00000A000000}"/>
    <cellStyle name="Comma 6" xfId="12" xr:uid="{00000000-0005-0000-0000-00000B000000}"/>
    <cellStyle name="Comma 6 2" xfId="13" xr:uid="{00000000-0005-0000-0000-00000C000000}"/>
    <cellStyle name="Comma 7" xfId="14" xr:uid="{00000000-0005-0000-0000-00000D000000}"/>
    <cellStyle name="Comma 7 2" xfId="15" xr:uid="{00000000-0005-0000-0000-00000E000000}"/>
    <cellStyle name="Comma 7 3" xfId="16" xr:uid="{00000000-0005-0000-0000-00000F000000}"/>
    <cellStyle name="Hyperlink" xfId="17" builtinId="8"/>
    <cellStyle name="Hyperlink 2" xfId="18" xr:uid="{00000000-0005-0000-0000-000011000000}"/>
    <cellStyle name="Hyperlink 2 2" xfId="19" xr:uid="{00000000-0005-0000-0000-000012000000}"/>
    <cellStyle name="Hyperlink 2 3" xfId="20" xr:uid="{00000000-0005-0000-0000-000013000000}"/>
    <cellStyle name="Hyperlink 3" xfId="21" xr:uid="{00000000-0005-0000-0000-000014000000}"/>
    <cellStyle name="Hyperlink 3 2" xfId="22" xr:uid="{00000000-0005-0000-0000-000015000000}"/>
    <cellStyle name="Hyperlink 3 3" xfId="23" xr:uid="{00000000-0005-0000-0000-000016000000}"/>
    <cellStyle name="Hyperlink 3 4" xfId="24" xr:uid="{00000000-0005-0000-0000-000017000000}"/>
    <cellStyle name="Hyperlink 4" xfId="25" xr:uid="{00000000-0005-0000-0000-000018000000}"/>
    <cellStyle name="Hyperlink 4 2" xfId="26" xr:uid="{00000000-0005-0000-0000-000019000000}"/>
    <cellStyle name="Hyperlink 7" xfId="27" xr:uid="{00000000-0005-0000-0000-00001A000000}"/>
    <cellStyle name="Hyperlink 7 2" xfId="28" xr:uid="{00000000-0005-0000-0000-00001B000000}"/>
    <cellStyle name="Hyperlink 7 3" xfId="29" xr:uid="{00000000-0005-0000-0000-00001C000000}"/>
    <cellStyle name="Hyperlink 8" xfId="30" xr:uid="{00000000-0005-0000-0000-00001D000000}"/>
    <cellStyle name="Hyperlink 8 2" xfId="31" xr:uid="{00000000-0005-0000-0000-00001E000000}"/>
    <cellStyle name="Normal" xfId="0" builtinId="0"/>
    <cellStyle name="Normal 10" xfId="32" xr:uid="{00000000-0005-0000-0000-000020000000}"/>
    <cellStyle name="Normal 10 2" xfId="33" xr:uid="{00000000-0005-0000-0000-000021000000}"/>
    <cellStyle name="Normal 10 2 2" xfId="34" xr:uid="{00000000-0005-0000-0000-000022000000}"/>
    <cellStyle name="Normal 10 2 2 2" xfId="35" xr:uid="{00000000-0005-0000-0000-000023000000}"/>
    <cellStyle name="Normal 10 2 2 3" xfId="36" xr:uid="{00000000-0005-0000-0000-000024000000}"/>
    <cellStyle name="Normal 10 2 3" xfId="37" xr:uid="{00000000-0005-0000-0000-000025000000}"/>
    <cellStyle name="Normal 10 3" xfId="38" xr:uid="{00000000-0005-0000-0000-000026000000}"/>
    <cellStyle name="Normal 10 3 2" xfId="39" xr:uid="{00000000-0005-0000-0000-000027000000}"/>
    <cellStyle name="Normal 10 4" xfId="40" xr:uid="{00000000-0005-0000-0000-000028000000}"/>
    <cellStyle name="Normal 10 4 2" xfId="41" xr:uid="{00000000-0005-0000-0000-000029000000}"/>
    <cellStyle name="Normal 10 4 3" xfId="42" xr:uid="{00000000-0005-0000-0000-00002A000000}"/>
    <cellStyle name="Normal 10 5" xfId="43" xr:uid="{00000000-0005-0000-0000-00002B000000}"/>
    <cellStyle name="Normal 10 5 2" xfId="44" xr:uid="{00000000-0005-0000-0000-00002C000000}"/>
    <cellStyle name="Normal 10 5 3" xfId="45" xr:uid="{00000000-0005-0000-0000-00002D000000}"/>
    <cellStyle name="Normal 10 6" xfId="46" xr:uid="{00000000-0005-0000-0000-00002E000000}"/>
    <cellStyle name="Normal 10 6 2" xfId="47" xr:uid="{00000000-0005-0000-0000-00002F000000}"/>
    <cellStyle name="Normal 10 6 3" xfId="48" xr:uid="{00000000-0005-0000-0000-000030000000}"/>
    <cellStyle name="Normal 10 7" xfId="49" xr:uid="{00000000-0005-0000-0000-000031000000}"/>
    <cellStyle name="Normal 10 7 2" xfId="50" xr:uid="{00000000-0005-0000-0000-000032000000}"/>
    <cellStyle name="Normal 11" xfId="51" xr:uid="{00000000-0005-0000-0000-000033000000}"/>
    <cellStyle name="Normal 11 2" xfId="52" xr:uid="{00000000-0005-0000-0000-000034000000}"/>
    <cellStyle name="Normal 11 2 2" xfId="53" xr:uid="{00000000-0005-0000-0000-000035000000}"/>
    <cellStyle name="Normal 11 2 3" xfId="54" xr:uid="{00000000-0005-0000-0000-000036000000}"/>
    <cellStyle name="Normal 11 3" xfId="55" xr:uid="{00000000-0005-0000-0000-000037000000}"/>
    <cellStyle name="Normal 11 4" xfId="56" xr:uid="{00000000-0005-0000-0000-000038000000}"/>
    <cellStyle name="Normal 11 5" xfId="57" xr:uid="{00000000-0005-0000-0000-000039000000}"/>
    <cellStyle name="Normal 11 5 2" xfId="58" xr:uid="{00000000-0005-0000-0000-00003A000000}"/>
    <cellStyle name="Normal 11 5 3" xfId="59" xr:uid="{00000000-0005-0000-0000-00003B000000}"/>
    <cellStyle name="Normal 11 6" xfId="60" xr:uid="{00000000-0005-0000-0000-00003C000000}"/>
    <cellStyle name="Normal 12" xfId="61" xr:uid="{00000000-0005-0000-0000-00003D000000}"/>
    <cellStyle name="Normal 12 10" xfId="62" xr:uid="{00000000-0005-0000-0000-00003E000000}"/>
    <cellStyle name="Normal 12 11" xfId="63" xr:uid="{00000000-0005-0000-0000-00003F000000}"/>
    <cellStyle name="Normal 12 12" xfId="64" xr:uid="{00000000-0005-0000-0000-000040000000}"/>
    <cellStyle name="Normal 12 13" xfId="65" xr:uid="{00000000-0005-0000-0000-000041000000}"/>
    <cellStyle name="Normal 12 2" xfId="66" xr:uid="{00000000-0005-0000-0000-000042000000}"/>
    <cellStyle name="Normal 12 2 2" xfId="67" xr:uid="{00000000-0005-0000-0000-000043000000}"/>
    <cellStyle name="Normal 12 3" xfId="68" xr:uid="{00000000-0005-0000-0000-000044000000}"/>
    <cellStyle name="Normal 12 4" xfId="69" xr:uid="{00000000-0005-0000-0000-000045000000}"/>
    <cellStyle name="Normal 12 5" xfId="70" xr:uid="{00000000-0005-0000-0000-000046000000}"/>
    <cellStyle name="Normal 12 6" xfId="71" xr:uid="{00000000-0005-0000-0000-000047000000}"/>
    <cellStyle name="Normal 12 7" xfId="72" xr:uid="{00000000-0005-0000-0000-000048000000}"/>
    <cellStyle name="Normal 12 8" xfId="73" xr:uid="{00000000-0005-0000-0000-000049000000}"/>
    <cellStyle name="Normal 12 9" xfId="74" xr:uid="{00000000-0005-0000-0000-00004A000000}"/>
    <cellStyle name="Normal 13" xfId="75" xr:uid="{00000000-0005-0000-0000-00004B000000}"/>
    <cellStyle name="Normal 13 10" xfId="76" xr:uid="{00000000-0005-0000-0000-00004C000000}"/>
    <cellStyle name="Normal 13 11" xfId="77" xr:uid="{00000000-0005-0000-0000-00004D000000}"/>
    <cellStyle name="Normal 13 12" xfId="78" xr:uid="{00000000-0005-0000-0000-00004E000000}"/>
    <cellStyle name="Normal 13 13" xfId="79" xr:uid="{00000000-0005-0000-0000-00004F000000}"/>
    <cellStyle name="Normal 13 2" xfId="80" xr:uid="{00000000-0005-0000-0000-000050000000}"/>
    <cellStyle name="Normal 13 2 2" xfId="81" xr:uid="{00000000-0005-0000-0000-000051000000}"/>
    <cellStyle name="Normal 13 3" xfId="82" xr:uid="{00000000-0005-0000-0000-000052000000}"/>
    <cellStyle name="Normal 13 4" xfId="83" xr:uid="{00000000-0005-0000-0000-000053000000}"/>
    <cellStyle name="Normal 13 5" xfId="84" xr:uid="{00000000-0005-0000-0000-000054000000}"/>
    <cellStyle name="Normal 13 6" xfId="85" xr:uid="{00000000-0005-0000-0000-000055000000}"/>
    <cellStyle name="Normal 13 7" xfId="86" xr:uid="{00000000-0005-0000-0000-000056000000}"/>
    <cellStyle name="Normal 13 8" xfId="87" xr:uid="{00000000-0005-0000-0000-000057000000}"/>
    <cellStyle name="Normal 13 9" xfId="88" xr:uid="{00000000-0005-0000-0000-000058000000}"/>
    <cellStyle name="Normal 14" xfId="89" xr:uid="{00000000-0005-0000-0000-000059000000}"/>
    <cellStyle name="Normal 14 2" xfId="90" xr:uid="{00000000-0005-0000-0000-00005A000000}"/>
    <cellStyle name="Normal 14 3" xfId="91" xr:uid="{00000000-0005-0000-0000-00005B000000}"/>
    <cellStyle name="Normal 14 4" xfId="92" xr:uid="{00000000-0005-0000-0000-00005C000000}"/>
    <cellStyle name="Normal 14 5" xfId="93" xr:uid="{00000000-0005-0000-0000-00005D000000}"/>
    <cellStyle name="Normal 14 6" xfId="94" xr:uid="{00000000-0005-0000-0000-00005E000000}"/>
    <cellStyle name="Normal 14 7" xfId="95" xr:uid="{00000000-0005-0000-0000-00005F000000}"/>
    <cellStyle name="Normal 14 7 2" xfId="96" xr:uid="{00000000-0005-0000-0000-000060000000}"/>
    <cellStyle name="Normal 15" xfId="97" xr:uid="{00000000-0005-0000-0000-000061000000}"/>
    <cellStyle name="Normal 15 2" xfId="98" xr:uid="{00000000-0005-0000-0000-000062000000}"/>
    <cellStyle name="Normal 15 3" xfId="99" xr:uid="{00000000-0005-0000-0000-000063000000}"/>
    <cellStyle name="Normal 15 4" xfId="100" xr:uid="{00000000-0005-0000-0000-000064000000}"/>
    <cellStyle name="Normal 15 5" xfId="101" xr:uid="{00000000-0005-0000-0000-000065000000}"/>
    <cellStyle name="Normal 16" xfId="102" xr:uid="{00000000-0005-0000-0000-000066000000}"/>
    <cellStyle name="Normal 16 2" xfId="103" xr:uid="{00000000-0005-0000-0000-000067000000}"/>
    <cellStyle name="Normal 16 3" xfId="104" xr:uid="{00000000-0005-0000-0000-000068000000}"/>
    <cellStyle name="Normal 16 4" xfId="105" xr:uid="{00000000-0005-0000-0000-000069000000}"/>
    <cellStyle name="Normal 16 5" xfId="106" xr:uid="{00000000-0005-0000-0000-00006A000000}"/>
    <cellStyle name="Normal 17" xfId="107" xr:uid="{00000000-0005-0000-0000-00006B000000}"/>
    <cellStyle name="Normal 17 2" xfId="108" xr:uid="{00000000-0005-0000-0000-00006C000000}"/>
    <cellStyle name="Normal 17 3" xfId="109" xr:uid="{00000000-0005-0000-0000-00006D000000}"/>
    <cellStyle name="Normal 17 4" xfId="110" xr:uid="{00000000-0005-0000-0000-00006E000000}"/>
    <cellStyle name="Normal 17 5" xfId="111" xr:uid="{00000000-0005-0000-0000-00006F000000}"/>
    <cellStyle name="Normal 18" xfId="112" xr:uid="{00000000-0005-0000-0000-000070000000}"/>
    <cellStyle name="Normal 18 2" xfId="113" xr:uid="{00000000-0005-0000-0000-000071000000}"/>
    <cellStyle name="Normal 18 2 2" xfId="114" xr:uid="{00000000-0005-0000-0000-000072000000}"/>
    <cellStyle name="Normal 18 2 3" xfId="115" xr:uid="{00000000-0005-0000-0000-000073000000}"/>
    <cellStyle name="Normal 18 3" xfId="116" xr:uid="{00000000-0005-0000-0000-000074000000}"/>
    <cellStyle name="Normal 18 4" xfId="117" xr:uid="{00000000-0005-0000-0000-000075000000}"/>
    <cellStyle name="Normal 18 5" xfId="118" xr:uid="{00000000-0005-0000-0000-000076000000}"/>
    <cellStyle name="Normal 18 6" xfId="119" xr:uid="{00000000-0005-0000-0000-000077000000}"/>
    <cellStyle name="Normal 18 7" xfId="120" xr:uid="{00000000-0005-0000-0000-000078000000}"/>
    <cellStyle name="Normal 18 8" xfId="121" xr:uid="{00000000-0005-0000-0000-000079000000}"/>
    <cellStyle name="Normal 18 9" xfId="122" xr:uid="{00000000-0005-0000-0000-00007A000000}"/>
    <cellStyle name="Normal 19" xfId="123" xr:uid="{00000000-0005-0000-0000-00007B000000}"/>
    <cellStyle name="Normal 19 2" xfId="124" xr:uid="{00000000-0005-0000-0000-00007C000000}"/>
    <cellStyle name="Normal 19 2 2" xfId="125" xr:uid="{00000000-0005-0000-0000-00007D000000}"/>
    <cellStyle name="Normal 19 2 3" xfId="126" xr:uid="{00000000-0005-0000-0000-00007E000000}"/>
    <cellStyle name="Normal 19 3" xfId="127" xr:uid="{00000000-0005-0000-0000-00007F000000}"/>
    <cellStyle name="Normal 19 4" xfId="128" xr:uid="{00000000-0005-0000-0000-000080000000}"/>
    <cellStyle name="Normal 19 5" xfId="129" xr:uid="{00000000-0005-0000-0000-000081000000}"/>
    <cellStyle name="Normal 19 6" xfId="130" xr:uid="{00000000-0005-0000-0000-000082000000}"/>
    <cellStyle name="Normal 19 7" xfId="131" xr:uid="{00000000-0005-0000-0000-000083000000}"/>
    <cellStyle name="Normal 19 8" xfId="132" xr:uid="{00000000-0005-0000-0000-000084000000}"/>
    <cellStyle name="Normal 2 10" xfId="133" xr:uid="{00000000-0005-0000-0000-000085000000}"/>
    <cellStyle name="Normal 2 10 10" xfId="134" xr:uid="{00000000-0005-0000-0000-000086000000}"/>
    <cellStyle name="Normal 2 10 11" xfId="135" xr:uid="{00000000-0005-0000-0000-000087000000}"/>
    <cellStyle name="Normal 2 10 11 2" xfId="136" xr:uid="{00000000-0005-0000-0000-000088000000}"/>
    <cellStyle name="Normal 2 10 11 2 2" xfId="137" xr:uid="{00000000-0005-0000-0000-000089000000}"/>
    <cellStyle name="Normal 2 10 11 2 2 2" xfId="138" xr:uid="{00000000-0005-0000-0000-00008A000000}"/>
    <cellStyle name="Normal 2 10 11 2 2 3" xfId="139" xr:uid="{00000000-0005-0000-0000-00008B000000}"/>
    <cellStyle name="Normal 2 10 11 3" xfId="140" xr:uid="{00000000-0005-0000-0000-00008C000000}"/>
    <cellStyle name="Normal 2 10 11 4" xfId="141" xr:uid="{00000000-0005-0000-0000-00008D000000}"/>
    <cellStyle name="Normal 2 10 11 5" xfId="142" xr:uid="{00000000-0005-0000-0000-00008E000000}"/>
    <cellStyle name="Normal 2 10 12" xfId="143" xr:uid="{00000000-0005-0000-0000-00008F000000}"/>
    <cellStyle name="Normal 2 10 2" xfId="144" xr:uid="{00000000-0005-0000-0000-000090000000}"/>
    <cellStyle name="Normal 2 10 2 2" xfId="145" xr:uid="{00000000-0005-0000-0000-000091000000}"/>
    <cellStyle name="Normal 2 10 3" xfId="146" xr:uid="{00000000-0005-0000-0000-000092000000}"/>
    <cellStyle name="Normal 2 10 3 2" xfId="147" xr:uid="{00000000-0005-0000-0000-000093000000}"/>
    <cellStyle name="Normal 2 10 4" xfId="148" xr:uid="{00000000-0005-0000-0000-000094000000}"/>
    <cellStyle name="Normal 2 10 4 2" xfId="149" xr:uid="{00000000-0005-0000-0000-000095000000}"/>
    <cellStyle name="Normal 2 10 5" xfId="150" xr:uid="{00000000-0005-0000-0000-000096000000}"/>
    <cellStyle name="Normal 2 10 5 2" xfId="151" xr:uid="{00000000-0005-0000-0000-000097000000}"/>
    <cellStyle name="Normal 2 10 6" xfId="152" xr:uid="{00000000-0005-0000-0000-000098000000}"/>
    <cellStyle name="Normal 2 10 6 2" xfId="153" xr:uid="{00000000-0005-0000-0000-000099000000}"/>
    <cellStyle name="Normal 2 10 7" xfId="154" xr:uid="{00000000-0005-0000-0000-00009A000000}"/>
    <cellStyle name="Normal 2 10 7 2" xfId="155" xr:uid="{00000000-0005-0000-0000-00009B000000}"/>
    <cellStyle name="Normal 2 10 8" xfId="156" xr:uid="{00000000-0005-0000-0000-00009C000000}"/>
    <cellStyle name="Normal 2 10 8 2" xfId="157" xr:uid="{00000000-0005-0000-0000-00009D000000}"/>
    <cellStyle name="Normal 2 10 9" xfId="158" xr:uid="{00000000-0005-0000-0000-00009E000000}"/>
    <cellStyle name="Normal 2 11" xfId="159" xr:uid="{00000000-0005-0000-0000-00009F000000}"/>
    <cellStyle name="Normal 2 11 10" xfId="160" xr:uid="{00000000-0005-0000-0000-0000A0000000}"/>
    <cellStyle name="Normal 2 11 11" xfId="161" xr:uid="{00000000-0005-0000-0000-0000A1000000}"/>
    <cellStyle name="Normal 2 11 2" xfId="162" xr:uid="{00000000-0005-0000-0000-0000A2000000}"/>
    <cellStyle name="Normal 2 11 2 2" xfId="163" xr:uid="{00000000-0005-0000-0000-0000A3000000}"/>
    <cellStyle name="Normal 2 11 3" xfId="164" xr:uid="{00000000-0005-0000-0000-0000A4000000}"/>
    <cellStyle name="Normal 2 11 3 2" xfId="165" xr:uid="{00000000-0005-0000-0000-0000A5000000}"/>
    <cellStyle name="Normal 2 11 4" xfId="166" xr:uid="{00000000-0005-0000-0000-0000A6000000}"/>
    <cellStyle name="Normal 2 11 4 2" xfId="167" xr:uid="{00000000-0005-0000-0000-0000A7000000}"/>
    <cellStyle name="Normal 2 11 5" xfId="168" xr:uid="{00000000-0005-0000-0000-0000A8000000}"/>
    <cellStyle name="Normal 2 11 5 2" xfId="169" xr:uid="{00000000-0005-0000-0000-0000A9000000}"/>
    <cellStyle name="Normal 2 11 6" xfId="170" xr:uid="{00000000-0005-0000-0000-0000AA000000}"/>
    <cellStyle name="Normal 2 11 6 2" xfId="171" xr:uid="{00000000-0005-0000-0000-0000AB000000}"/>
    <cellStyle name="Normal 2 11 7" xfId="172" xr:uid="{00000000-0005-0000-0000-0000AC000000}"/>
    <cellStyle name="Normal 2 11 7 2" xfId="173" xr:uid="{00000000-0005-0000-0000-0000AD000000}"/>
    <cellStyle name="Normal 2 11 8" xfId="174" xr:uid="{00000000-0005-0000-0000-0000AE000000}"/>
    <cellStyle name="Normal 2 11 8 2" xfId="175" xr:uid="{00000000-0005-0000-0000-0000AF000000}"/>
    <cellStyle name="Normal 2 11 9" xfId="176" xr:uid="{00000000-0005-0000-0000-0000B0000000}"/>
    <cellStyle name="Normal 2 12" xfId="177" xr:uid="{00000000-0005-0000-0000-0000B1000000}"/>
    <cellStyle name="Normal 2 13" xfId="178" xr:uid="{00000000-0005-0000-0000-0000B2000000}"/>
    <cellStyle name="Normal 2 14" xfId="179" xr:uid="{00000000-0005-0000-0000-0000B3000000}"/>
    <cellStyle name="Normal 2 15" xfId="180" xr:uid="{00000000-0005-0000-0000-0000B4000000}"/>
    <cellStyle name="Normal 2 16" xfId="181" xr:uid="{00000000-0005-0000-0000-0000B5000000}"/>
    <cellStyle name="Normal 2 17" xfId="182" xr:uid="{00000000-0005-0000-0000-0000B6000000}"/>
    <cellStyle name="Normal 2 17 2" xfId="183" xr:uid="{00000000-0005-0000-0000-0000B7000000}"/>
    <cellStyle name="Normal 2 17 3" xfId="184" xr:uid="{00000000-0005-0000-0000-0000B8000000}"/>
    <cellStyle name="Normal 2 2" xfId="185" xr:uid="{00000000-0005-0000-0000-0000B9000000}"/>
    <cellStyle name="Normal 2 2 10" xfId="186" xr:uid="{00000000-0005-0000-0000-0000BA000000}"/>
    <cellStyle name="Normal 2 2 10 2" xfId="187" xr:uid="{00000000-0005-0000-0000-0000BB000000}"/>
    <cellStyle name="Normal 2 2 11" xfId="188" xr:uid="{00000000-0005-0000-0000-0000BC000000}"/>
    <cellStyle name="Normal 2 2 11 2" xfId="189" xr:uid="{00000000-0005-0000-0000-0000BD000000}"/>
    <cellStyle name="Normal 2 2 12" xfId="190" xr:uid="{00000000-0005-0000-0000-0000BE000000}"/>
    <cellStyle name="Normal 2 2 12 2" xfId="191" xr:uid="{00000000-0005-0000-0000-0000BF000000}"/>
    <cellStyle name="Normal 2 2 12 2 2" xfId="192" xr:uid="{00000000-0005-0000-0000-0000C0000000}"/>
    <cellStyle name="Normal 2 2 12 2 3" xfId="193" xr:uid="{00000000-0005-0000-0000-0000C1000000}"/>
    <cellStyle name="Normal 2 2 12 2 4" xfId="194" xr:uid="{00000000-0005-0000-0000-0000C2000000}"/>
    <cellStyle name="Normal 2 2 12 3" xfId="195" xr:uid="{00000000-0005-0000-0000-0000C3000000}"/>
    <cellStyle name="Normal 2 2 12 4" xfId="196" xr:uid="{00000000-0005-0000-0000-0000C4000000}"/>
    <cellStyle name="Normal 2 2 13" xfId="197" xr:uid="{00000000-0005-0000-0000-0000C5000000}"/>
    <cellStyle name="Normal 2 2 13 2" xfId="198" xr:uid="{00000000-0005-0000-0000-0000C6000000}"/>
    <cellStyle name="Normal 2 2 13 2 2" xfId="199" xr:uid="{00000000-0005-0000-0000-0000C7000000}"/>
    <cellStyle name="Normal 2 2 13 2 3" xfId="200" xr:uid="{00000000-0005-0000-0000-0000C8000000}"/>
    <cellStyle name="Normal 2 2 13 2 4" xfId="201" xr:uid="{00000000-0005-0000-0000-0000C9000000}"/>
    <cellStyle name="Normal 2 2 13 3" xfId="202" xr:uid="{00000000-0005-0000-0000-0000CA000000}"/>
    <cellStyle name="Normal 2 2 13 4" xfId="203" xr:uid="{00000000-0005-0000-0000-0000CB000000}"/>
    <cellStyle name="Normal 2 2 14" xfId="204" xr:uid="{00000000-0005-0000-0000-0000CC000000}"/>
    <cellStyle name="Normal 2 2 14 2" xfId="205" xr:uid="{00000000-0005-0000-0000-0000CD000000}"/>
    <cellStyle name="Normal 2 2 15" xfId="206" xr:uid="{00000000-0005-0000-0000-0000CE000000}"/>
    <cellStyle name="Normal 2 2 15 2" xfId="207" xr:uid="{00000000-0005-0000-0000-0000CF000000}"/>
    <cellStyle name="Normal 2 2 16" xfId="208" xr:uid="{00000000-0005-0000-0000-0000D0000000}"/>
    <cellStyle name="Normal 2 2 16 2" xfId="209" xr:uid="{00000000-0005-0000-0000-0000D1000000}"/>
    <cellStyle name="Normal 2 2 16 3" xfId="210" xr:uid="{00000000-0005-0000-0000-0000D2000000}"/>
    <cellStyle name="Normal 2 2 17" xfId="211" xr:uid="{00000000-0005-0000-0000-0000D3000000}"/>
    <cellStyle name="Normal 2 2 18" xfId="212" xr:uid="{00000000-0005-0000-0000-0000D4000000}"/>
    <cellStyle name="Normal 2 2 19" xfId="213" xr:uid="{00000000-0005-0000-0000-0000D5000000}"/>
    <cellStyle name="Normal 2 2 2" xfId="214" xr:uid="{00000000-0005-0000-0000-0000D6000000}"/>
    <cellStyle name="Normal 2 2 2 2" xfId="215" xr:uid="{00000000-0005-0000-0000-0000D7000000}"/>
    <cellStyle name="Normal 2 2 2 2 2" xfId="216" xr:uid="{00000000-0005-0000-0000-0000D8000000}"/>
    <cellStyle name="Normal 2 2 2 2 3" xfId="217" xr:uid="{00000000-0005-0000-0000-0000D9000000}"/>
    <cellStyle name="Normal 2 2 2 2 3 2" xfId="218" xr:uid="{00000000-0005-0000-0000-0000DA000000}"/>
    <cellStyle name="Normal 2 2 2 2 3 3" xfId="219" xr:uid="{00000000-0005-0000-0000-0000DB000000}"/>
    <cellStyle name="Normal 2 2 2 3" xfId="220" xr:uid="{00000000-0005-0000-0000-0000DC000000}"/>
    <cellStyle name="Normal 2 2 2 3 2" xfId="221" xr:uid="{00000000-0005-0000-0000-0000DD000000}"/>
    <cellStyle name="Normal 2 2 2 3 3" xfId="222" xr:uid="{00000000-0005-0000-0000-0000DE000000}"/>
    <cellStyle name="Normal 2 2 2 3 4" xfId="223" xr:uid="{00000000-0005-0000-0000-0000DF000000}"/>
    <cellStyle name="Normal 2 2 2 4" xfId="224" xr:uid="{00000000-0005-0000-0000-0000E0000000}"/>
    <cellStyle name="Normal 2 2 2 4 2" xfId="225" xr:uid="{00000000-0005-0000-0000-0000E1000000}"/>
    <cellStyle name="Normal 2 2 2 5" xfId="226" xr:uid="{00000000-0005-0000-0000-0000E2000000}"/>
    <cellStyle name="Normal 2 2 2 5 2" xfId="227" xr:uid="{00000000-0005-0000-0000-0000E3000000}"/>
    <cellStyle name="Normal 2 2 2 5 3" xfId="228" xr:uid="{00000000-0005-0000-0000-0000E4000000}"/>
    <cellStyle name="Normal 2 2 2 5 4" xfId="229" xr:uid="{00000000-0005-0000-0000-0000E5000000}"/>
    <cellStyle name="Normal 2 2 2 6" xfId="230" xr:uid="{00000000-0005-0000-0000-0000E6000000}"/>
    <cellStyle name="Normal 2 2 2 6 2" xfId="231" xr:uid="{00000000-0005-0000-0000-0000E7000000}"/>
    <cellStyle name="Normal 2 2 2 7" xfId="232" xr:uid="{00000000-0005-0000-0000-0000E8000000}"/>
    <cellStyle name="Normal 2 2 2 7 2" xfId="233" xr:uid="{00000000-0005-0000-0000-0000E9000000}"/>
    <cellStyle name="Normal 2 2 2 7 3" xfId="234" xr:uid="{00000000-0005-0000-0000-0000EA000000}"/>
    <cellStyle name="Normal 2 2 2 8" xfId="235" xr:uid="{00000000-0005-0000-0000-0000EB000000}"/>
    <cellStyle name="Normal 2 2 20" xfId="236" xr:uid="{00000000-0005-0000-0000-0000EC000000}"/>
    <cellStyle name="Normal 2 2 21" xfId="237" xr:uid="{00000000-0005-0000-0000-0000ED000000}"/>
    <cellStyle name="Normal 2 2 22" xfId="238" xr:uid="{00000000-0005-0000-0000-0000EE000000}"/>
    <cellStyle name="Normal 2 2 3" xfId="239" xr:uid="{00000000-0005-0000-0000-0000EF000000}"/>
    <cellStyle name="Normal 2 2 3 2" xfId="240" xr:uid="{00000000-0005-0000-0000-0000F0000000}"/>
    <cellStyle name="Normal 2 2 4" xfId="241" xr:uid="{00000000-0005-0000-0000-0000F1000000}"/>
    <cellStyle name="Normal 2 2 4 2" xfId="242" xr:uid="{00000000-0005-0000-0000-0000F2000000}"/>
    <cellStyle name="Normal 2 2 5" xfId="243" xr:uid="{00000000-0005-0000-0000-0000F3000000}"/>
    <cellStyle name="Normal 2 2 5 2" xfId="244" xr:uid="{00000000-0005-0000-0000-0000F4000000}"/>
    <cellStyle name="Normal 2 2 6" xfId="245" xr:uid="{00000000-0005-0000-0000-0000F5000000}"/>
    <cellStyle name="Normal 2 2 6 2" xfId="246" xr:uid="{00000000-0005-0000-0000-0000F6000000}"/>
    <cellStyle name="Normal 2 2 7" xfId="247" xr:uid="{00000000-0005-0000-0000-0000F7000000}"/>
    <cellStyle name="Normal 2 2 7 2" xfId="248" xr:uid="{00000000-0005-0000-0000-0000F8000000}"/>
    <cellStyle name="Normal 2 2 8" xfId="249" xr:uid="{00000000-0005-0000-0000-0000F9000000}"/>
    <cellStyle name="Normal 2 2 8 2" xfId="250" xr:uid="{00000000-0005-0000-0000-0000FA000000}"/>
    <cellStyle name="Normal 2 2 9" xfId="251" xr:uid="{00000000-0005-0000-0000-0000FB000000}"/>
    <cellStyle name="Normal 2 2 9 2" xfId="252" xr:uid="{00000000-0005-0000-0000-0000FC000000}"/>
    <cellStyle name="Normal 2 3" xfId="253" xr:uid="{00000000-0005-0000-0000-0000FD000000}"/>
    <cellStyle name="Normal 2 3 10" xfId="254" xr:uid="{00000000-0005-0000-0000-0000FE000000}"/>
    <cellStyle name="Normal 2 3 11" xfId="255" xr:uid="{00000000-0005-0000-0000-0000FF000000}"/>
    <cellStyle name="Normal 2 3 12" xfId="256" xr:uid="{00000000-0005-0000-0000-000000010000}"/>
    <cellStyle name="Normal 2 3 13" xfId="257" xr:uid="{00000000-0005-0000-0000-000001010000}"/>
    <cellStyle name="Normal 2 3 14" xfId="258" xr:uid="{00000000-0005-0000-0000-000002010000}"/>
    <cellStyle name="Normal 2 3 15" xfId="259" xr:uid="{00000000-0005-0000-0000-000003010000}"/>
    <cellStyle name="Normal 2 3 2" xfId="260" xr:uid="{00000000-0005-0000-0000-000004010000}"/>
    <cellStyle name="Normal 2 3 2 2" xfId="261" xr:uid="{00000000-0005-0000-0000-000005010000}"/>
    <cellStyle name="Normal 2 3 2 2 2" xfId="262" xr:uid="{00000000-0005-0000-0000-000006010000}"/>
    <cellStyle name="Normal 2 3 2 2 3" xfId="263" xr:uid="{00000000-0005-0000-0000-000007010000}"/>
    <cellStyle name="Normal 2 3 2 3" xfId="264" xr:uid="{00000000-0005-0000-0000-000008010000}"/>
    <cellStyle name="Normal 2 3 2 4" xfId="265" xr:uid="{00000000-0005-0000-0000-000009010000}"/>
    <cellStyle name="Normal 2 3 2 5" xfId="266" xr:uid="{00000000-0005-0000-0000-00000A010000}"/>
    <cellStyle name="Normal 2 3 3" xfId="267" xr:uid="{00000000-0005-0000-0000-00000B010000}"/>
    <cellStyle name="Normal 2 3 3 2" xfId="268" xr:uid="{00000000-0005-0000-0000-00000C010000}"/>
    <cellStyle name="Normal 2 3 3 3" xfId="269" xr:uid="{00000000-0005-0000-0000-00000D010000}"/>
    <cellStyle name="Normal 2 3 4" xfId="270" xr:uid="{00000000-0005-0000-0000-00000E010000}"/>
    <cellStyle name="Normal 2 3 5" xfId="271" xr:uid="{00000000-0005-0000-0000-00000F010000}"/>
    <cellStyle name="Normal 2 3 6" xfId="272" xr:uid="{00000000-0005-0000-0000-000010010000}"/>
    <cellStyle name="Normal 2 3 7" xfId="273" xr:uid="{00000000-0005-0000-0000-000011010000}"/>
    <cellStyle name="Normal 2 3 8" xfId="274" xr:uid="{00000000-0005-0000-0000-000012010000}"/>
    <cellStyle name="Normal 2 3 9" xfId="275" xr:uid="{00000000-0005-0000-0000-000013010000}"/>
    <cellStyle name="Normal 2 4" xfId="276" xr:uid="{00000000-0005-0000-0000-000014010000}"/>
    <cellStyle name="Normal 2 4 10" xfId="277" xr:uid="{00000000-0005-0000-0000-000015010000}"/>
    <cellStyle name="Normal 2 4 11" xfId="278" xr:uid="{00000000-0005-0000-0000-000016010000}"/>
    <cellStyle name="Normal 2 4 12" xfId="279" xr:uid="{00000000-0005-0000-0000-000017010000}"/>
    <cellStyle name="Normal 2 4 12 2" xfId="280" xr:uid="{00000000-0005-0000-0000-000018010000}"/>
    <cellStyle name="Normal 2 4 12 3" xfId="281" xr:uid="{00000000-0005-0000-0000-000019010000}"/>
    <cellStyle name="Normal 2 4 13" xfId="282" xr:uid="{00000000-0005-0000-0000-00001A010000}"/>
    <cellStyle name="Normal 2 4 13 2" xfId="283" xr:uid="{00000000-0005-0000-0000-00001B010000}"/>
    <cellStyle name="Normal 2 4 13 3" xfId="284" xr:uid="{00000000-0005-0000-0000-00001C010000}"/>
    <cellStyle name="Normal 2 4 2" xfId="285" xr:uid="{00000000-0005-0000-0000-00001D010000}"/>
    <cellStyle name="Normal 2 4 2 2" xfId="286" xr:uid="{00000000-0005-0000-0000-00001E010000}"/>
    <cellStyle name="Normal 2 4 2 2 2" xfId="287" xr:uid="{00000000-0005-0000-0000-00001F010000}"/>
    <cellStyle name="Normal 2 4 2 2 3" xfId="288" xr:uid="{00000000-0005-0000-0000-000020010000}"/>
    <cellStyle name="Normal 2 4 2 3" xfId="289" xr:uid="{00000000-0005-0000-0000-000021010000}"/>
    <cellStyle name="Normal 2 4 2 4" xfId="290" xr:uid="{00000000-0005-0000-0000-000022010000}"/>
    <cellStyle name="Normal 2 4 2 5" xfId="291" xr:uid="{00000000-0005-0000-0000-000023010000}"/>
    <cellStyle name="Normal 2 4 3" xfId="292" xr:uid="{00000000-0005-0000-0000-000024010000}"/>
    <cellStyle name="Normal 2 4 3 2" xfId="293" xr:uid="{00000000-0005-0000-0000-000025010000}"/>
    <cellStyle name="Normal 2 4 3 3" xfId="294" xr:uid="{00000000-0005-0000-0000-000026010000}"/>
    <cellStyle name="Normal 2 4 4" xfId="295" xr:uid="{00000000-0005-0000-0000-000027010000}"/>
    <cellStyle name="Normal 2 4 5" xfId="296" xr:uid="{00000000-0005-0000-0000-000028010000}"/>
    <cellStyle name="Normal 2 4 6" xfId="297" xr:uid="{00000000-0005-0000-0000-000029010000}"/>
    <cellStyle name="Normal 2 4 7" xfId="298" xr:uid="{00000000-0005-0000-0000-00002A010000}"/>
    <cellStyle name="Normal 2 4 8" xfId="299" xr:uid="{00000000-0005-0000-0000-00002B010000}"/>
    <cellStyle name="Normal 2 4 9" xfId="300" xr:uid="{00000000-0005-0000-0000-00002C010000}"/>
    <cellStyle name="Normal 2 5" xfId="301" xr:uid="{00000000-0005-0000-0000-00002D010000}"/>
    <cellStyle name="Normal 2 5 10" xfId="302" xr:uid="{00000000-0005-0000-0000-00002E010000}"/>
    <cellStyle name="Normal 2 5 11" xfId="303" xr:uid="{00000000-0005-0000-0000-00002F010000}"/>
    <cellStyle name="Normal 2 5 12" xfId="304" xr:uid="{00000000-0005-0000-0000-000030010000}"/>
    <cellStyle name="Normal 2 5 12 2" xfId="305" xr:uid="{00000000-0005-0000-0000-000031010000}"/>
    <cellStyle name="Normal 2 5 12 3" xfId="306" xr:uid="{00000000-0005-0000-0000-000032010000}"/>
    <cellStyle name="Normal 2 5 2" xfId="307" xr:uid="{00000000-0005-0000-0000-000033010000}"/>
    <cellStyle name="Normal 2 5 2 2" xfId="308" xr:uid="{00000000-0005-0000-0000-000034010000}"/>
    <cellStyle name="Normal 2 5 3" xfId="309" xr:uid="{00000000-0005-0000-0000-000035010000}"/>
    <cellStyle name="Normal 2 5 3 2" xfId="310" xr:uid="{00000000-0005-0000-0000-000036010000}"/>
    <cellStyle name="Normal 2 5 4" xfId="311" xr:uid="{00000000-0005-0000-0000-000037010000}"/>
    <cellStyle name="Normal 2 5 5" xfId="312" xr:uid="{00000000-0005-0000-0000-000038010000}"/>
    <cellStyle name="Normal 2 5 6" xfId="313" xr:uid="{00000000-0005-0000-0000-000039010000}"/>
    <cellStyle name="Normal 2 5 7" xfId="314" xr:uid="{00000000-0005-0000-0000-00003A010000}"/>
    <cellStyle name="Normal 2 5 8" xfId="315" xr:uid="{00000000-0005-0000-0000-00003B010000}"/>
    <cellStyle name="Normal 2 5 9" xfId="316" xr:uid="{00000000-0005-0000-0000-00003C010000}"/>
    <cellStyle name="Normal 2 6" xfId="317" xr:uid="{00000000-0005-0000-0000-00003D010000}"/>
    <cellStyle name="Normal 2 6 10" xfId="318" xr:uid="{00000000-0005-0000-0000-00003E010000}"/>
    <cellStyle name="Normal 2 6 11" xfId="319" xr:uid="{00000000-0005-0000-0000-00003F010000}"/>
    <cellStyle name="Normal 2 6 12" xfId="320" xr:uid="{00000000-0005-0000-0000-000040010000}"/>
    <cellStyle name="Normal 2 6 2" xfId="321" xr:uid="{00000000-0005-0000-0000-000041010000}"/>
    <cellStyle name="Normal 2 6 2 2" xfId="322" xr:uid="{00000000-0005-0000-0000-000042010000}"/>
    <cellStyle name="Normal 2 6 3" xfId="323" xr:uid="{00000000-0005-0000-0000-000043010000}"/>
    <cellStyle name="Normal 2 6 3 2" xfId="324" xr:uid="{00000000-0005-0000-0000-000044010000}"/>
    <cellStyle name="Normal 2 6 4" xfId="325" xr:uid="{00000000-0005-0000-0000-000045010000}"/>
    <cellStyle name="Normal 2 6 5" xfId="326" xr:uid="{00000000-0005-0000-0000-000046010000}"/>
    <cellStyle name="Normal 2 6 6" xfId="327" xr:uid="{00000000-0005-0000-0000-000047010000}"/>
    <cellStyle name="Normal 2 6 7" xfId="328" xr:uid="{00000000-0005-0000-0000-000048010000}"/>
    <cellStyle name="Normal 2 6 8" xfId="329" xr:uid="{00000000-0005-0000-0000-000049010000}"/>
    <cellStyle name="Normal 2 6 9" xfId="330" xr:uid="{00000000-0005-0000-0000-00004A010000}"/>
    <cellStyle name="Normal 2 7" xfId="331" xr:uid="{00000000-0005-0000-0000-00004B010000}"/>
    <cellStyle name="Normal 2 7 10" xfId="332" xr:uid="{00000000-0005-0000-0000-00004C010000}"/>
    <cellStyle name="Normal 2 7 11" xfId="333" xr:uid="{00000000-0005-0000-0000-00004D010000}"/>
    <cellStyle name="Normal 2 7 2" xfId="334" xr:uid="{00000000-0005-0000-0000-00004E010000}"/>
    <cellStyle name="Normal 2 7 2 2" xfId="335" xr:uid="{00000000-0005-0000-0000-00004F010000}"/>
    <cellStyle name="Normal 2 7 2 3" xfId="336" xr:uid="{00000000-0005-0000-0000-000050010000}"/>
    <cellStyle name="Normal 2 7 3" xfId="337" xr:uid="{00000000-0005-0000-0000-000051010000}"/>
    <cellStyle name="Normal 2 7 3 2" xfId="338" xr:uid="{00000000-0005-0000-0000-000052010000}"/>
    <cellStyle name="Normal 2 7 4" xfId="339" xr:uid="{00000000-0005-0000-0000-000053010000}"/>
    <cellStyle name="Normal 2 7 4 2" xfId="340" xr:uid="{00000000-0005-0000-0000-000054010000}"/>
    <cellStyle name="Normal 2 7 5" xfId="341" xr:uid="{00000000-0005-0000-0000-000055010000}"/>
    <cellStyle name="Normal 2 7 5 2" xfId="342" xr:uid="{00000000-0005-0000-0000-000056010000}"/>
    <cellStyle name="Normal 2 7 6" xfId="343" xr:uid="{00000000-0005-0000-0000-000057010000}"/>
    <cellStyle name="Normal 2 7 6 2" xfId="344" xr:uid="{00000000-0005-0000-0000-000058010000}"/>
    <cellStyle name="Normal 2 7 7" xfId="345" xr:uid="{00000000-0005-0000-0000-000059010000}"/>
    <cellStyle name="Normal 2 7 7 2" xfId="346" xr:uid="{00000000-0005-0000-0000-00005A010000}"/>
    <cellStyle name="Normal 2 7 8" xfId="347" xr:uid="{00000000-0005-0000-0000-00005B010000}"/>
    <cellStyle name="Normal 2 7 8 2" xfId="348" xr:uid="{00000000-0005-0000-0000-00005C010000}"/>
    <cellStyle name="Normal 2 7 9" xfId="349" xr:uid="{00000000-0005-0000-0000-00005D010000}"/>
    <cellStyle name="Normal 2 8" xfId="350" xr:uid="{00000000-0005-0000-0000-00005E010000}"/>
    <cellStyle name="Normal 2 8 10" xfId="351" xr:uid="{00000000-0005-0000-0000-00005F010000}"/>
    <cellStyle name="Normal 2 8 11" xfId="352" xr:uid="{00000000-0005-0000-0000-000060010000}"/>
    <cellStyle name="Normal 2 8 2" xfId="353" xr:uid="{00000000-0005-0000-0000-000061010000}"/>
    <cellStyle name="Normal 2 8 2 2" xfId="354" xr:uid="{00000000-0005-0000-0000-000062010000}"/>
    <cellStyle name="Normal 2 8 3" xfId="355" xr:uid="{00000000-0005-0000-0000-000063010000}"/>
    <cellStyle name="Normal 2 8 3 2" xfId="356" xr:uid="{00000000-0005-0000-0000-000064010000}"/>
    <cellStyle name="Normal 2 8 4" xfId="357" xr:uid="{00000000-0005-0000-0000-000065010000}"/>
    <cellStyle name="Normal 2 8 4 2" xfId="358" xr:uid="{00000000-0005-0000-0000-000066010000}"/>
    <cellStyle name="Normal 2 8 5" xfId="359" xr:uid="{00000000-0005-0000-0000-000067010000}"/>
    <cellStyle name="Normal 2 8 5 2" xfId="360" xr:uid="{00000000-0005-0000-0000-000068010000}"/>
    <cellStyle name="Normal 2 8 6" xfId="361" xr:uid="{00000000-0005-0000-0000-000069010000}"/>
    <cellStyle name="Normal 2 8 6 2" xfId="362" xr:uid="{00000000-0005-0000-0000-00006A010000}"/>
    <cellStyle name="Normal 2 8 7" xfId="363" xr:uid="{00000000-0005-0000-0000-00006B010000}"/>
    <cellStyle name="Normal 2 8 7 2" xfId="364" xr:uid="{00000000-0005-0000-0000-00006C010000}"/>
    <cellStyle name="Normal 2 8 8" xfId="365" xr:uid="{00000000-0005-0000-0000-00006D010000}"/>
    <cellStyle name="Normal 2 8 8 2" xfId="366" xr:uid="{00000000-0005-0000-0000-00006E010000}"/>
    <cellStyle name="Normal 2 8 9" xfId="367" xr:uid="{00000000-0005-0000-0000-00006F010000}"/>
    <cellStyle name="Normal 2 9" xfId="368" xr:uid="{00000000-0005-0000-0000-000070010000}"/>
    <cellStyle name="Normal 2 9 10" xfId="369" xr:uid="{00000000-0005-0000-0000-000071010000}"/>
    <cellStyle name="Normal 2 9 11" xfId="370" xr:uid="{00000000-0005-0000-0000-000072010000}"/>
    <cellStyle name="Normal 2 9 2" xfId="371" xr:uid="{00000000-0005-0000-0000-000073010000}"/>
    <cellStyle name="Normal 2 9 2 2" xfId="372" xr:uid="{00000000-0005-0000-0000-000074010000}"/>
    <cellStyle name="Normal 2 9 3" xfId="373" xr:uid="{00000000-0005-0000-0000-000075010000}"/>
    <cellStyle name="Normal 2 9 3 2" xfId="374" xr:uid="{00000000-0005-0000-0000-000076010000}"/>
    <cellStyle name="Normal 2 9 4" xfId="375" xr:uid="{00000000-0005-0000-0000-000077010000}"/>
    <cellStyle name="Normal 2 9 4 2" xfId="376" xr:uid="{00000000-0005-0000-0000-000078010000}"/>
    <cellStyle name="Normal 2 9 5" xfId="377" xr:uid="{00000000-0005-0000-0000-000079010000}"/>
    <cellStyle name="Normal 2 9 5 2" xfId="378" xr:uid="{00000000-0005-0000-0000-00007A010000}"/>
    <cellStyle name="Normal 2 9 6" xfId="379" xr:uid="{00000000-0005-0000-0000-00007B010000}"/>
    <cellStyle name="Normal 2 9 6 2" xfId="380" xr:uid="{00000000-0005-0000-0000-00007C010000}"/>
    <cellStyle name="Normal 2 9 7" xfId="381" xr:uid="{00000000-0005-0000-0000-00007D010000}"/>
    <cellStyle name="Normal 2 9 7 2" xfId="382" xr:uid="{00000000-0005-0000-0000-00007E010000}"/>
    <cellStyle name="Normal 2 9 8" xfId="383" xr:uid="{00000000-0005-0000-0000-00007F010000}"/>
    <cellStyle name="Normal 2 9 8 2" xfId="384" xr:uid="{00000000-0005-0000-0000-000080010000}"/>
    <cellStyle name="Normal 2 9 9" xfId="385" xr:uid="{00000000-0005-0000-0000-000081010000}"/>
    <cellStyle name="Normal 20" xfId="386" xr:uid="{00000000-0005-0000-0000-000082010000}"/>
    <cellStyle name="Normal 20 2" xfId="387" xr:uid="{00000000-0005-0000-0000-000083010000}"/>
    <cellStyle name="Normal 20 3" xfId="388" xr:uid="{00000000-0005-0000-0000-000084010000}"/>
    <cellStyle name="Normal 21" xfId="389" xr:uid="{00000000-0005-0000-0000-000085010000}"/>
    <cellStyle name="Normal 21 2" xfId="390" xr:uid="{00000000-0005-0000-0000-000086010000}"/>
    <cellStyle name="Normal 21 2 2" xfId="391" xr:uid="{00000000-0005-0000-0000-000087010000}"/>
    <cellStyle name="Normal 21 2 3" xfId="392" xr:uid="{00000000-0005-0000-0000-000088010000}"/>
    <cellStyle name="Normal 21 3" xfId="393" xr:uid="{00000000-0005-0000-0000-000089010000}"/>
    <cellStyle name="Normal 21 4" xfId="394" xr:uid="{00000000-0005-0000-0000-00008A010000}"/>
    <cellStyle name="Normal 21 5" xfId="395" xr:uid="{00000000-0005-0000-0000-00008B010000}"/>
    <cellStyle name="Normal 22" xfId="396" xr:uid="{00000000-0005-0000-0000-00008C010000}"/>
    <cellStyle name="Normal 22 2" xfId="397" xr:uid="{00000000-0005-0000-0000-00008D010000}"/>
    <cellStyle name="Normal 22 3" xfId="398" xr:uid="{00000000-0005-0000-0000-00008E010000}"/>
    <cellStyle name="Normal 23" xfId="399" xr:uid="{00000000-0005-0000-0000-00008F010000}"/>
    <cellStyle name="Normal 23 2" xfId="400" xr:uid="{00000000-0005-0000-0000-000090010000}"/>
    <cellStyle name="Normal 23 3" xfId="401" xr:uid="{00000000-0005-0000-0000-000091010000}"/>
    <cellStyle name="Normal 24" xfId="402" xr:uid="{00000000-0005-0000-0000-000092010000}"/>
    <cellStyle name="Normal 24 2" xfId="403" xr:uid="{00000000-0005-0000-0000-000093010000}"/>
    <cellStyle name="Normal 24 3" xfId="404" xr:uid="{00000000-0005-0000-0000-000094010000}"/>
    <cellStyle name="Normal 25" xfId="405" xr:uid="{00000000-0005-0000-0000-000095010000}"/>
    <cellStyle name="Normal 25 2" xfId="406" xr:uid="{00000000-0005-0000-0000-000096010000}"/>
    <cellStyle name="Normal 25 3" xfId="407" xr:uid="{00000000-0005-0000-0000-000097010000}"/>
    <cellStyle name="Normal 26" xfId="408" xr:uid="{00000000-0005-0000-0000-000098010000}"/>
    <cellStyle name="Normal 27" xfId="409" xr:uid="{00000000-0005-0000-0000-000099010000}"/>
    <cellStyle name="Normal 27 2" xfId="410" xr:uid="{00000000-0005-0000-0000-00009A010000}"/>
    <cellStyle name="Normal 3" xfId="411" xr:uid="{00000000-0005-0000-0000-00009B010000}"/>
    <cellStyle name="Normal 3 10" xfId="412" xr:uid="{00000000-0005-0000-0000-00009C010000}"/>
    <cellStyle name="Normal 3 10 2" xfId="413" xr:uid="{00000000-0005-0000-0000-00009D010000}"/>
    <cellStyle name="Normal 3 11" xfId="414" xr:uid="{00000000-0005-0000-0000-00009E010000}"/>
    <cellStyle name="Normal 3 12" xfId="415" xr:uid="{00000000-0005-0000-0000-00009F010000}"/>
    <cellStyle name="Normal 3 13" xfId="416" xr:uid="{00000000-0005-0000-0000-0000A0010000}"/>
    <cellStyle name="Normal 3 14" xfId="417" xr:uid="{00000000-0005-0000-0000-0000A1010000}"/>
    <cellStyle name="Normal 3 15" xfId="418" xr:uid="{00000000-0005-0000-0000-0000A2010000}"/>
    <cellStyle name="Normal 3 2" xfId="419" xr:uid="{00000000-0005-0000-0000-0000A3010000}"/>
    <cellStyle name="Normal 3 2 2" xfId="420" xr:uid="{00000000-0005-0000-0000-0000A4010000}"/>
    <cellStyle name="Normal 3 2 2 2" xfId="421" xr:uid="{00000000-0005-0000-0000-0000A5010000}"/>
    <cellStyle name="Normal 3 2 2 3" xfId="422" xr:uid="{00000000-0005-0000-0000-0000A6010000}"/>
    <cellStyle name="Normal 3 2 3" xfId="423" xr:uid="{00000000-0005-0000-0000-0000A7010000}"/>
    <cellStyle name="Normal 3 2 4" xfId="424" xr:uid="{00000000-0005-0000-0000-0000A8010000}"/>
    <cellStyle name="Normal 3 2 5" xfId="425" xr:uid="{00000000-0005-0000-0000-0000A9010000}"/>
    <cellStyle name="Normal 3 3" xfId="426" xr:uid="{00000000-0005-0000-0000-0000AA010000}"/>
    <cellStyle name="Normal 3 3 2" xfId="427" xr:uid="{00000000-0005-0000-0000-0000AB010000}"/>
    <cellStyle name="Normal 3 3 2 2" xfId="428" xr:uid="{00000000-0005-0000-0000-0000AC010000}"/>
    <cellStyle name="Normal 3 3 2 3" xfId="429" xr:uid="{00000000-0005-0000-0000-0000AD010000}"/>
    <cellStyle name="Normal 3 3 3" xfId="430" xr:uid="{00000000-0005-0000-0000-0000AE010000}"/>
    <cellStyle name="Normal 3 3 4" xfId="431" xr:uid="{00000000-0005-0000-0000-0000AF010000}"/>
    <cellStyle name="Normal 3 4" xfId="432" xr:uid="{00000000-0005-0000-0000-0000B0010000}"/>
    <cellStyle name="Normal 3 5" xfId="433" xr:uid="{00000000-0005-0000-0000-0000B1010000}"/>
    <cellStyle name="Normal 3 6" xfId="434" xr:uid="{00000000-0005-0000-0000-0000B2010000}"/>
    <cellStyle name="Normal 3 7" xfId="435" xr:uid="{00000000-0005-0000-0000-0000B3010000}"/>
    <cellStyle name="Normal 3 7 2" xfId="436" xr:uid="{00000000-0005-0000-0000-0000B4010000}"/>
    <cellStyle name="Normal 3 7 3" xfId="437" xr:uid="{00000000-0005-0000-0000-0000B5010000}"/>
    <cellStyle name="Normal 3 8" xfId="438" xr:uid="{00000000-0005-0000-0000-0000B6010000}"/>
    <cellStyle name="Normal 3 8 2" xfId="439" xr:uid="{00000000-0005-0000-0000-0000B7010000}"/>
    <cellStyle name="Normal 3 8 3" xfId="440" xr:uid="{00000000-0005-0000-0000-0000B8010000}"/>
    <cellStyle name="Normal 3 9" xfId="441" xr:uid="{00000000-0005-0000-0000-0000B9010000}"/>
    <cellStyle name="Normal 3 9 2" xfId="442" xr:uid="{00000000-0005-0000-0000-0000BA010000}"/>
    <cellStyle name="Normal 3 9 3" xfId="443" xr:uid="{00000000-0005-0000-0000-0000BB010000}"/>
    <cellStyle name="Normal 4" xfId="444" xr:uid="{00000000-0005-0000-0000-0000BC010000}"/>
    <cellStyle name="Normal 4 10" xfId="445" xr:uid="{00000000-0005-0000-0000-0000BD010000}"/>
    <cellStyle name="Normal 4 11" xfId="446" xr:uid="{00000000-0005-0000-0000-0000BE010000}"/>
    <cellStyle name="Normal 4 12" xfId="447" xr:uid="{00000000-0005-0000-0000-0000BF010000}"/>
    <cellStyle name="Normal 4 13" xfId="448" xr:uid="{00000000-0005-0000-0000-0000C0010000}"/>
    <cellStyle name="Normal 4 2" xfId="449" xr:uid="{00000000-0005-0000-0000-0000C1010000}"/>
    <cellStyle name="Normal 4 2 2" xfId="450" xr:uid="{00000000-0005-0000-0000-0000C2010000}"/>
    <cellStyle name="Normal 4 2 2 2" xfId="451" xr:uid="{00000000-0005-0000-0000-0000C3010000}"/>
    <cellStyle name="Normal 4 2 2 3" xfId="452" xr:uid="{00000000-0005-0000-0000-0000C4010000}"/>
    <cellStyle name="Normal 4 2 2 3 2" xfId="453" xr:uid="{00000000-0005-0000-0000-0000C5010000}"/>
    <cellStyle name="Normal 4 2 3" xfId="454" xr:uid="{00000000-0005-0000-0000-0000C6010000}"/>
    <cellStyle name="Normal 4 2 4" xfId="455" xr:uid="{00000000-0005-0000-0000-0000C7010000}"/>
    <cellStyle name="Normal 4 2 5" xfId="456" xr:uid="{00000000-0005-0000-0000-0000C8010000}"/>
    <cellStyle name="Normal 4 3" xfId="457" xr:uid="{00000000-0005-0000-0000-0000C9010000}"/>
    <cellStyle name="Normal 4 3 2" xfId="458" xr:uid="{00000000-0005-0000-0000-0000CA010000}"/>
    <cellStyle name="Normal 4 3 3" xfId="459" xr:uid="{00000000-0005-0000-0000-0000CB010000}"/>
    <cellStyle name="Normal 4 4" xfId="460" xr:uid="{00000000-0005-0000-0000-0000CC010000}"/>
    <cellStyle name="Normal 4 5" xfId="461" xr:uid="{00000000-0005-0000-0000-0000CD010000}"/>
    <cellStyle name="Normal 4 5 2" xfId="462" xr:uid="{00000000-0005-0000-0000-0000CE010000}"/>
    <cellStyle name="Normal 4 5 3" xfId="463" xr:uid="{00000000-0005-0000-0000-0000CF010000}"/>
    <cellStyle name="Normal 4 6" xfId="464" xr:uid="{00000000-0005-0000-0000-0000D0010000}"/>
    <cellStyle name="Normal 4 6 2" xfId="465" xr:uid="{00000000-0005-0000-0000-0000D1010000}"/>
    <cellStyle name="Normal 4 6 3" xfId="466" xr:uid="{00000000-0005-0000-0000-0000D2010000}"/>
    <cellStyle name="Normal 4 7" xfId="467" xr:uid="{00000000-0005-0000-0000-0000D3010000}"/>
    <cellStyle name="Normal 4 8" xfId="468" xr:uid="{00000000-0005-0000-0000-0000D4010000}"/>
    <cellStyle name="Normal 4 9" xfId="469" xr:uid="{00000000-0005-0000-0000-0000D5010000}"/>
    <cellStyle name="Normal 5" xfId="520" xr:uid="{668BB3F1-2118-454B-B8FB-13D66614F1DC}"/>
    <cellStyle name="Normal 5 2" xfId="470" xr:uid="{00000000-0005-0000-0000-0000D6010000}"/>
    <cellStyle name="Normal 5 3" xfId="471" xr:uid="{00000000-0005-0000-0000-0000D7010000}"/>
    <cellStyle name="Normal 5 3 2" xfId="472" xr:uid="{00000000-0005-0000-0000-0000D8010000}"/>
    <cellStyle name="Normal 5 3 3" xfId="473" xr:uid="{00000000-0005-0000-0000-0000D9010000}"/>
    <cellStyle name="Normal 5 4" xfId="474" xr:uid="{00000000-0005-0000-0000-0000DA010000}"/>
    <cellStyle name="Normal 5 5" xfId="475" xr:uid="{00000000-0005-0000-0000-0000DB010000}"/>
    <cellStyle name="Normal 5 5 2" xfId="476" xr:uid="{00000000-0005-0000-0000-0000DC010000}"/>
    <cellStyle name="Normal 5 5 3" xfId="477" xr:uid="{00000000-0005-0000-0000-0000DD010000}"/>
    <cellStyle name="Normal 5 6" xfId="478" xr:uid="{00000000-0005-0000-0000-0000DE010000}"/>
    <cellStyle name="Normal 6" xfId="479" xr:uid="{00000000-0005-0000-0000-0000DF010000}"/>
    <cellStyle name="Normal 6 2" xfId="480" xr:uid="{00000000-0005-0000-0000-0000E0010000}"/>
    <cellStyle name="Normal 6 3" xfId="481" xr:uid="{00000000-0005-0000-0000-0000E1010000}"/>
    <cellStyle name="Normal 6 4" xfId="482" xr:uid="{00000000-0005-0000-0000-0000E2010000}"/>
    <cellStyle name="Normal 6 5" xfId="483" xr:uid="{00000000-0005-0000-0000-0000E3010000}"/>
    <cellStyle name="Normal 7 2" xfId="484" xr:uid="{00000000-0005-0000-0000-0000E4010000}"/>
    <cellStyle name="Normal 7 2 2" xfId="485" xr:uid="{00000000-0005-0000-0000-0000E5010000}"/>
    <cellStyle name="Normal 7 2 2 2" xfId="486" xr:uid="{00000000-0005-0000-0000-0000E6010000}"/>
    <cellStyle name="Normal 7 2 2 3" xfId="487" xr:uid="{00000000-0005-0000-0000-0000E7010000}"/>
    <cellStyle name="Normal 7 2 3" xfId="488" xr:uid="{00000000-0005-0000-0000-0000E8010000}"/>
    <cellStyle name="Normal 7 2 4" xfId="489" xr:uid="{00000000-0005-0000-0000-0000E9010000}"/>
    <cellStyle name="Normal 7 2 4 2" xfId="490" xr:uid="{00000000-0005-0000-0000-0000EA010000}"/>
    <cellStyle name="Normal 7 2 4 3" xfId="491" xr:uid="{00000000-0005-0000-0000-0000EB010000}"/>
    <cellStyle name="Normal 7 2 5" xfId="492" xr:uid="{00000000-0005-0000-0000-0000EC010000}"/>
    <cellStyle name="Normal 7 3" xfId="493" xr:uid="{00000000-0005-0000-0000-0000ED010000}"/>
    <cellStyle name="Normal 7 4" xfId="494" xr:uid="{00000000-0005-0000-0000-0000EE010000}"/>
    <cellStyle name="Normal 7 4 2" xfId="495" xr:uid="{00000000-0005-0000-0000-0000EF010000}"/>
    <cellStyle name="Normal 7 4 3" xfId="496" xr:uid="{00000000-0005-0000-0000-0000F0010000}"/>
    <cellStyle name="Normal 7 5" xfId="497" xr:uid="{00000000-0005-0000-0000-0000F1010000}"/>
    <cellStyle name="Normal 7 5 2" xfId="498" xr:uid="{00000000-0005-0000-0000-0000F2010000}"/>
    <cellStyle name="Normal 7 5 3" xfId="499" xr:uid="{00000000-0005-0000-0000-0000F3010000}"/>
    <cellStyle name="Normal 7 5 4" xfId="500" xr:uid="{00000000-0005-0000-0000-0000F4010000}"/>
    <cellStyle name="Normal 7 5 5" xfId="501" xr:uid="{00000000-0005-0000-0000-0000F5010000}"/>
    <cellStyle name="Normal 7 6" xfId="502" xr:uid="{00000000-0005-0000-0000-0000F6010000}"/>
    <cellStyle name="Normal 7 7" xfId="503" xr:uid="{00000000-0005-0000-0000-0000F7010000}"/>
    <cellStyle name="Normal 8 2" xfId="504" xr:uid="{00000000-0005-0000-0000-0000F8010000}"/>
    <cellStyle name="Normal 8 3" xfId="505" xr:uid="{00000000-0005-0000-0000-0000F9010000}"/>
    <cellStyle name="Normal 9" xfId="506" xr:uid="{00000000-0005-0000-0000-0000FA010000}"/>
    <cellStyle name="Normal 9 2" xfId="507" xr:uid="{00000000-0005-0000-0000-0000FB010000}"/>
    <cellStyle name="Normal 9 2 2" xfId="508" xr:uid="{00000000-0005-0000-0000-0000FC010000}"/>
    <cellStyle name="Normal 9 2 3" xfId="509" xr:uid="{00000000-0005-0000-0000-0000FD010000}"/>
    <cellStyle name="Normal 9 3" xfId="510" xr:uid="{00000000-0005-0000-0000-0000FE010000}"/>
    <cellStyle name="Normal 9 4" xfId="511" xr:uid="{00000000-0005-0000-0000-0000FF010000}"/>
    <cellStyle name="Normal 9 5" xfId="512" xr:uid="{00000000-0005-0000-0000-000000020000}"/>
    <cellStyle name="Normal 9 5 2" xfId="513" xr:uid="{00000000-0005-0000-0000-000001020000}"/>
    <cellStyle name="Normal 9 5 3" xfId="514" xr:uid="{00000000-0005-0000-0000-000002020000}"/>
    <cellStyle name="Normal 9 6" xfId="515" xr:uid="{00000000-0005-0000-0000-000003020000}"/>
    <cellStyle name="Normal 9 6 2" xfId="516" xr:uid="{00000000-0005-0000-0000-000004020000}"/>
    <cellStyle name="Normal 9 6 3" xfId="517" xr:uid="{00000000-0005-0000-0000-000005020000}"/>
    <cellStyle name="Normal_debt" xfId="518" xr:uid="{00000000-0005-0000-0000-000006020000}"/>
    <cellStyle name="Normal_lpform" xfId="519" xr:uid="{00000000-0005-0000-0000-000007020000}"/>
  </cellStyles>
  <dxfs count="340">
    <dxf>
      <font>
        <b/>
        <i val="0"/>
        <color rgb="FFFF0000"/>
      </font>
    </dxf>
    <dxf>
      <font>
        <b/>
        <i val="0"/>
        <strike val="0"/>
      </font>
      <fill>
        <patternFill>
          <bgColor rgb="FFFF0000"/>
        </patternFill>
      </fill>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8D6A44EE-6470-4558-A65D-D1241CDF39DB}"/>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47625</xdr:rowOff>
    </xdr:from>
    <xdr:to>
      <xdr:col>1</xdr:col>
      <xdr:colOff>209550</xdr:colOff>
      <xdr:row>20</xdr:row>
      <xdr:rowOff>200025</xdr:rowOff>
    </xdr:to>
    <xdr:sp macro="" textlink="">
      <xdr:nvSpPr>
        <xdr:cNvPr id="3" name="Text Box 5">
          <a:extLst>
            <a:ext uri="{FF2B5EF4-FFF2-40B4-BE49-F238E27FC236}">
              <a16:creationId xmlns:a16="http://schemas.microsoft.com/office/drawing/2014/main" id="{0488434A-3089-48C4-B743-AAF90E770E95}"/>
            </a:ext>
          </a:extLst>
        </xdr:cNvPr>
        <xdr:cNvSpPr txBox="1">
          <a:spLocks noChangeArrowheads="1"/>
        </xdr:cNvSpPr>
      </xdr:nvSpPr>
      <xdr:spPr bwMode="auto">
        <a:xfrm>
          <a:off x="104775" y="6076950"/>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28575</xdr:rowOff>
    </xdr:from>
    <xdr:to>
      <xdr:col>1</xdr:col>
      <xdr:colOff>209550</xdr:colOff>
      <xdr:row>22</xdr:row>
      <xdr:rowOff>180975</xdr:rowOff>
    </xdr:to>
    <xdr:sp macro="" textlink="">
      <xdr:nvSpPr>
        <xdr:cNvPr id="4" name="Text Box 6">
          <a:extLst>
            <a:ext uri="{FF2B5EF4-FFF2-40B4-BE49-F238E27FC236}">
              <a16:creationId xmlns:a16="http://schemas.microsoft.com/office/drawing/2014/main" id="{2A57013B-DF6E-43D8-AE02-1A72705748F4}"/>
            </a:ext>
          </a:extLst>
        </xdr:cNvPr>
        <xdr:cNvSpPr txBox="1"/>
      </xdr:nvSpPr>
      <xdr:spPr>
        <a:xfrm>
          <a:off x="104775" y="7077075"/>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28575</xdr:rowOff>
    </xdr:from>
    <xdr:to>
      <xdr:col>1</xdr:col>
      <xdr:colOff>209550</xdr:colOff>
      <xdr:row>24</xdr:row>
      <xdr:rowOff>180975</xdr:rowOff>
    </xdr:to>
    <xdr:sp macro="" textlink="">
      <xdr:nvSpPr>
        <xdr:cNvPr id="5" name="Text Box 7">
          <a:extLst>
            <a:ext uri="{FF2B5EF4-FFF2-40B4-BE49-F238E27FC236}">
              <a16:creationId xmlns:a16="http://schemas.microsoft.com/office/drawing/2014/main" id="{DE112E61-6E4A-4A44-B69F-A3302FEAD285}"/>
            </a:ext>
          </a:extLst>
        </xdr:cNvPr>
        <xdr:cNvSpPr txBox="1"/>
      </xdr:nvSpPr>
      <xdr:spPr>
        <a:xfrm>
          <a:off x="104775" y="7439025"/>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873DEFB7-67D9-4809-ABD7-5BF297262A9D}"/>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DBF6D840-C6DF-4B02-B975-D60FBA630E68}"/>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058F281D-695B-4CB8-B3DF-5B34D9B4E4A6}"/>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077B1595-6839-4296-B1D5-8197CD2C323B}"/>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B5A25B38-A149-4DD4-A829-20CE444A2192}"/>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961A033F-E9AA-4FD0-9FA6-A1E0B4BE006D}"/>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C0982693-7CBA-41C2-BE7F-BE83CA31F08F}"/>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BC37377F-74FA-42F8-B123-DBE9D0D4FECB}"/>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BFB34560-BC6C-40E5-9FF7-0742BBFF82AE}"/>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7.bin"/><Relationship Id="rId1" Type="http://schemas.openxmlformats.org/officeDocument/2006/relationships/hyperlink" Target="https://pooledmoneyinvestmentboard.com/"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1:B109"/>
  <sheetViews>
    <sheetView tabSelected="1" zoomScaleNormal="100" workbookViewId="0"/>
  </sheetViews>
  <sheetFormatPr defaultColWidth="8.88671875" defaultRowHeight="15.75" x14ac:dyDescent="0.2"/>
  <cols>
    <col min="1" max="1" width="1.21875" style="63" customWidth="1"/>
    <col min="2" max="2" width="84.6640625" style="64" customWidth="1"/>
    <col min="3" max="16384" width="8.88671875" style="63"/>
  </cols>
  <sheetData>
    <row r="1" spans="2:2" ht="39" customHeight="1" x14ac:dyDescent="0.2">
      <c r="B1" s="614" t="s">
        <v>539</v>
      </c>
    </row>
    <row r="2" spans="2:2" ht="12.95" customHeight="1" x14ac:dyDescent="0.2"/>
    <row r="3" spans="2:2" ht="34.5" customHeight="1" x14ac:dyDescent="0.2">
      <c r="B3" s="64" t="s">
        <v>525</v>
      </c>
    </row>
    <row r="4" spans="2:2" ht="12.95" customHeight="1" x14ac:dyDescent="0.2"/>
    <row r="5" spans="2:2" ht="66" customHeight="1" x14ac:dyDescent="0.2">
      <c r="B5" s="64" t="s">
        <v>540</v>
      </c>
    </row>
    <row r="6" spans="2:2" ht="14.45" customHeight="1" x14ac:dyDescent="0.2"/>
    <row r="7" spans="2:2" ht="25.5" customHeight="1" x14ac:dyDescent="0.2">
      <c r="B7" s="615" t="s">
        <v>541</v>
      </c>
    </row>
    <row r="8" spans="2:2" ht="12.95" customHeight="1" x14ac:dyDescent="0.2"/>
    <row r="9" spans="2:2" ht="50.25" x14ac:dyDescent="0.2">
      <c r="B9" s="64" t="s">
        <v>542</v>
      </c>
    </row>
    <row r="10" spans="2:2" ht="12.95" customHeight="1" x14ac:dyDescent="0.2"/>
    <row r="11" spans="2:2" ht="31.5" x14ac:dyDescent="0.2">
      <c r="B11" s="64" t="s">
        <v>543</v>
      </c>
    </row>
    <row r="12" spans="2:2" ht="15" customHeight="1" x14ac:dyDescent="0.2"/>
    <row r="13" spans="2:2" ht="25.5" customHeight="1" x14ac:dyDescent="0.2">
      <c r="B13" s="615" t="s">
        <v>544</v>
      </c>
    </row>
    <row r="14" spans="2:2" ht="12.95" customHeight="1" x14ac:dyDescent="0.2"/>
    <row r="15" spans="2:2" ht="39.75" customHeight="1" x14ac:dyDescent="0.2">
      <c r="B15" s="64" t="s">
        <v>545</v>
      </c>
    </row>
    <row r="16" spans="2:2" ht="12.95" customHeight="1" x14ac:dyDescent="0.2"/>
    <row r="17" spans="2:2" x14ac:dyDescent="0.2">
      <c r="B17" s="616" t="s">
        <v>546</v>
      </c>
    </row>
    <row r="18" spans="2:2" ht="12.95" customHeight="1" x14ac:dyDescent="0.2">
      <c r="B18" s="616"/>
    </row>
    <row r="19" spans="2:2" x14ac:dyDescent="0.2">
      <c r="B19" s="64" t="s">
        <v>547</v>
      </c>
    </row>
    <row r="20" spans="2:2" ht="12.95" customHeight="1" x14ac:dyDescent="0.2"/>
    <row r="21" spans="2:2" ht="67.5" customHeight="1" x14ac:dyDescent="0.2">
      <c r="B21" s="64" t="s">
        <v>548</v>
      </c>
    </row>
    <row r="22" spans="2:2" ht="12.95" customHeight="1" x14ac:dyDescent="0.2">
      <c r="B22" s="617"/>
    </row>
    <row r="23" spans="2:2" ht="15.75" customHeight="1" x14ac:dyDescent="0.2">
      <c r="B23" s="64" t="s">
        <v>549</v>
      </c>
    </row>
    <row r="24" spans="2:2" ht="12.95" customHeight="1" x14ac:dyDescent="0.2">
      <c r="B24" s="617"/>
    </row>
    <row r="25" spans="2:2" ht="15.75" customHeight="1" x14ac:dyDescent="0.2">
      <c r="B25" s="64" t="s">
        <v>550</v>
      </c>
    </row>
    <row r="26" spans="2:2" ht="12.95" customHeight="1" x14ac:dyDescent="0.2"/>
    <row r="27" spans="2:2" ht="49.5" customHeight="1" x14ac:dyDescent="0.2">
      <c r="B27" s="64" t="s">
        <v>551</v>
      </c>
    </row>
    <row r="28" spans="2:2" ht="12.95" customHeight="1" x14ac:dyDescent="0.2"/>
    <row r="29" spans="2:2" ht="25.5" customHeight="1" x14ac:dyDescent="0.2">
      <c r="B29" s="615" t="s">
        <v>552</v>
      </c>
    </row>
    <row r="30" spans="2:2" ht="12.95" customHeight="1" x14ac:dyDescent="0.2">
      <c r="B30" s="618"/>
    </row>
    <row r="31" spans="2:2" ht="50.25" customHeight="1" x14ac:dyDescent="0.2">
      <c r="B31" s="64" t="s">
        <v>553</v>
      </c>
    </row>
    <row r="32" spans="2:2" ht="12.95" customHeight="1" x14ac:dyDescent="0.2"/>
    <row r="33" spans="2:2" ht="49.5" customHeight="1" x14ac:dyDescent="0.2">
      <c r="B33" s="216" t="s">
        <v>554</v>
      </c>
    </row>
    <row r="34" spans="2:2" ht="39.75" customHeight="1" x14ac:dyDescent="0.2">
      <c r="B34" s="619" t="s">
        <v>555</v>
      </c>
    </row>
    <row r="35" spans="2:2" ht="60.75" customHeight="1" x14ac:dyDescent="0.2">
      <c r="B35" s="619" t="s">
        <v>556</v>
      </c>
    </row>
    <row r="36" spans="2:2" ht="61.5" customHeight="1" x14ac:dyDescent="0.2">
      <c r="B36" s="619" t="s">
        <v>557</v>
      </c>
    </row>
    <row r="37" spans="2:2" ht="41.25" customHeight="1" x14ac:dyDescent="0.2">
      <c r="B37" s="619" t="s">
        <v>558</v>
      </c>
    </row>
    <row r="38" spans="2:2" ht="12.95" customHeight="1" x14ac:dyDescent="0.2"/>
    <row r="39" spans="2:2" ht="52.5" customHeight="1" x14ac:dyDescent="0.2">
      <c r="B39" s="216" t="s">
        <v>559</v>
      </c>
    </row>
    <row r="40" spans="2:2" ht="27.75" customHeight="1" x14ac:dyDescent="0.2">
      <c r="B40" s="619" t="s">
        <v>560</v>
      </c>
    </row>
    <row r="41" spans="2:2" ht="57" customHeight="1" x14ac:dyDescent="0.2">
      <c r="B41" s="619" t="s">
        <v>561</v>
      </c>
    </row>
    <row r="42" spans="2:2" ht="105" customHeight="1" x14ac:dyDescent="0.2">
      <c r="B42" s="619" t="s">
        <v>562</v>
      </c>
    </row>
    <row r="43" spans="2:2" s="64" customFormat="1" ht="12.95" customHeight="1" x14ac:dyDescent="0.2"/>
    <row r="44" spans="2:2" ht="47.25" x14ac:dyDescent="0.2">
      <c r="B44" s="216" t="s">
        <v>563</v>
      </c>
    </row>
    <row r="45" spans="2:2" ht="66.75" customHeight="1" x14ac:dyDescent="0.2">
      <c r="B45" s="216" t="s">
        <v>564</v>
      </c>
    </row>
    <row r="46" spans="2:2" ht="72.75" customHeight="1" x14ac:dyDescent="0.2">
      <c r="B46" s="619" t="s">
        <v>565</v>
      </c>
    </row>
    <row r="47" spans="2:2" ht="108" customHeight="1" x14ac:dyDescent="0.2">
      <c r="B47" s="619" t="s">
        <v>566</v>
      </c>
    </row>
    <row r="48" spans="2:2" ht="95.25" customHeight="1" x14ac:dyDescent="0.2">
      <c r="B48" s="619" t="s">
        <v>567</v>
      </c>
    </row>
    <row r="49" spans="2:2" ht="12.95" customHeight="1" x14ac:dyDescent="0.2"/>
    <row r="50" spans="2:2" ht="47.25" x14ac:dyDescent="0.2">
      <c r="B50" s="216" t="s">
        <v>568</v>
      </c>
    </row>
    <row r="51" spans="2:2" ht="38.25" customHeight="1" x14ac:dyDescent="0.2">
      <c r="B51" s="619" t="s">
        <v>569</v>
      </c>
    </row>
    <row r="52" spans="2:2" ht="34.5" customHeight="1" x14ac:dyDescent="0.2">
      <c r="B52" s="619" t="s">
        <v>570</v>
      </c>
    </row>
    <row r="53" spans="2:2" ht="12.95" customHeight="1" x14ac:dyDescent="0.2"/>
    <row r="54" spans="2:2" ht="71.25" customHeight="1" x14ac:dyDescent="0.2">
      <c r="B54" s="216" t="s">
        <v>571</v>
      </c>
    </row>
    <row r="55" spans="2:2" ht="21.75" customHeight="1" x14ac:dyDescent="0.2">
      <c r="B55" s="619" t="s">
        <v>572</v>
      </c>
    </row>
    <row r="56" spans="2:2" ht="12.95" customHeight="1" x14ac:dyDescent="0.2">
      <c r="B56" s="620"/>
    </row>
    <row r="57" spans="2:2" ht="57.75" customHeight="1" x14ac:dyDescent="0.2">
      <c r="B57" s="216" t="s">
        <v>573</v>
      </c>
    </row>
    <row r="58" spans="2:2" ht="41.25" customHeight="1" x14ac:dyDescent="0.2">
      <c r="B58" s="619" t="s">
        <v>574</v>
      </c>
    </row>
    <row r="59" spans="2:2" ht="72" customHeight="1" x14ac:dyDescent="0.2">
      <c r="B59" s="619" t="s">
        <v>575</v>
      </c>
    </row>
    <row r="60" spans="2:2" ht="27" customHeight="1" x14ac:dyDescent="0.2">
      <c r="B60" s="619" t="s">
        <v>576</v>
      </c>
    </row>
    <row r="61" spans="2:2" ht="44.25" customHeight="1" x14ac:dyDescent="0.2">
      <c r="B61" s="619" t="s">
        <v>577</v>
      </c>
    </row>
    <row r="62" spans="2:2" ht="12.95" customHeight="1" x14ac:dyDescent="0.2"/>
    <row r="63" spans="2:2" ht="38.25" customHeight="1" x14ac:dyDescent="0.2">
      <c r="B63" s="216" t="s">
        <v>578</v>
      </c>
    </row>
    <row r="64" spans="2:2" s="621" customFormat="1" ht="30.75" customHeight="1" x14ac:dyDescent="0.2">
      <c r="B64" s="619" t="s">
        <v>579</v>
      </c>
    </row>
    <row r="65" spans="2:2" ht="12.95" customHeight="1" x14ac:dyDescent="0.2"/>
    <row r="66" spans="2:2" ht="52.5" customHeight="1" x14ac:dyDescent="0.2">
      <c r="B66" s="216" t="s">
        <v>580</v>
      </c>
    </row>
    <row r="67" spans="2:2" s="621" customFormat="1" ht="39.75" customHeight="1" x14ac:dyDescent="0.2">
      <c r="B67" s="619" t="s">
        <v>581</v>
      </c>
    </row>
    <row r="68" spans="2:2" ht="12.95" customHeight="1" x14ac:dyDescent="0.2"/>
    <row r="69" spans="2:2" ht="68.25" customHeight="1" x14ac:dyDescent="0.2">
      <c r="B69" s="216" t="s">
        <v>582</v>
      </c>
    </row>
    <row r="70" spans="2:2" ht="57" customHeight="1" x14ac:dyDescent="0.2">
      <c r="B70" s="619" t="s">
        <v>583</v>
      </c>
    </row>
    <row r="71" spans="2:2" ht="44.25" customHeight="1" x14ac:dyDescent="0.2">
      <c r="B71" s="619" t="s">
        <v>584</v>
      </c>
    </row>
    <row r="72" spans="2:2" ht="12.95" customHeight="1" x14ac:dyDescent="0.2"/>
    <row r="73" spans="2:2" ht="78.75" x14ac:dyDescent="0.2">
      <c r="B73" s="216" t="s">
        <v>585</v>
      </c>
    </row>
    <row r="74" spans="2:2" ht="72.75" customHeight="1" x14ac:dyDescent="0.2">
      <c r="B74" s="619" t="s">
        <v>586</v>
      </c>
    </row>
    <row r="75" spans="2:2" ht="90" customHeight="1" x14ac:dyDescent="0.2">
      <c r="B75" s="619" t="s">
        <v>587</v>
      </c>
    </row>
    <row r="76" spans="2:2" ht="70.5" customHeight="1" x14ac:dyDescent="0.2">
      <c r="B76" s="619" t="s">
        <v>588</v>
      </c>
    </row>
    <row r="77" spans="2:2" ht="87" customHeight="1" x14ac:dyDescent="0.2">
      <c r="B77" s="619" t="s">
        <v>589</v>
      </c>
    </row>
    <row r="78" spans="2:2" ht="110.25" x14ac:dyDescent="0.2">
      <c r="B78" s="619" t="s">
        <v>590</v>
      </c>
    </row>
    <row r="79" spans="2:2" ht="55.5" customHeight="1" x14ac:dyDescent="0.2">
      <c r="B79" s="619" t="s">
        <v>591</v>
      </c>
    </row>
    <row r="80" spans="2:2" ht="96.75" customHeight="1" x14ac:dyDescent="0.2">
      <c r="B80" s="619" t="s">
        <v>592</v>
      </c>
    </row>
    <row r="81" spans="2:2" ht="111.75" customHeight="1" x14ac:dyDescent="0.2">
      <c r="B81" s="619" t="s">
        <v>593</v>
      </c>
    </row>
    <row r="82" spans="2:2" ht="123.75" customHeight="1" x14ac:dyDescent="0.2">
      <c r="B82" s="619" t="s">
        <v>594</v>
      </c>
    </row>
    <row r="83" spans="2:2" ht="26.25" customHeight="1" x14ac:dyDescent="0.2">
      <c r="B83" s="619" t="s">
        <v>595</v>
      </c>
    </row>
    <row r="84" spans="2:2" ht="57.75" customHeight="1" x14ac:dyDescent="0.2">
      <c r="B84" s="619" t="s">
        <v>596</v>
      </c>
    </row>
    <row r="85" spans="2:2" ht="57.75" customHeight="1" x14ac:dyDescent="0.2">
      <c r="B85" s="619" t="s">
        <v>597</v>
      </c>
    </row>
    <row r="86" spans="2:2" ht="91.5" customHeight="1" x14ac:dyDescent="0.2">
      <c r="B86" s="619" t="s">
        <v>598</v>
      </c>
    </row>
    <row r="87" spans="2:2" ht="75" customHeight="1" x14ac:dyDescent="0.2">
      <c r="B87" s="619" t="s">
        <v>599</v>
      </c>
    </row>
    <row r="88" spans="2:2" ht="69" customHeight="1" x14ac:dyDescent="0.2">
      <c r="B88" s="619" t="s">
        <v>600</v>
      </c>
    </row>
    <row r="89" spans="2:2" ht="39" customHeight="1" x14ac:dyDescent="0.2">
      <c r="B89" s="619" t="s">
        <v>601</v>
      </c>
    </row>
    <row r="90" spans="2:2" ht="12.95" customHeight="1" x14ac:dyDescent="0.2"/>
    <row r="91" spans="2:2" ht="63" x14ac:dyDescent="0.2">
      <c r="B91" s="216" t="s">
        <v>602</v>
      </c>
    </row>
    <row r="92" spans="2:2" ht="75.75" customHeight="1" x14ac:dyDescent="0.2">
      <c r="B92" s="619" t="s">
        <v>603</v>
      </c>
    </row>
    <row r="93" spans="2:2" ht="23.25" customHeight="1" x14ac:dyDescent="0.2">
      <c r="B93" s="619" t="s">
        <v>604</v>
      </c>
    </row>
    <row r="94" spans="2:2" ht="27" customHeight="1" x14ac:dyDescent="0.2">
      <c r="B94" s="619" t="s">
        <v>605</v>
      </c>
    </row>
    <row r="95" spans="2:2" ht="42" customHeight="1" x14ac:dyDescent="0.2">
      <c r="B95" s="622" t="s">
        <v>606</v>
      </c>
    </row>
    <row r="96" spans="2:2" ht="108" customHeight="1" x14ac:dyDescent="0.2">
      <c r="B96" s="622" t="s">
        <v>607</v>
      </c>
    </row>
    <row r="97" spans="2:2" ht="88.5" customHeight="1" x14ac:dyDescent="0.2">
      <c r="B97" s="622" t="s">
        <v>608</v>
      </c>
    </row>
    <row r="98" spans="2:2" ht="98.25" customHeight="1" x14ac:dyDescent="0.2">
      <c r="B98" s="619" t="s">
        <v>609</v>
      </c>
    </row>
    <row r="99" spans="2:2" ht="68.25" customHeight="1" x14ac:dyDescent="0.2">
      <c r="B99" s="619" t="s">
        <v>610</v>
      </c>
    </row>
    <row r="100" spans="2:2" ht="12.95" customHeight="1" x14ac:dyDescent="0.2"/>
    <row r="101" spans="2:2" ht="94.5" x14ac:dyDescent="0.2">
      <c r="B101" s="216" t="s">
        <v>611</v>
      </c>
    </row>
    <row r="102" spans="2:2" ht="78.75" x14ac:dyDescent="0.2">
      <c r="B102" s="623" t="s">
        <v>612</v>
      </c>
    </row>
    <row r="103" spans="2:2" ht="63" x14ac:dyDescent="0.2">
      <c r="B103" s="619" t="s">
        <v>613</v>
      </c>
    </row>
    <row r="104" spans="2:2" ht="39.75" customHeight="1" x14ac:dyDescent="0.2">
      <c r="B104" s="619" t="s">
        <v>614</v>
      </c>
    </row>
    <row r="105" spans="2:2" ht="12.95" customHeight="1" x14ac:dyDescent="0.2">
      <c r="B105" s="63"/>
    </row>
    <row r="106" spans="2:2" ht="47.25" x14ac:dyDescent="0.2">
      <c r="B106" s="216" t="s">
        <v>615</v>
      </c>
    </row>
    <row r="107" spans="2:2" ht="12.95" customHeight="1" x14ac:dyDescent="0.2">
      <c r="B107" s="63"/>
    </row>
    <row r="108" spans="2:2" ht="47.25" x14ac:dyDescent="0.2">
      <c r="B108" s="216" t="s">
        <v>616</v>
      </c>
    </row>
    <row r="109" spans="2:2" x14ac:dyDescent="0.2">
      <c r="B109" s="63"/>
    </row>
  </sheetData>
  <phoneticPr fontId="0" type="noConversion"/>
  <pageMargins left="0.5" right="0.5" top="0.5" bottom="0.5" header="0.5" footer="0"/>
  <pageSetup scale="90" fitToHeight="2"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pageSetUpPr fitToPage="1"/>
  </sheetPr>
  <dimension ref="B1:AC48"/>
  <sheetViews>
    <sheetView zoomScale="75" workbookViewId="0">
      <selection activeCell="G8" sqref="G8"/>
    </sheetView>
  </sheetViews>
  <sheetFormatPr defaultColWidth="8.88671875" defaultRowHeight="15.75" x14ac:dyDescent="0.25"/>
  <cols>
    <col min="1" max="1" width="3.44140625" style="3" customWidth="1"/>
    <col min="2" max="2" width="20.77734375" style="3" customWidth="1"/>
    <col min="3" max="3" width="9.44140625" style="3" customWidth="1"/>
    <col min="4" max="4" width="9.21875" style="3" customWidth="1"/>
    <col min="5" max="5" width="8.77734375" style="3" customWidth="1"/>
    <col min="6" max="6" width="12.77734375" style="3" customWidth="1"/>
    <col min="7" max="7" width="13.21875" style="3" customWidth="1"/>
    <col min="8" max="13" width="9.77734375" style="3" customWidth="1"/>
    <col min="14" max="16384" width="8.88671875" style="3"/>
  </cols>
  <sheetData>
    <row r="1" spans="2:13" x14ac:dyDescent="0.25">
      <c r="B1" s="14">
        <f>inputPrYr!$D$3</f>
        <v>0</v>
      </c>
      <c r="C1" s="6"/>
      <c r="D1" s="6"/>
      <c r="E1" s="6"/>
      <c r="F1" s="6"/>
      <c r="G1" s="6"/>
      <c r="H1" s="6"/>
      <c r="I1" s="6"/>
      <c r="J1" s="6"/>
      <c r="K1" s="6"/>
      <c r="L1" s="6"/>
      <c r="M1" s="28">
        <f>inputPrYr!$C$10</f>
        <v>2025</v>
      </c>
    </row>
    <row r="2" spans="2:13" x14ac:dyDescent="0.25">
      <c r="B2" s="14"/>
      <c r="C2" s="6"/>
      <c r="D2" s="6"/>
      <c r="E2" s="6"/>
      <c r="F2" s="6"/>
      <c r="G2" s="6"/>
      <c r="H2" s="6"/>
      <c r="I2" s="6"/>
      <c r="J2" s="6"/>
      <c r="K2" s="6"/>
      <c r="L2" s="6"/>
      <c r="M2" s="8"/>
    </row>
    <row r="3" spans="2:13" x14ac:dyDescent="0.25">
      <c r="B3" s="15" t="s">
        <v>7</v>
      </c>
      <c r="C3" s="10"/>
      <c r="D3" s="10"/>
      <c r="E3" s="10"/>
      <c r="F3" s="10"/>
      <c r="G3" s="10"/>
      <c r="H3" s="10"/>
      <c r="I3" s="10"/>
      <c r="J3" s="10"/>
      <c r="K3" s="10"/>
      <c r="L3" s="10"/>
      <c r="M3" s="10"/>
    </row>
    <row r="4" spans="2:13" x14ac:dyDescent="0.25">
      <c r="B4" s="6"/>
      <c r="C4" s="26"/>
      <c r="D4" s="26"/>
      <c r="E4" s="26"/>
      <c r="F4" s="26"/>
      <c r="G4" s="26"/>
      <c r="H4" s="26"/>
      <c r="I4" s="26"/>
      <c r="J4" s="26"/>
      <c r="K4" s="26"/>
      <c r="L4" s="26"/>
      <c r="M4" s="26"/>
    </row>
    <row r="5" spans="2:13" x14ac:dyDescent="0.25">
      <c r="B5" s="422"/>
      <c r="C5" s="16" t="s">
        <v>201</v>
      </c>
      <c r="D5" s="16" t="s">
        <v>201</v>
      </c>
      <c r="E5" s="16" t="s">
        <v>215</v>
      </c>
      <c r="F5" s="16"/>
      <c r="G5" s="61" t="s">
        <v>53</v>
      </c>
      <c r="H5" s="6"/>
      <c r="I5" s="6"/>
      <c r="J5" s="18" t="s">
        <v>202</v>
      </c>
      <c r="K5" s="17"/>
      <c r="L5" s="18" t="s">
        <v>202</v>
      </c>
      <c r="M5" s="17"/>
    </row>
    <row r="6" spans="2:13" x14ac:dyDescent="0.25">
      <c r="B6" s="19" t="s">
        <v>415</v>
      </c>
      <c r="C6" s="19" t="s">
        <v>203</v>
      </c>
      <c r="D6" s="19" t="s">
        <v>54</v>
      </c>
      <c r="E6" s="19" t="s">
        <v>204</v>
      </c>
      <c r="F6" s="19" t="s">
        <v>156</v>
      </c>
      <c r="G6" s="62" t="s">
        <v>55</v>
      </c>
      <c r="H6" s="772" t="s">
        <v>205</v>
      </c>
      <c r="I6" s="773"/>
      <c r="J6" s="774">
        <f>M1-1</f>
        <v>2024</v>
      </c>
      <c r="K6" s="775"/>
      <c r="L6" s="774">
        <f>M1</f>
        <v>2025</v>
      </c>
      <c r="M6" s="775"/>
    </row>
    <row r="7" spans="2:13" x14ac:dyDescent="0.25">
      <c r="B7" s="20" t="s">
        <v>416</v>
      </c>
      <c r="C7" s="20" t="s">
        <v>206</v>
      </c>
      <c r="D7" s="20" t="s">
        <v>56</v>
      </c>
      <c r="E7" s="20" t="s">
        <v>180</v>
      </c>
      <c r="F7" s="20" t="s">
        <v>207</v>
      </c>
      <c r="G7" s="33" t="str">
        <f>CONCATENATE("Jan 1, ",M1-1,"")</f>
        <v>Jan 1, 2024</v>
      </c>
      <c r="H7" s="21" t="s">
        <v>215</v>
      </c>
      <c r="I7" s="21" t="s">
        <v>217</v>
      </c>
      <c r="J7" s="21" t="s">
        <v>215</v>
      </c>
      <c r="K7" s="21" t="s">
        <v>217</v>
      </c>
      <c r="L7" s="21" t="s">
        <v>215</v>
      </c>
      <c r="M7" s="21" t="s">
        <v>217</v>
      </c>
    </row>
    <row r="8" spans="2:13" x14ac:dyDescent="0.25">
      <c r="B8" s="22" t="s">
        <v>208</v>
      </c>
      <c r="C8" s="13"/>
      <c r="D8" s="13"/>
      <c r="E8" s="23"/>
      <c r="F8" s="24"/>
      <c r="G8" s="24"/>
      <c r="H8" s="13"/>
      <c r="I8" s="13"/>
      <c r="J8" s="24"/>
      <c r="K8" s="24"/>
      <c r="L8" s="24"/>
      <c r="M8" s="24"/>
    </row>
    <row r="9" spans="2:13" x14ac:dyDescent="0.25">
      <c r="B9" s="4"/>
      <c r="C9" s="308"/>
      <c r="D9" s="308"/>
      <c r="E9" s="37"/>
      <c r="F9" s="38"/>
      <c r="G9" s="39"/>
      <c r="H9" s="40"/>
      <c r="I9" s="40"/>
      <c r="J9" s="39"/>
      <c r="K9" s="39"/>
      <c r="L9" s="39"/>
      <c r="M9" s="39"/>
    </row>
    <row r="10" spans="2:13" x14ac:dyDescent="0.25">
      <c r="B10" s="4"/>
      <c r="C10" s="308"/>
      <c r="D10" s="308"/>
      <c r="E10" s="37"/>
      <c r="F10" s="38"/>
      <c r="G10" s="39"/>
      <c r="H10" s="40"/>
      <c r="I10" s="40"/>
      <c r="J10" s="39"/>
      <c r="K10" s="39"/>
      <c r="L10" s="39"/>
      <c r="M10" s="39"/>
    </row>
    <row r="11" spans="2:13" x14ac:dyDescent="0.25">
      <c r="B11" s="4"/>
      <c r="C11" s="308"/>
      <c r="D11" s="308"/>
      <c r="E11" s="37"/>
      <c r="F11" s="38"/>
      <c r="G11" s="39"/>
      <c r="H11" s="40"/>
      <c r="I11" s="40"/>
      <c r="J11" s="39"/>
      <c r="K11" s="39"/>
      <c r="L11" s="39"/>
      <c r="M11" s="39"/>
    </row>
    <row r="12" spans="2:13" x14ac:dyDescent="0.25">
      <c r="B12" s="4"/>
      <c r="C12" s="308"/>
      <c r="D12" s="308"/>
      <c r="E12" s="37"/>
      <c r="F12" s="38"/>
      <c r="G12" s="39"/>
      <c r="H12" s="40"/>
      <c r="I12" s="40"/>
      <c r="J12" s="39"/>
      <c r="K12" s="39"/>
      <c r="L12" s="39"/>
      <c r="M12" s="39"/>
    </row>
    <row r="13" spans="2:13" x14ac:dyDescent="0.25">
      <c r="B13" s="4"/>
      <c r="C13" s="308"/>
      <c r="D13" s="308"/>
      <c r="E13" s="37"/>
      <c r="F13" s="38"/>
      <c r="G13" s="39"/>
      <c r="H13" s="40"/>
      <c r="I13" s="40"/>
      <c r="J13" s="39"/>
      <c r="K13" s="39"/>
      <c r="L13" s="39"/>
      <c r="M13" s="39"/>
    </row>
    <row r="14" spans="2:13" x14ac:dyDescent="0.25">
      <c r="B14" s="4"/>
      <c r="C14" s="308"/>
      <c r="D14" s="308"/>
      <c r="E14" s="37"/>
      <c r="F14" s="38"/>
      <c r="G14" s="39"/>
      <c r="H14" s="40"/>
      <c r="I14" s="40"/>
      <c r="J14" s="39"/>
      <c r="K14" s="39"/>
      <c r="L14" s="39"/>
      <c r="M14" s="39"/>
    </row>
    <row r="15" spans="2:13" x14ac:dyDescent="0.25">
      <c r="B15" s="4"/>
      <c r="C15" s="308"/>
      <c r="D15" s="308"/>
      <c r="E15" s="37"/>
      <c r="F15" s="38"/>
      <c r="G15" s="39"/>
      <c r="H15" s="40"/>
      <c r="I15" s="40"/>
      <c r="J15" s="39"/>
      <c r="K15" s="39"/>
      <c r="L15" s="39"/>
      <c r="M15" s="39"/>
    </row>
    <row r="16" spans="2:13" x14ac:dyDescent="0.25">
      <c r="B16" s="4"/>
      <c r="C16" s="308"/>
      <c r="D16" s="308"/>
      <c r="E16" s="37"/>
      <c r="F16" s="38"/>
      <c r="G16" s="39"/>
      <c r="H16" s="40"/>
      <c r="I16" s="40"/>
      <c r="J16" s="39"/>
      <c r="K16" s="39"/>
      <c r="L16" s="39"/>
      <c r="M16" s="39"/>
    </row>
    <row r="17" spans="2:13" x14ac:dyDescent="0.25">
      <c r="B17" s="4"/>
      <c r="C17" s="308"/>
      <c r="D17" s="308"/>
      <c r="E17" s="37"/>
      <c r="F17" s="38"/>
      <c r="G17" s="39"/>
      <c r="H17" s="40"/>
      <c r="I17" s="40"/>
      <c r="J17" s="39"/>
      <c r="K17" s="39"/>
      <c r="L17" s="39"/>
      <c r="M17" s="39"/>
    </row>
    <row r="18" spans="2:13" x14ac:dyDescent="0.25">
      <c r="B18" s="4"/>
      <c r="C18" s="308"/>
      <c r="D18" s="308"/>
      <c r="E18" s="37"/>
      <c r="F18" s="38"/>
      <c r="G18" s="39"/>
      <c r="H18" s="40"/>
      <c r="I18" s="40"/>
      <c r="J18" s="39"/>
      <c r="K18" s="39"/>
      <c r="L18" s="39"/>
      <c r="M18" s="39"/>
    </row>
    <row r="19" spans="2:13" x14ac:dyDescent="0.25">
      <c r="B19" s="4"/>
      <c r="C19" s="308"/>
      <c r="D19" s="308"/>
      <c r="E19" s="37"/>
      <c r="F19" s="38"/>
      <c r="G19" s="39"/>
      <c r="H19" s="40"/>
      <c r="I19" s="40"/>
      <c r="J19" s="39"/>
      <c r="K19" s="39"/>
      <c r="L19" s="39"/>
      <c r="M19" s="39"/>
    </row>
    <row r="20" spans="2:13" x14ac:dyDescent="0.25">
      <c r="B20" s="25" t="s">
        <v>209</v>
      </c>
      <c r="C20" s="41"/>
      <c r="D20" s="41"/>
      <c r="E20" s="42"/>
      <c r="F20" s="43"/>
      <c r="G20" s="52">
        <f>SUM(G9:G19)</f>
        <v>0</v>
      </c>
      <c r="H20" s="44"/>
      <c r="I20" s="44"/>
      <c r="J20" s="52">
        <f>SUM(J9:J19)</f>
        <v>0</v>
      </c>
      <c r="K20" s="52">
        <f>SUM(K9:K19)</f>
        <v>0</v>
      </c>
      <c r="L20" s="52">
        <f>SUM(L9:L19)</f>
        <v>0</v>
      </c>
      <c r="M20" s="52">
        <f>SUM(M9:M19)</f>
        <v>0</v>
      </c>
    </row>
    <row r="21" spans="2:13" x14ac:dyDescent="0.25">
      <c r="B21" s="22" t="s">
        <v>210</v>
      </c>
      <c r="C21" s="45"/>
      <c r="D21" s="45"/>
      <c r="E21" s="46"/>
      <c r="F21" s="36"/>
      <c r="G21" s="36"/>
      <c r="H21" s="47"/>
      <c r="I21" s="47"/>
      <c r="J21" s="36"/>
      <c r="K21" s="36"/>
      <c r="L21" s="36"/>
      <c r="M21" s="36"/>
    </row>
    <row r="22" spans="2:13" x14ac:dyDescent="0.25">
      <c r="B22" s="4"/>
      <c r="C22" s="308"/>
      <c r="D22" s="308"/>
      <c r="E22" s="37"/>
      <c r="F22" s="38"/>
      <c r="G22" s="39"/>
      <c r="H22" s="40"/>
      <c r="I22" s="40"/>
      <c r="J22" s="39"/>
      <c r="K22" s="39"/>
      <c r="L22" s="39"/>
      <c r="M22" s="39"/>
    </row>
    <row r="23" spans="2:13" x14ac:dyDescent="0.25">
      <c r="B23" s="4"/>
      <c r="C23" s="308"/>
      <c r="D23" s="308"/>
      <c r="E23" s="37"/>
      <c r="F23" s="38"/>
      <c r="G23" s="39"/>
      <c r="H23" s="40"/>
      <c r="I23" s="40"/>
      <c r="J23" s="39"/>
      <c r="K23" s="39"/>
      <c r="L23" s="39"/>
      <c r="M23" s="39"/>
    </row>
    <row r="24" spans="2:13" x14ac:dyDescent="0.25">
      <c r="B24" s="4"/>
      <c r="C24" s="308"/>
      <c r="D24" s="308"/>
      <c r="E24" s="37"/>
      <c r="F24" s="38"/>
      <c r="G24" s="39"/>
      <c r="H24" s="40"/>
      <c r="I24" s="40"/>
      <c r="J24" s="39"/>
      <c r="K24" s="39"/>
      <c r="L24" s="39"/>
      <c r="M24" s="39"/>
    </row>
    <row r="25" spans="2:13" x14ac:dyDescent="0.25">
      <c r="B25" s="4"/>
      <c r="C25" s="308"/>
      <c r="D25" s="308"/>
      <c r="E25" s="37"/>
      <c r="F25" s="38"/>
      <c r="G25" s="39"/>
      <c r="H25" s="40"/>
      <c r="I25" s="40"/>
      <c r="J25" s="39"/>
      <c r="K25" s="39"/>
      <c r="L25" s="39"/>
      <c r="M25" s="39"/>
    </row>
    <row r="26" spans="2:13" x14ac:dyDescent="0.25">
      <c r="B26" s="4"/>
      <c r="C26" s="308"/>
      <c r="D26" s="308"/>
      <c r="E26" s="37"/>
      <c r="F26" s="38"/>
      <c r="G26" s="39"/>
      <c r="H26" s="40"/>
      <c r="I26" s="40"/>
      <c r="J26" s="39"/>
      <c r="K26" s="39"/>
      <c r="L26" s="39"/>
      <c r="M26" s="39"/>
    </row>
    <row r="27" spans="2:13" x14ac:dyDescent="0.25">
      <c r="B27" s="4"/>
      <c r="C27" s="308"/>
      <c r="D27" s="308"/>
      <c r="E27" s="37"/>
      <c r="F27" s="38"/>
      <c r="G27" s="39"/>
      <c r="H27" s="40"/>
      <c r="I27" s="40"/>
      <c r="J27" s="39"/>
      <c r="K27" s="39"/>
      <c r="L27" s="39"/>
      <c r="M27" s="39"/>
    </row>
    <row r="28" spans="2:13" x14ac:dyDescent="0.25">
      <c r="B28" s="4"/>
      <c r="C28" s="308"/>
      <c r="D28" s="308"/>
      <c r="E28" s="37"/>
      <c r="F28" s="38"/>
      <c r="G28" s="39"/>
      <c r="H28" s="40"/>
      <c r="I28" s="40"/>
      <c r="J28" s="39"/>
      <c r="K28" s="39"/>
      <c r="L28" s="39"/>
      <c r="M28" s="39"/>
    </row>
    <row r="29" spans="2:13" x14ac:dyDescent="0.25">
      <c r="B29" s="4"/>
      <c r="C29" s="308"/>
      <c r="D29" s="308"/>
      <c r="E29" s="37"/>
      <c r="F29" s="38"/>
      <c r="G29" s="39"/>
      <c r="H29" s="40"/>
      <c r="I29" s="40"/>
      <c r="J29" s="39"/>
      <c r="K29" s="39"/>
      <c r="L29" s="39"/>
      <c r="M29" s="39"/>
    </row>
    <row r="30" spans="2:13" x14ac:dyDescent="0.25">
      <c r="B30" s="4"/>
      <c r="C30" s="308"/>
      <c r="D30" s="308"/>
      <c r="E30" s="37"/>
      <c r="F30" s="38"/>
      <c r="G30" s="39"/>
      <c r="H30" s="40"/>
      <c r="I30" s="40"/>
      <c r="J30" s="39"/>
      <c r="K30" s="39"/>
      <c r="L30" s="39"/>
      <c r="M30" s="39"/>
    </row>
    <row r="31" spans="2:13" x14ac:dyDescent="0.25">
      <c r="B31" s="4"/>
      <c r="C31" s="308"/>
      <c r="D31" s="308"/>
      <c r="E31" s="37"/>
      <c r="F31" s="38"/>
      <c r="G31" s="39"/>
      <c r="H31" s="40"/>
      <c r="I31" s="40"/>
      <c r="J31" s="39"/>
      <c r="K31" s="39"/>
      <c r="L31" s="39"/>
      <c r="M31" s="39"/>
    </row>
    <row r="32" spans="2:13" x14ac:dyDescent="0.25">
      <c r="B32" s="25" t="s">
        <v>211</v>
      </c>
      <c r="C32" s="41"/>
      <c r="D32" s="41"/>
      <c r="E32" s="48"/>
      <c r="F32" s="43"/>
      <c r="G32" s="53">
        <f>SUM(G22:G31)</f>
        <v>0</v>
      </c>
      <c r="H32" s="44"/>
      <c r="I32" s="44"/>
      <c r="J32" s="53">
        <f>SUM(J22:J31)</f>
        <v>0</v>
      </c>
      <c r="K32" s="53">
        <f>SUM(K22:K31)</f>
        <v>0</v>
      </c>
      <c r="L32" s="52">
        <f>SUM(L22:L31)</f>
        <v>0</v>
      </c>
      <c r="M32" s="53">
        <f>SUM(M22:M31)</f>
        <v>0</v>
      </c>
    </row>
    <row r="33" spans="2:29" x14ac:dyDescent="0.25">
      <c r="B33" s="22" t="s">
        <v>212</v>
      </c>
      <c r="C33" s="45"/>
      <c r="D33" s="45"/>
      <c r="E33" s="46"/>
      <c r="F33" s="36"/>
      <c r="G33" s="49"/>
      <c r="H33" s="47"/>
      <c r="I33" s="47"/>
      <c r="J33" s="36"/>
      <c r="K33" s="36"/>
      <c r="L33" s="36"/>
      <c r="M33" s="36"/>
    </row>
    <row r="34" spans="2:29" x14ac:dyDescent="0.25">
      <c r="B34" s="4"/>
      <c r="C34" s="308"/>
      <c r="D34" s="308"/>
      <c r="E34" s="37"/>
      <c r="F34" s="38"/>
      <c r="G34" s="39"/>
      <c r="H34" s="40"/>
      <c r="I34" s="40"/>
      <c r="J34" s="39"/>
      <c r="K34" s="39"/>
      <c r="L34" s="39"/>
      <c r="M34" s="39"/>
    </row>
    <row r="35" spans="2:29" x14ac:dyDescent="0.25">
      <c r="B35" s="4"/>
      <c r="C35" s="308"/>
      <c r="D35" s="308"/>
      <c r="E35" s="37"/>
      <c r="F35" s="38"/>
      <c r="G35" s="39"/>
      <c r="H35" s="40"/>
      <c r="I35" s="40"/>
      <c r="J35" s="39"/>
      <c r="K35" s="39"/>
      <c r="L35" s="39"/>
      <c r="M35" s="39"/>
    </row>
    <row r="36" spans="2:29" x14ac:dyDescent="0.25">
      <c r="B36" s="4"/>
      <c r="C36" s="308"/>
      <c r="D36" s="308"/>
      <c r="E36" s="37"/>
      <c r="F36" s="38"/>
      <c r="G36" s="39"/>
      <c r="H36" s="40"/>
      <c r="I36" s="40"/>
      <c r="J36" s="39"/>
      <c r="K36" s="39"/>
      <c r="L36" s="39"/>
      <c r="M36" s="39"/>
    </row>
    <row r="37" spans="2:29" x14ac:dyDescent="0.25">
      <c r="B37" s="4"/>
      <c r="C37" s="308"/>
      <c r="D37" s="308"/>
      <c r="E37" s="37"/>
      <c r="F37" s="38"/>
      <c r="G37" s="39"/>
      <c r="H37" s="40"/>
      <c r="I37" s="40"/>
      <c r="J37" s="39"/>
      <c r="K37" s="39"/>
      <c r="L37" s="39"/>
      <c r="M37" s="39"/>
    </row>
    <row r="38" spans="2:29" x14ac:dyDescent="0.25">
      <c r="B38" s="4"/>
      <c r="C38" s="308"/>
      <c r="D38" s="308"/>
      <c r="E38" s="37"/>
      <c r="F38" s="38"/>
      <c r="G38" s="39"/>
      <c r="H38" s="40"/>
      <c r="I38" s="40"/>
      <c r="J38" s="39"/>
      <c r="K38" s="39"/>
      <c r="L38" s="39"/>
      <c r="M38" s="39"/>
    </row>
    <row r="39" spans="2:29" x14ac:dyDescent="0.25">
      <c r="B39" s="4"/>
      <c r="C39" s="308"/>
      <c r="D39" s="308"/>
      <c r="E39" s="37"/>
      <c r="F39" s="38"/>
      <c r="G39" s="39"/>
      <c r="H39" s="40"/>
      <c r="I39" s="40"/>
      <c r="J39" s="39"/>
      <c r="K39" s="39"/>
      <c r="L39" s="39"/>
      <c r="M39" s="39"/>
    </row>
    <row r="40" spans="2:29" x14ac:dyDescent="0.25">
      <c r="B40" s="4"/>
      <c r="C40" s="308"/>
      <c r="D40" s="308"/>
      <c r="E40" s="37"/>
      <c r="F40" s="38"/>
      <c r="G40" s="39"/>
      <c r="H40" s="40"/>
      <c r="I40" s="40"/>
      <c r="J40" s="39"/>
      <c r="K40" s="39"/>
      <c r="L40" s="39"/>
      <c r="M40" s="39"/>
    </row>
    <row r="41" spans="2:29" x14ac:dyDescent="0.25">
      <c r="B41" s="4"/>
      <c r="C41" s="308"/>
      <c r="D41" s="308"/>
      <c r="E41" s="37"/>
      <c r="F41" s="38"/>
      <c r="G41" s="39"/>
      <c r="H41" s="40"/>
      <c r="I41" s="40"/>
      <c r="J41" s="39"/>
      <c r="K41" s="39"/>
      <c r="L41" s="39"/>
      <c r="M41" s="39"/>
      <c r="N41" s="1"/>
      <c r="O41" s="1"/>
      <c r="P41" s="1"/>
      <c r="Q41" s="1"/>
      <c r="R41" s="1"/>
      <c r="S41" s="1"/>
      <c r="T41" s="1"/>
      <c r="U41" s="1"/>
      <c r="V41" s="1"/>
      <c r="W41" s="1"/>
      <c r="X41" s="1"/>
      <c r="Y41" s="1"/>
      <c r="Z41" s="1"/>
      <c r="AA41" s="1"/>
      <c r="AB41" s="1"/>
      <c r="AC41" s="1"/>
    </row>
    <row r="42" spans="2:29" x14ac:dyDescent="0.25">
      <c r="B42" s="25" t="s">
        <v>57</v>
      </c>
      <c r="C42" s="35"/>
      <c r="D42" s="35"/>
      <c r="E42" s="48"/>
      <c r="F42" s="43"/>
      <c r="G42" s="53">
        <f>SUM(G34:G41)</f>
        <v>0</v>
      </c>
      <c r="H42" s="43"/>
      <c r="I42" s="43"/>
      <c r="J42" s="53">
        <f>SUM(J34:J41)</f>
        <v>0</v>
      </c>
      <c r="K42" s="53">
        <f>SUM(K34:K41)</f>
        <v>0</v>
      </c>
      <c r="L42" s="53">
        <f>SUM(L34:L41)</f>
        <v>0</v>
      </c>
      <c r="M42" s="53">
        <f>SUM(M34:M41)</f>
        <v>0</v>
      </c>
    </row>
    <row r="43" spans="2:29" x14ac:dyDescent="0.25">
      <c r="B43" s="25" t="s">
        <v>213</v>
      </c>
      <c r="C43" s="35"/>
      <c r="D43" s="35"/>
      <c r="E43" s="35"/>
      <c r="F43" s="43"/>
      <c r="G43" s="53">
        <f>SUM(G20+G32+G42)</f>
        <v>0</v>
      </c>
      <c r="H43" s="43"/>
      <c r="I43" s="43"/>
      <c r="J43" s="53">
        <f>SUM(J20+J32+J42)</f>
        <v>0</v>
      </c>
      <c r="K43" s="53">
        <f>SUM(K20+K32+K42)</f>
        <v>0</v>
      </c>
      <c r="L43" s="53">
        <f>SUM(L20+L32+L42)</f>
        <v>0</v>
      </c>
      <c r="M43" s="53">
        <f>SUM(M20+M32+M42)</f>
        <v>0</v>
      </c>
    </row>
    <row r="44" spans="2:29" x14ac:dyDescent="0.25">
      <c r="B44" s="1"/>
      <c r="C44" s="1"/>
      <c r="D44" s="1"/>
      <c r="E44" s="1"/>
      <c r="F44" s="1"/>
      <c r="G44" s="1"/>
      <c r="H44" s="1"/>
      <c r="I44" s="1"/>
      <c r="J44" s="1"/>
      <c r="K44" s="1"/>
      <c r="L44" s="1"/>
      <c r="M44" s="1"/>
    </row>
    <row r="45" spans="2:29" x14ac:dyDescent="0.25">
      <c r="F45" s="5"/>
      <c r="G45" s="5"/>
      <c r="J45" s="5"/>
      <c r="K45" s="5"/>
      <c r="L45" s="5"/>
      <c r="M45" s="5"/>
    </row>
    <row r="46" spans="2:29" x14ac:dyDescent="0.25">
      <c r="F46" s="1"/>
      <c r="H46" s="34"/>
      <c r="N46" s="1"/>
    </row>
    <row r="47" spans="2:29" x14ac:dyDescent="0.25">
      <c r="B47" s="1"/>
      <c r="C47" s="1"/>
      <c r="D47" s="1"/>
      <c r="E47" s="1"/>
      <c r="F47" s="1"/>
      <c r="G47" s="1"/>
      <c r="H47" s="1"/>
      <c r="I47" s="1"/>
      <c r="J47" s="1"/>
      <c r="K47" s="1"/>
      <c r="L47" s="1"/>
      <c r="M47" s="1"/>
    </row>
    <row r="48" spans="2:29" x14ac:dyDescent="0.25">
      <c r="B48" s="1"/>
      <c r="C48" s="1"/>
      <c r="D48" s="1"/>
      <c r="E48" s="1"/>
      <c r="F48" s="1"/>
      <c r="G48" s="1"/>
      <c r="H48" s="1"/>
      <c r="I48" s="1"/>
      <c r="J48" s="1"/>
      <c r="K48" s="1"/>
      <c r="L48" s="1"/>
      <c r="M48" s="1"/>
    </row>
  </sheetData>
  <sheetProtection sheet="1"/>
  <mergeCells count="3">
    <mergeCell ref="H6:I6"/>
    <mergeCell ref="J6:K6"/>
    <mergeCell ref="L6:M6"/>
  </mergeCells>
  <phoneticPr fontId="0" type="noConversion"/>
  <pageMargins left="0.5" right="0.25" top="1" bottom="0.5" header="0.5" footer="0.25"/>
  <pageSetup scale="75" orientation="landscape" blackAndWhite="1" horizontalDpi="120" verticalDpi="144" r:id="rId1"/>
  <headerFooter alignWithMargins="0">
    <oddHeader>&amp;RState of Kansas
City</oddHeader>
    <oddFooter xml:space="preserve">&amp;CPage No. 4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pageSetUpPr fitToPage="1"/>
  </sheetPr>
  <dimension ref="B1:I30"/>
  <sheetViews>
    <sheetView zoomScale="75" workbookViewId="0">
      <selection activeCell="J1" sqref="J1"/>
    </sheetView>
  </sheetViews>
  <sheetFormatPr defaultColWidth="8.88671875" defaultRowHeight="15.75" x14ac:dyDescent="0.2"/>
  <cols>
    <col min="1" max="1" width="8.88671875" style="65"/>
    <col min="2" max="2" width="23.5546875" style="65" customWidth="1"/>
    <col min="3" max="5" width="9.77734375" style="65" customWidth="1"/>
    <col min="6" max="6" width="18.33203125" style="65" customWidth="1"/>
    <col min="7" max="9" width="15.77734375" style="65" customWidth="1"/>
    <col min="10" max="16384" width="8.88671875" style="65"/>
  </cols>
  <sheetData>
    <row r="1" spans="2:9" x14ac:dyDescent="0.2">
      <c r="B1" s="89">
        <f>inputPrYr!$D$3</f>
        <v>0</v>
      </c>
      <c r="C1" s="69"/>
      <c r="D1" s="69"/>
      <c r="E1" s="69"/>
      <c r="F1" s="69"/>
      <c r="G1" s="69"/>
      <c r="H1" s="69"/>
      <c r="I1" s="135">
        <f>inputPrYr!C10</f>
        <v>2025</v>
      </c>
    </row>
    <row r="2" spans="2:9" x14ac:dyDescent="0.2">
      <c r="B2" s="89"/>
      <c r="C2" s="69"/>
      <c r="D2" s="69"/>
      <c r="E2" s="69"/>
      <c r="F2" s="69"/>
      <c r="G2" s="69"/>
      <c r="H2" s="69"/>
      <c r="I2" s="161"/>
    </row>
    <row r="3" spans="2:9" x14ac:dyDescent="0.2">
      <c r="B3" s="69"/>
      <c r="C3" s="69"/>
      <c r="D3" s="69"/>
      <c r="E3" s="69"/>
      <c r="F3" s="69"/>
      <c r="G3" s="69"/>
      <c r="H3" s="69"/>
      <c r="I3" s="135"/>
    </row>
    <row r="4" spans="2:9" x14ac:dyDescent="0.2">
      <c r="B4" s="185" t="s">
        <v>1</v>
      </c>
      <c r="C4" s="75"/>
      <c r="D4" s="75"/>
      <c r="E4" s="75"/>
      <c r="F4" s="75"/>
      <c r="G4" s="75"/>
      <c r="H4" s="75"/>
      <c r="I4" s="75"/>
    </row>
    <row r="5" spans="2:9" x14ac:dyDescent="0.2">
      <c r="B5" s="76"/>
      <c r="C5" s="186"/>
      <c r="D5" s="186"/>
      <c r="E5" s="186"/>
      <c r="F5" s="186"/>
      <c r="G5" s="186"/>
      <c r="H5" s="186"/>
      <c r="I5" s="186"/>
    </row>
    <row r="6" spans="2:9" x14ac:dyDescent="0.2">
      <c r="B6" s="149"/>
      <c r="C6" s="149"/>
      <c r="D6" s="149"/>
      <c r="E6" s="149"/>
      <c r="F6" s="167" t="s">
        <v>142</v>
      </c>
      <c r="G6" s="149"/>
      <c r="H6" s="149"/>
      <c r="I6" s="149"/>
    </row>
    <row r="7" spans="2:9" x14ac:dyDescent="0.2">
      <c r="B7" s="150"/>
      <c r="C7" s="144"/>
      <c r="D7" s="144" t="s">
        <v>214</v>
      </c>
      <c r="E7" s="144" t="s">
        <v>215</v>
      </c>
      <c r="F7" s="144" t="s">
        <v>156</v>
      </c>
      <c r="G7" s="714" t="s">
        <v>632</v>
      </c>
      <c r="H7" s="144" t="s">
        <v>218</v>
      </c>
      <c r="I7" s="144" t="s">
        <v>218</v>
      </c>
    </row>
    <row r="8" spans="2:9" x14ac:dyDescent="0.2">
      <c r="B8" s="144" t="s">
        <v>413</v>
      </c>
      <c r="C8" s="144" t="s">
        <v>219</v>
      </c>
      <c r="D8" s="144" t="s">
        <v>220</v>
      </c>
      <c r="E8" s="144" t="s">
        <v>204</v>
      </c>
      <c r="F8" s="144" t="s">
        <v>221</v>
      </c>
      <c r="G8" s="714"/>
      <c r="H8" s="144" t="s">
        <v>222</v>
      </c>
      <c r="I8" s="144" t="s">
        <v>222</v>
      </c>
    </row>
    <row r="9" spans="2:9" x14ac:dyDescent="0.2">
      <c r="B9" s="147" t="s">
        <v>414</v>
      </c>
      <c r="C9" s="147" t="s">
        <v>201</v>
      </c>
      <c r="D9" s="187" t="s">
        <v>223</v>
      </c>
      <c r="E9" s="147" t="s">
        <v>180</v>
      </c>
      <c r="F9" s="187" t="s">
        <v>23</v>
      </c>
      <c r="G9" s="188" t="str">
        <f>CONCATENATE(,I1-1,"")</f>
        <v>2024</v>
      </c>
      <c r="H9" s="147">
        <f>I1-1</f>
        <v>2024</v>
      </c>
      <c r="I9" s="147">
        <f>I1</f>
        <v>2025</v>
      </c>
    </row>
    <row r="10" spans="2:9" x14ac:dyDescent="0.2">
      <c r="B10" s="85"/>
      <c r="C10" s="189"/>
      <c r="D10" s="190"/>
      <c r="E10" s="191"/>
      <c r="F10" s="192"/>
      <c r="G10" s="192"/>
      <c r="H10" s="192"/>
      <c r="I10" s="192"/>
    </row>
    <row r="11" spans="2:9" x14ac:dyDescent="0.2">
      <c r="B11" s="85"/>
      <c r="C11" s="307"/>
      <c r="D11" s="190"/>
      <c r="E11" s="191"/>
      <c r="F11" s="192"/>
      <c r="G11" s="192"/>
      <c r="H11" s="192"/>
      <c r="I11" s="192"/>
    </row>
    <row r="12" spans="2:9" x14ac:dyDescent="0.2">
      <c r="B12" s="85"/>
      <c r="C12" s="189"/>
      <c r="D12" s="190"/>
      <c r="E12" s="191"/>
      <c r="F12" s="192"/>
      <c r="G12" s="192"/>
      <c r="H12" s="192"/>
      <c r="I12" s="192"/>
    </row>
    <row r="13" spans="2:9" x14ac:dyDescent="0.2">
      <c r="B13" s="85"/>
      <c r="C13" s="189"/>
      <c r="D13" s="190"/>
      <c r="E13" s="191"/>
      <c r="F13" s="192"/>
      <c r="G13" s="192"/>
      <c r="H13" s="192"/>
      <c r="I13" s="192"/>
    </row>
    <row r="14" spans="2:9" x14ac:dyDescent="0.2">
      <c r="B14" s="85"/>
      <c r="C14" s="189"/>
      <c r="D14" s="190"/>
      <c r="E14" s="191"/>
      <c r="F14" s="192"/>
      <c r="G14" s="192"/>
      <c r="H14" s="192"/>
      <c r="I14" s="192"/>
    </row>
    <row r="15" spans="2:9" x14ac:dyDescent="0.2">
      <c r="B15" s="85"/>
      <c r="C15" s="189"/>
      <c r="D15" s="190"/>
      <c r="E15" s="191"/>
      <c r="F15" s="192"/>
      <c r="G15" s="192"/>
      <c r="H15" s="192"/>
      <c r="I15" s="192"/>
    </row>
    <row r="16" spans="2:9" x14ac:dyDescent="0.2">
      <c r="B16" s="85"/>
      <c r="C16" s="189"/>
      <c r="D16" s="190"/>
      <c r="E16" s="191"/>
      <c r="F16" s="192"/>
      <c r="G16" s="192"/>
      <c r="H16" s="192"/>
      <c r="I16" s="192"/>
    </row>
    <row r="17" spans="2:9" x14ac:dyDescent="0.2">
      <c r="B17" s="85"/>
      <c r="C17" s="189"/>
      <c r="D17" s="190"/>
      <c r="E17" s="191"/>
      <c r="F17" s="192"/>
      <c r="G17" s="192"/>
      <c r="H17" s="192"/>
      <c r="I17" s="192"/>
    </row>
    <row r="18" spans="2:9" x14ac:dyDescent="0.2">
      <c r="B18" s="85"/>
      <c r="C18" s="189"/>
      <c r="D18" s="190"/>
      <c r="E18" s="191"/>
      <c r="F18" s="192"/>
      <c r="G18" s="192"/>
      <c r="H18" s="192"/>
      <c r="I18" s="192"/>
    </row>
    <row r="19" spans="2:9" x14ac:dyDescent="0.2">
      <c r="B19" s="85"/>
      <c r="C19" s="189"/>
      <c r="D19" s="190"/>
      <c r="E19" s="191"/>
      <c r="F19" s="192"/>
      <c r="G19" s="192"/>
      <c r="H19" s="192"/>
      <c r="I19" s="192"/>
    </row>
    <row r="20" spans="2:9" x14ac:dyDescent="0.2">
      <c r="B20" s="85"/>
      <c r="C20" s="189"/>
      <c r="D20" s="190"/>
      <c r="E20" s="191"/>
      <c r="F20" s="192"/>
      <c r="G20" s="192"/>
      <c r="H20" s="192"/>
      <c r="I20" s="192"/>
    </row>
    <row r="21" spans="2:9" x14ac:dyDescent="0.2">
      <c r="B21" s="85"/>
      <c r="C21" s="189"/>
      <c r="D21" s="190"/>
      <c r="E21" s="191"/>
      <c r="F21" s="192"/>
      <c r="G21" s="192"/>
      <c r="H21" s="192"/>
      <c r="I21" s="192"/>
    </row>
    <row r="22" spans="2:9" x14ac:dyDescent="0.2">
      <c r="B22" s="85"/>
      <c r="C22" s="189"/>
      <c r="D22" s="190"/>
      <c r="E22" s="191"/>
      <c r="F22" s="192"/>
      <c r="G22" s="192"/>
      <c r="H22" s="192"/>
      <c r="I22" s="192"/>
    </row>
    <row r="23" spans="2:9" x14ac:dyDescent="0.2">
      <c r="B23" s="85"/>
      <c r="C23" s="189"/>
      <c r="D23" s="190"/>
      <c r="E23" s="191"/>
      <c r="F23" s="192"/>
      <c r="G23" s="192"/>
      <c r="H23" s="192"/>
      <c r="I23" s="192"/>
    </row>
    <row r="24" spans="2:9" x14ac:dyDescent="0.2">
      <c r="B24" s="85"/>
      <c r="C24" s="189"/>
      <c r="D24" s="190"/>
      <c r="E24" s="191"/>
      <c r="F24" s="192"/>
      <c r="G24" s="192"/>
      <c r="H24" s="192"/>
      <c r="I24" s="192"/>
    </row>
    <row r="25" spans="2:9" x14ac:dyDescent="0.2">
      <c r="B25" s="85"/>
      <c r="C25" s="189"/>
      <c r="D25" s="190"/>
      <c r="E25" s="191"/>
      <c r="F25" s="192"/>
      <c r="G25" s="192"/>
      <c r="H25" s="192"/>
      <c r="I25" s="192"/>
    </row>
    <row r="26" spans="2:9" x14ac:dyDescent="0.2">
      <c r="B26" s="85"/>
      <c r="C26" s="189"/>
      <c r="D26" s="190"/>
      <c r="E26" s="191"/>
      <c r="F26" s="192"/>
      <c r="G26" s="192"/>
      <c r="H26" s="192"/>
      <c r="I26" s="192"/>
    </row>
    <row r="27" spans="2:9" x14ac:dyDescent="0.2">
      <c r="B27" s="85"/>
      <c r="C27" s="189"/>
      <c r="D27" s="190"/>
      <c r="E27" s="191"/>
      <c r="F27" s="192"/>
      <c r="G27" s="192"/>
      <c r="H27" s="192"/>
      <c r="I27" s="192"/>
    </row>
    <row r="28" spans="2:9" ht="16.5" thickBot="1" x14ac:dyDescent="0.25">
      <c r="B28" s="193"/>
      <c r="C28" s="121"/>
      <c r="D28" s="121"/>
      <c r="E28" s="121"/>
      <c r="F28" s="421" t="s">
        <v>151</v>
      </c>
      <c r="G28" s="194">
        <f>SUM(G10:G27)</f>
        <v>0</v>
      </c>
      <c r="H28" s="194">
        <f>SUM(H10:H27)</f>
        <v>0</v>
      </c>
      <c r="I28" s="194">
        <f>SUM(I10:I27)</f>
        <v>0</v>
      </c>
    </row>
    <row r="29" spans="2:9" ht="16.5" thickTop="1" x14ac:dyDescent="0.2">
      <c r="B29" s="69"/>
      <c r="C29" s="69"/>
      <c r="D29" s="69"/>
      <c r="E29" s="69"/>
      <c r="F29" s="69"/>
      <c r="G29" s="69"/>
      <c r="H29" s="89"/>
      <c r="I29" s="89"/>
    </row>
    <row r="30" spans="2:9" x14ac:dyDescent="0.2">
      <c r="B30" s="632" t="s">
        <v>633</v>
      </c>
      <c r="C30" s="123"/>
      <c r="D30" s="123"/>
      <c r="E30" s="123"/>
      <c r="F30" s="123"/>
      <c r="G30" s="123"/>
      <c r="H30" s="89"/>
      <c r="I30" s="89"/>
    </row>
  </sheetData>
  <sheetProtection sheet="1"/>
  <mergeCells count="1">
    <mergeCell ref="G7:G8"/>
  </mergeCells>
  <phoneticPr fontId="0" type="noConversion"/>
  <pageMargins left="0.75" right="0.25" top="1" bottom="0.5" header="0.5" footer="0.5"/>
  <pageSetup scale="85" orientation="landscape" blackAndWhite="1" horizontalDpi="120" verticalDpi="144" r:id="rId1"/>
  <headerFooter alignWithMargins="0">
    <oddHeader>&amp;RState of Kansas
City</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I106"/>
  <sheetViews>
    <sheetView zoomScaleNormal="100" workbookViewId="0"/>
  </sheetViews>
  <sheetFormatPr defaultColWidth="8.88671875" defaultRowHeight="15" x14ac:dyDescent="0.2"/>
  <cols>
    <col min="1" max="1" width="2.5546875" style="399" customWidth="1"/>
    <col min="2" max="4" width="8.88671875" style="399"/>
    <col min="5" max="5" width="9.6640625" style="399" customWidth="1"/>
    <col min="6" max="6" width="8.88671875" style="399"/>
    <col min="7" max="7" width="9.6640625" style="399" customWidth="1"/>
    <col min="8" max="16384" width="8.88671875" style="399"/>
  </cols>
  <sheetData>
    <row r="1" spans="2:9" ht="15.75" x14ac:dyDescent="0.25">
      <c r="B1" s="398"/>
      <c r="C1" s="398"/>
      <c r="D1" s="398"/>
      <c r="E1" s="398"/>
      <c r="F1" s="398"/>
      <c r="G1" s="398"/>
      <c r="H1" s="398"/>
      <c r="I1" s="398"/>
    </row>
    <row r="2" spans="2:9" ht="15.75" x14ac:dyDescent="0.2">
      <c r="B2" s="778" t="s">
        <v>363</v>
      </c>
      <c r="C2" s="778"/>
      <c r="D2" s="778"/>
      <c r="E2" s="778"/>
      <c r="F2" s="778"/>
      <c r="G2" s="778"/>
      <c r="H2" s="778"/>
      <c r="I2" s="778"/>
    </row>
    <row r="3" spans="2:9" ht="15.75" x14ac:dyDescent="0.2">
      <c r="B3" s="778" t="s">
        <v>364</v>
      </c>
      <c r="C3" s="778"/>
      <c r="D3" s="778"/>
      <c r="E3" s="778"/>
      <c r="F3" s="778"/>
      <c r="G3" s="778"/>
      <c r="H3" s="778"/>
      <c r="I3" s="778"/>
    </row>
    <row r="4" spans="2:9" ht="15.75" x14ac:dyDescent="0.2">
      <c r="B4" s="400"/>
      <c r="C4" s="400"/>
      <c r="D4" s="400"/>
      <c r="E4" s="400"/>
      <c r="F4" s="400"/>
      <c r="G4" s="400"/>
      <c r="H4" s="400"/>
      <c r="I4" s="400"/>
    </row>
    <row r="5" spans="2:9" ht="15.75" x14ac:dyDescent="0.2">
      <c r="B5" s="779" t="str">
        <f>CONCATENATE("Budgeted Year: ",inputPrYr!C10,"")</f>
        <v>Budgeted Year: 2025</v>
      </c>
      <c r="C5" s="779"/>
      <c r="D5" s="779"/>
      <c r="E5" s="779"/>
      <c r="F5" s="779"/>
      <c r="G5" s="779"/>
      <c r="H5" s="779"/>
      <c r="I5" s="779"/>
    </row>
    <row r="6" spans="2:9" ht="15.75" x14ac:dyDescent="0.2">
      <c r="B6" s="401"/>
      <c r="C6" s="400"/>
      <c r="D6" s="400"/>
      <c r="E6" s="400"/>
      <c r="F6" s="400"/>
      <c r="G6" s="400"/>
      <c r="H6" s="400"/>
      <c r="I6" s="400"/>
    </row>
    <row r="7" spans="2:9" ht="15.75" x14ac:dyDescent="0.2">
      <c r="B7" s="401" t="str">
        <f>CONCATENATE("Library found in: ",inputPrYr!D3,"")</f>
        <v xml:space="preserve">Library found in: </v>
      </c>
      <c r="C7" s="400"/>
      <c r="D7" s="400"/>
      <c r="E7" s="400"/>
      <c r="F7" s="400"/>
      <c r="G7" s="400"/>
      <c r="H7" s="400"/>
      <c r="I7" s="400"/>
    </row>
    <row r="8" spans="2:9" ht="15.75" x14ac:dyDescent="0.2">
      <c r="B8" s="401">
        <f>inputPrYr!D4</f>
        <v>0</v>
      </c>
      <c r="C8" s="400"/>
      <c r="D8" s="400"/>
      <c r="E8" s="400"/>
      <c r="F8" s="400"/>
      <c r="G8" s="400"/>
      <c r="H8" s="400"/>
      <c r="I8" s="400"/>
    </row>
    <row r="9" spans="2:9" ht="15.75" x14ac:dyDescent="0.2">
      <c r="B9" s="400"/>
      <c r="C9" s="400"/>
      <c r="D9" s="400"/>
      <c r="E9" s="400"/>
      <c r="F9" s="400"/>
      <c r="G9" s="400"/>
      <c r="H9" s="400"/>
      <c r="I9" s="400"/>
    </row>
    <row r="10" spans="2:9" ht="39" customHeight="1" x14ac:dyDescent="0.2">
      <c r="B10" s="780" t="s">
        <v>634</v>
      </c>
      <c r="C10" s="780"/>
      <c r="D10" s="780"/>
      <c r="E10" s="780"/>
      <c r="F10" s="780"/>
      <c r="G10" s="780"/>
      <c r="H10" s="780"/>
      <c r="I10" s="780"/>
    </row>
    <row r="11" spans="2:9" ht="15.75" x14ac:dyDescent="0.2">
      <c r="B11" s="400"/>
      <c r="C11" s="400"/>
      <c r="D11" s="400"/>
      <c r="E11" s="400"/>
      <c r="F11" s="400"/>
      <c r="G11" s="400"/>
      <c r="H11" s="400"/>
      <c r="I11" s="400"/>
    </row>
    <row r="12" spans="2:9" ht="15.75" x14ac:dyDescent="0.2">
      <c r="B12" s="402" t="s">
        <v>365</v>
      </c>
      <c r="C12" s="400"/>
      <c r="D12" s="400"/>
      <c r="E12" s="400"/>
      <c r="F12" s="400"/>
      <c r="G12" s="400"/>
      <c r="H12" s="400"/>
      <c r="I12" s="400"/>
    </row>
    <row r="13" spans="2:9" ht="15.75" x14ac:dyDescent="0.2">
      <c r="B13" s="400"/>
      <c r="C13" s="400"/>
      <c r="D13" s="400"/>
      <c r="E13" s="403" t="s">
        <v>360</v>
      </c>
      <c r="F13" s="400"/>
      <c r="G13" s="403" t="s">
        <v>366</v>
      </c>
      <c r="H13" s="400"/>
      <c r="I13" s="400"/>
    </row>
    <row r="14" spans="2:9" ht="15.75" x14ac:dyDescent="0.2">
      <c r="B14" s="400"/>
      <c r="C14" s="400"/>
      <c r="D14" s="400"/>
      <c r="E14" s="404">
        <f>inputPrYr!C10-1</f>
        <v>2024</v>
      </c>
      <c r="F14" s="400"/>
      <c r="G14" s="404">
        <f>inputPrYr!C10</f>
        <v>2025</v>
      </c>
      <c r="H14" s="400"/>
      <c r="I14" s="400"/>
    </row>
    <row r="15" spans="2:9" ht="15.75" x14ac:dyDescent="0.2">
      <c r="B15" s="401" t="str">
        <f>'DebtSvs Library'!B47</f>
        <v>Ad Valorem Tax</v>
      </c>
      <c r="C15" s="400"/>
      <c r="D15" s="400"/>
      <c r="E15" s="405">
        <f>'DebtSvs Library'!D47</f>
        <v>0</v>
      </c>
      <c r="F15" s="400"/>
      <c r="G15" s="405">
        <f>'DebtSvs Library'!E80</f>
        <v>0</v>
      </c>
      <c r="H15" s="400"/>
      <c r="I15" s="400"/>
    </row>
    <row r="16" spans="2:9" ht="15.75" x14ac:dyDescent="0.2">
      <c r="B16" s="401" t="str">
        <f>'DebtSvs Library'!B48</f>
        <v>Delinquent Tax</v>
      </c>
      <c r="C16" s="400"/>
      <c r="D16" s="400"/>
      <c r="E16" s="405">
        <f>'DebtSvs Library'!D49</f>
        <v>0</v>
      </c>
      <c r="F16" s="400"/>
      <c r="G16" s="405">
        <f>'DebtSvs Library'!E48</f>
        <v>0</v>
      </c>
      <c r="H16" s="400"/>
      <c r="I16" s="400"/>
    </row>
    <row r="17" spans="2:9" ht="15.75" x14ac:dyDescent="0.2">
      <c r="B17" s="401" t="str">
        <f>'DebtSvs Library'!B49</f>
        <v>Motor Vehicle Tax</v>
      </c>
      <c r="C17" s="400"/>
      <c r="D17" s="400"/>
      <c r="E17" s="405">
        <f>'DebtSvs Library'!D50</f>
        <v>0</v>
      </c>
      <c r="F17" s="400"/>
      <c r="G17" s="405" t="str">
        <f>'DebtSvs Library'!E49</f>
        <v xml:space="preserve">  </v>
      </c>
      <c r="H17" s="400"/>
      <c r="I17" s="400"/>
    </row>
    <row r="18" spans="2:9" ht="15.75" x14ac:dyDescent="0.2">
      <c r="B18" s="401" t="str">
        <f>'DebtSvs Library'!B50</f>
        <v>Recreational Vehicle Tax</v>
      </c>
      <c r="C18" s="400"/>
      <c r="D18" s="400"/>
      <c r="E18" s="405">
        <f>'DebtSvs Library'!D51</f>
        <v>0</v>
      </c>
      <c r="F18" s="400"/>
      <c r="G18" s="405" t="str">
        <f>'DebtSvs Library'!E50</f>
        <v xml:space="preserve"> </v>
      </c>
      <c r="H18" s="400"/>
      <c r="I18" s="400"/>
    </row>
    <row r="19" spans="2:9" ht="15.75" x14ac:dyDescent="0.2">
      <c r="B19" s="401" t="str">
        <f>'DebtSvs Library'!B51</f>
        <v>16/20M Vehicle Tax</v>
      </c>
      <c r="C19" s="400"/>
      <c r="D19" s="400"/>
      <c r="E19" s="405">
        <f>'DebtSvs Library'!D54</f>
        <v>0</v>
      </c>
      <c r="F19" s="400"/>
      <c r="G19" s="405" t="str">
        <f>'DebtSvs Library'!E51</f>
        <v xml:space="preserve"> </v>
      </c>
      <c r="H19" s="400"/>
      <c r="I19" s="400"/>
    </row>
    <row r="20" spans="2:9" ht="15.75" x14ac:dyDescent="0.2">
      <c r="B20" s="400" t="s">
        <v>367</v>
      </c>
      <c r="C20" s="400"/>
      <c r="D20" s="400"/>
      <c r="E20" s="406">
        <f>SUM(E15:E19)</f>
        <v>0</v>
      </c>
      <c r="F20" s="400"/>
      <c r="G20" s="406">
        <f>SUM(G15:G19)</f>
        <v>0</v>
      </c>
      <c r="H20" s="400"/>
      <c r="I20" s="400"/>
    </row>
    <row r="21" spans="2:9" ht="15.75" x14ac:dyDescent="0.2">
      <c r="B21" s="400" t="s">
        <v>368</v>
      </c>
      <c r="C21" s="400"/>
      <c r="D21" s="400"/>
      <c r="E21" s="407">
        <f>G20-E20</f>
        <v>0</v>
      </c>
      <c r="F21" s="400"/>
      <c r="G21" s="405"/>
      <c r="H21" s="400"/>
      <c r="I21" s="400"/>
    </row>
    <row r="22" spans="2:9" ht="15.75" x14ac:dyDescent="0.2">
      <c r="B22" s="400" t="s">
        <v>369</v>
      </c>
      <c r="C22" s="400"/>
      <c r="D22" s="408" t="str">
        <f>IF((G20-E20)&gt;=0,"Qualify","Not Qualify")</f>
        <v>Qualify</v>
      </c>
      <c r="E22" s="400"/>
      <c r="F22" s="400"/>
      <c r="G22" s="400"/>
      <c r="H22" s="400"/>
      <c r="I22" s="400"/>
    </row>
    <row r="23" spans="2:9" ht="15.75" x14ac:dyDescent="0.2">
      <c r="B23" s="400"/>
      <c r="C23" s="400"/>
      <c r="D23" s="400"/>
      <c r="E23" s="400"/>
      <c r="F23" s="400"/>
      <c r="G23" s="400"/>
      <c r="H23" s="400"/>
      <c r="I23" s="400"/>
    </row>
    <row r="24" spans="2:9" ht="15.75" x14ac:dyDescent="0.2">
      <c r="B24" s="402" t="s">
        <v>370</v>
      </c>
      <c r="C24" s="400"/>
      <c r="D24" s="400"/>
      <c r="E24" s="400"/>
      <c r="F24" s="400"/>
      <c r="G24" s="400"/>
      <c r="H24" s="400"/>
      <c r="I24" s="400"/>
    </row>
    <row r="25" spans="2:9" ht="15.75" x14ac:dyDescent="0.2">
      <c r="B25" s="400" t="s">
        <v>371</v>
      </c>
      <c r="C25" s="400"/>
      <c r="D25" s="400"/>
      <c r="E25" s="405">
        <f>'Budget Hearing Notice'!D62</f>
        <v>0</v>
      </c>
      <c r="F25" s="400"/>
      <c r="G25" s="405">
        <f>'Budget Hearing Notice'!F62</f>
        <v>0</v>
      </c>
      <c r="H25" s="400"/>
      <c r="I25" s="400"/>
    </row>
    <row r="26" spans="2:9" ht="15.75" x14ac:dyDescent="0.2">
      <c r="B26" s="400" t="s">
        <v>372</v>
      </c>
      <c r="C26" s="400"/>
      <c r="D26" s="400"/>
      <c r="E26" s="409" t="str">
        <f>IF(G25-E25&gt;=0,"No","Yes")</f>
        <v>No</v>
      </c>
      <c r="F26" s="400"/>
      <c r="G26" s="400"/>
      <c r="H26" s="400"/>
      <c r="I26" s="400"/>
    </row>
    <row r="27" spans="2:9" ht="15.75" x14ac:dyDescent="0.2">
      <c r="B27" s="400" t="s">
        <v>373</v>
      </c>
      <c r="C27" s="400"/>
      <c r="D27" s="400"/>
      <c r="E27" s="403" t="str">
        <f>'Budget Hearing Notice'!E21</f>
        <v xml:space="preserve">  </v>
      </c>
      <c r="F27" s="400"/>
      <c r="G27" s="410" t="str">
        <f>'Budget Hearing Notice'!H21</f>
        <v xml:space="preserve">  </v>
      </c>
      <c r="H27" s="400"/>
      <c r="I27" s="400"/>
    </row>
    <row r="28" spans="2:9" ht="15.75" x14ac:dyDescent="0.2">
      <c r="B28" s="400" t="s">
        <v>374</v>
      </c>
      <c r="C28" s="400"/>
      <c r="D28" s="400"/>
      <c r="E28" s="411" t="e">
        <f>G27-E27</f>
        <v>#VALUE!</v>
      </c>
      <c r="F28" s="400"/>
      <c r="G28" s="400"/>
      <c r="H28" s="400"/>
      <c r="I28" s="400"/>
    </row>
    <row r="29" spans="2:9" ht="15.75" x14ac:dyDescent="0.2">
      <c r="B29" s="400" t="s">
        <v>369</v>
      </c>
      <c r="C29" s="400"/>
      <c r="D29" s="412" t="e">
        <f>IF(E28&gt;=0,"Qualify","Not Qualify")</f>
        <v>#VALUE!</v>
      </c>
      <c r="E29" s="400"/>
      <c r="F29" s="400"/>
      <c r="G29" s="400"/>
      <c r="H29" s="400"/>
      <c r="I29" s="400"/>
    </row>
    <row r="30" spans="2:9" ht="15.75" x14ac:dyDescent="0.2">
      <c r="B30" s="400"/>
      <c r="C30" s="400"/>
      <c r="D30" s="400"/>
      <c r="E30" s="400"/>
      <c r="F30" s="400"/>
      <c r="G30" s="400"/>
      <c r="H30" s="400"/>
      <c r="I30" s="400"/>
    </row>
    <row r="31" spans="2:9" ht="15.75" x14ac:dyDescent="0.2">
      <c r="B31" s="400" t="s">
        <v>375</v>
      </c>
      <c r="C31" s="400"/>
      <c r="D31" s="400"/>
      <c r="E31" s="400"/>
      <c r="F31" s="413" t="str">
        <f>IF(D22="Not Qualify",IF(D29="Not Qualify",IF(D29="Not Qualify","Not Qualify","Qualify"),"Qualify"),"Qualify")</f>
        <v>Qualify</v>
      </c>
      <c r="G31" s="400"/>
      <c r="H31" s="400"/>
      <c r="I31" s="400"/>
    </row>
    <row r="32" spans="2:9" ht="15.75" x14ac:dyDescent="0.2">
      <c r="B32" s="400"/>
      <c r="C32" s="400"/>
      <c r="D32" s="400"/>
      <c r="E32" s="400"/>
      <c r="F32" s="400"/>
      <c r="G32" s="400"/>
      <c r="H32" s="400"/>
      <c r="I32" s="400"/>
    </row>
    <row r="33" spans="2:9" ht="15.75" x14ac:dyDescent="0.2">
      <c r="B33" s="400"/>
      <c r="C33" s="400"/>
      <c r="D33" s="400"/>
      <c r="E33" s="400"/>
      <c r="F33" s="400"/>
      <c r="G33" s="400"/>
      <c r="H33" s="400"/>
      <c r="I33" s="400"/>
    </row>
    <row r="34" spans="2:9" ht="15.75" x14ac:dyDescent="0.2">
      <c r="B34" s="780" t="s">
        <v>376</v>
      </c>
      <c r="C34" s="780"/>
      <c r="D34" s="780"/>
      <c r="E34" s="780"/>
      <c r="F34" s="780"/>
      <c r="G34" s="780"/>
      <c r="H34" s="780"/>
      <c r="I34" s="780"/>
    </row>
    <row r="35" spans="2:9" ht="37.5" customHeight="1" x14ac:dyDescent="0.2">
      <c r="B35" s="400"/>
      <c r="C35" s="400"/>
      <c r="D35" s="400"/>
      <c r="E35" s="400"/>
      <c r="F35" s="400"/>
      <c r="G35" s="400"/>
      <c r="H35" s="400"/>
      <c r="I35" s="400"/>
    </row>
    <row r="36" spans="2:9" ht="15.75" x14ac:dyDescent="0.2">
      <c r="B36" s="400"/>
      <c r="C36" s="400"/>
      <c r="D36" s="400"/>
      <c r="E36" s="400"/>
      <c r="F36" s="400"/>
      <c r="G36" s="400"/>
      <c r="H36" s="400"/>
      <c r="I36" s="400"/>
    </row>
    <row r="37" spans="2:9" ht="15.75" x14ac:dyDescent="0.2">
      <c r="B37" s="400"/>
      <c r="C37" s="400"/>
      <c r="D37" s="400"/>
      <c r="E37" s="400"/>
      <c r="F37" s="400"/>
      <c r="G37" s="400"/>
      <c r="H37" s="400"/>
      <c r="I37" s="400"/>
    </row>
    <row r="38" spans="2:9" ht="15.75" x14ac:dyDescent="0.2">
      <c r="B38" s="400"/>
      <c r="C38" s="400"/>
      <c r="D38" s="400"/>
      <c r="E38" s="414" t="s">
        <v>173</v>
      </c>
      <c r="F38" s="415">
        <v>6</v>
      </c>
      <c r="G38" s="400"/>
      <c r="H38" s="400"/>
      <c r="I38" s="400"/>
    </row>
    <row r="39" spans="2:9" ht="15.75" x14ac:dyDescent="0.2">
      <c r="B39" s="400"/>
      <c r="C39" s="400"/>
      <c r="D39" s="400"/>
      <c r="E39" s="400"/>
      <c r="F39" s="400"/>
      <c r="G39" s="400"/>
      <c r="H39" s="400"/>
      <c r="I39" s="400"/>
    </row>
    <row r="40" spans="2:9" ht="15.75" x14ac:dyDescent="0.2">
      <c r="B40" s="400"/>
      <c r="C40" s="400"/>
      <c r="D40" s="400"/>
      <c r="E40" s="400"/>
      <c r="F40" s="400"/>
      <c r="G40" s="400"/>
      <c r="H40" s="400"/>
      <c r="I40" s="400"/>
    </row>
    <row r="41" spans="2:9" ht="15.75" x14ac:dyDescent="0.25">
      <c r="B41" s="776" t="s">
        <v>377</v>
      </c>
      <c r="C41" s="777"/>
      <c r="D41" s="777"/>
      <c r="E41" s="777"/>
      <c r="F41" s="777"/>
      <c r="G41" s="777"/>
      <c r="H41" s="777"/>
      <c r="I41" s="777"/>
    </row>
    <row r="42" spans="2:9" ht="15.75" x14ac:dyDescent="0.2">
      <c r="B42" s="400"/>
      <c r="C42" s="400"/>
      <c r="D42" s="400"/>
      <c r="E42" s="400"/>
      <c r="F42" s="400"/>
      <c r="G42" s="400"/>
      <c r="H42" s="400"/>
      <c r="I42" s="400"/>
    </row>
    <row r="43" spans="2:9" ht="15.75" x14ac:dyDescent="0.25">
      <c r="B43" s="416" t="s">
        <v>378</v>
      </c>
      <c r="C43" s="400"/>
      <c r="D43" s="400"/>
      <c r="E43" s="400"/>
      <c r="F43" s="400"/>
      <c r="G43" s="400"/>
      <c r="H43" s="400"/>
      <c r="I43" s="400"/>
    </row>
    <row r="44" spans="2:9" ht="15.75" x14ac:dyDescent="0.25">
      <c r="B44" s="416" t="str">
        <f>CONCATENATE("sources in your ",G14," library fund is not equal to or greater than the amount from the same")</f>
        <v>sources in your 2025 library fund is not equal to or greater than the amount from the same</v>
      </c>
      <c r="C44" s="400"/>
      <c r="D44" s="400"/>
      <c r="E44" s="400"/>
      <c r="F44" s="400"/>
      <c r="G44" s="400"/>
      <c r="H44" s="400"/>
      <c r="I44" s="400"/>
    </row>
    <row r="45" spans="2:9" ht="15.75" x14ac:dyDescent="0.25">
      <c r="B45" s="416" t="str">
        <f>CONCATENATE("sources in ",E14,".")</f>
        <v>sources in 2024.</v>
      </c>
      <c r="C45" s="398"/>
      <c r="D45" s="398"/>
      <c r="E45" s="398"/>
      <c r="F45" s="398"/>
      <c r="G45" s="398"/>
      <c r="H45" s="398"/>
      <c r="I45" s="398"/>
    </row>
    <row r="46" spans="2:9" ht="15.75" x14ac:dyDescent="0.25">
      <c r="B46" s="398"/>
      <c r="C46" s="398"/>
      <c r="D46" s="398"/>
      <c r="E46" s="398"/>
      <c r="F46" s="398"/>
      <c r="G46" s="398"/>
      <c r="H46" s="398"/>
      <c r="I46" s="398"/>
    </row>
    <row r="47" spans="2:9" ht="15.75" x14ac:dyDescent="0.25">
      <c r="B47" s="416" t="s">
        <v>379</v>
      </c>
      <c r="C47" s="416"/>
      <c r="D47" s="417"/>
      <c r="E47" s="417"/>
      <c r="F47" s="417"/>
      <c r="G47" s="417"/>
      <c r="H47" s="417"/>
      <c r="I47" s="417"/>
    </row>
    <row r="48" spans="2:9" ht="15.75" x14ac:dyDescent="0.25">
      <c r="B48" s="416" t="s">
        <v>380</v>
      </c>
      <c r="C48" s="416"/>
      <c r="D48" s="417"/>
      <c r="E48" s="417"/>
      <c r="F48" s="417"/>
      <c r="G48" s="417"/>
      <c r="H48" s="417"/>
      <c r="I48" s="417"/>
    </row>
    <row r="49" spans="2:9" ht="15.75" x14ac:dyDescent="0.25">
      <c r="B49" s="416" t="s">
        <v>381</v>
      </c>
      <c r="C49" s="416"/>
      <c r="D49" s="417"/>
      <c r="E49" s="417"/>
      <c r="F49" s="417"/>
      <c r="G49" s="417"/>
      <c r="H49" s="417"/>
      <c r="I49" s="417"/>
    </row>
    <row r="50" spans="2:9" x14ac:dyDescent="0.2">
      <c r="B50" s="417"/>
      <c r="C50" s="417"/>
      <c r="D50" s="417"/>
      <c r="E50" s="417"/>
      <c r="F50" s="417"/>
      <c r="G50" s="417"/>
      <c r="H50" s="417"/>
      <c r="I50" s="417"/>
    </row>
    <row r="51" spans="2:9" ht="15.75" x14ac:dyDescent="0.25">
      <c r="B51" s="418" t="s">
        <v>382</v>
      </c>
      <c r="C51" s="417"/>
      <c r="D51" s="417"/>
      <c r="E51" s="417"/>
      <c r="F51" s="417"/>
      <c r="G51" s="417"/>
      <c r="H51" s="417"/>
      <c r="I51" s="417"/>
    </row>
    <row r="52" spans="2:9" x14ac:dyDescent="0.2">
      <c r="B52" s="417"/>
      <c r="C52" s="417"/>
      <c r="D52" s="417"/>
      <c r="E52" s="417"/>
      <c r="F52" s="417"/>
      <c r="G52" s="417"/>
      <c r="H52" s="417"/>
      <c r="I52" s="417"/>
    </row>
    <row r="53" spans="2:9" ht="15.75" x14ac:dyDescent="0.25">
      <c r="B53" s="416" t="s">
        <v>383</v>
      </c>
      <c r="C53" s="417"/>
      <c r="D53" s="417"/>
      <c r="E53" s="417"/>
      <c r="F53" s="417"/>
      <c r="G53" s="417"/>
      <c r="H53" s="417"/>
      <c r="I53" s="417"/>
    </row>
    <row r="54" spans="2:9" ht="15.75" x14ac:dyDescent="0.25">
      <c r="B54" s="416" t="s">
        <v>384</v>
      </c>
      <c r="C54" s="417"/>
      <c r="D54" s="417"/>
      <c r="E54" s="417"/>
      <c r="F54" s="417"/>
      <c r="G54" s="417"/>
      <c r="H54" s="417"/>
      <c r="I54" s="417"/>
    </row>
    <row r="55" spans="2:9" x14ac:dyDescent="0.2">
      <c r="B55" s="417"/>
      <c r="C55" s="417"/>
      <c r="D55" s="417"/>
      <c r="E55" s="417"/>
      <c r="F55" s="417"/>
      <c r="G55" s="417"/>
      <c r="H55" s="417"/>
      <c r="I55" s="417"/>
    </row>
    <row r="56" spans="2:9" ht="15.75" x14ac:dyDescent="0.25">
      <c r="B56" s="418" t="s">
        <v>385</v>
      </c>
      <c r="C56" s="416"/>
      <c r="D56" s="416"/>
      <c r="E56" s="416"/>
      <c r="F56" s="416"/>
      <c r="G56" s="417"/>
      <c r="H56" s="417"/>
      <c r="I56" s="417"/>
    </row>
    <row r="57" spans="2:9" ht="15.75" x14ac:dyDescent="0.25">
      <c r="B57" s="416"/>
      <c r="C57" s="416"/>
      <c r="D57" s="416"/>
      <c r="E57" s="416"/>
      <c r="F57" s="416"/>
      <c r="G57" s="417"/>
      <c r="H57" s="417"/>
      <c r="I57" s="417"/>
    </row>
    <row r="58" spans="2:9" ht="15.75" x14ac:dyDescent="0.25">
      <c r="B58" s="416" t="s">
        <v>386</v>
      </c>
      <c r="C58" s="416"/>
      <c r="D58" s="416"/>
      <c r="E58" s="416"/>
      <c r="F58" s="416"/>
      <c r="G58" s="417"/>
      <c r="H58" s="417"/>
      <c r="I58" s="417"/>
    </row>
    <row r="59" spans="2:9" ht="15.75" x14ac:dyDescent="0.25">
      <c r="B59" s="416" t="s">
        <v>387</v>
      </c>
      <c r="C59" s="416"/>
      <c r="D59" s="416"/>
      <c r="E59" s="416"/>
      <c r="F59" s="416"/>
      <c r="G59" s="417"/>
      <c r="H59" s="417"/>
      <c r="I59" s="417"/>
    </row>
    <row r="60" spans="2:9" ht="15.75" x14ac:dyDescent="0.25">
      <c r="B60" s="416" t="s">
        <v>388</v>
      </c>
      <c r="C60" s="416"/>
      <c r="D60" s="416"/>
      <c r="E60" s="416"/>
      <c r="F60" s="416"/>
      <c r="G60" s="417"/>
      <c r="H60" s="417"/>
      <c r="I60" s="417"/>
    </row>
    <row r="61" spans="2:9" ht="15.75" x14ac:dyDescent="0.25">
      <c r="B61" s="416" t="s">
        <v>389</v>
      </c>
      <c r="C61" s="416"/>
      <c r="D61" s="416"/>
      <c r="E61" s="416"/>
      <c r="F61" s="416"/>
      <c r="G61" s="417"/>
      <c r="H61" s="417"/>
      <c r="I61" s="417"/>
    </row>
    <row r="62" spans="2:9" x14ac:dyDescent="0.2">
      <c r="B62" s="419"/>
      <c r="C62" s="419"/>
      <c r="D62" s="419"/>
      <c r="E62" s="419"/>
      <c r="F62" s="419"/>
      <c r="G62" s="417"/>
      <c r="H62" s="417"/>
      <c r="I62" s="417"/>
    </row>
    <row r="63" spans="2:9" ht="15.75" x14ac:dyDescent="0.25">
      <c r="B63" s="416" t="s">
        <v>390</v>
      </c>
      <c r="C63" s="419"/>
      <c r="D63" s="419"/>
      <c r="E63" s="419"/>
      <c r="F63" s="419"/>
      <c r="G63" s="417"/>
      <c r="H63" s="417"/>
      <c r="I63" s="417"/>
    </row>
    <row r="64" spans="2:9" ht="15.75" x14ac:dyDescent="0.25">
      <c r="B64" s="416" t="s">
        <v>391</v>
      </c>
      <c r="C64" s="419"/>
      <c r="D64" s="419"/>
      <c r="E64" s="419"/>
      <c r="F64" s="419"/>
      <c r="G64" s="417"/>
      <c r="H64" s="417"/>
      <c r="I64" s="417"/>
    </row>
    <row r="65" spans="2:9" x14ac:dyDescent="0.2">
      <c r="B65" s="419"/>
      <c r="C65" s="419"/>
      <c r="D65" s="419"/>
      <c r="E65" s="419"/>
      <c r="F65" s="419"/>
      <c r="G65" s="417"/>
      <c r="H65" s="417"/>
      <c r="I65" s="417"/>
    </row>
    <row r="66" spans="2:9" ht="15.75" x14ac:dyDescent="0.25">
      <c r="B66" s="416" t="s">
        <v>392</v>
      </c>
      <c r="C66" s="419"/>
      <c r="D66" s="419"/>
      <c r="E66" s="419"/>
      <c r="F66" s="419"/>
      <c r="G66" s="417"/>
      <c r="H66" s="417"/>
      <c r="I66" s="417"/>
    </row>
    <row r="67" spans="2:9" ht="15.75" x14ac:dyDescent="0.25">
      <c r="B67" s="416" t="s">
        <v>393</v>
      </c>
      <c r="C67" s="419"/>
      <c r="D67" s="419"/>
      <c r="E67" s="419"/>
      <c r="F67" s="419"/>
      <c r="G67" s="417"/>
      <c r="H67" s="417"/>
      <c r="I67" s="417"/>
    </row>
    <row r="68" spans="2:9" x14ac:dyDescent="0.2">
      <c r="B68" s="419"/>
      <c r="C68" s="419"/>
      <c r="D68" s="419"/>
      <c r="E68" s="419"/>
      <c r="F68" s="419"/>
      <c r="G68" s="417"/>
      <c r="H68" s="417"/>
      <c r="I68" s="417"/>
    </row>
    <row r="69" spans="2:9" ht="15.75" x14ac:dyDescent="0.25">
      <c r="B69" s="418" t="s">
        <v>394</v>
      </c>
      <c r="C69" s="419"/>
      <c r="D69" s="419"/>
      <c r="E69" s="419"/>
      <c r="F69" s="419"/>
      <c r="G69" s="417"/>
      <c r="H69" s="417"/>
      <c r="I69" s="417"/>
    </row>
    <row r="70" spans="2:9" x14ac:dyDescent="0.2">
      <c r="B70" s="419"/>
      <c r="C70" s="419"/>
      <c r="D70" s="419"/>
      <c r="E70" s="419"/>
      <c r="F70" s="419"/>
      <c r="G70" s="417"/>
      <c r="H70" s="417"/>
      <c r="I70" s="417"/>
    </row>
    <row r="71" spans="2:9" ht="15.75" x14ac:dyDescent="0.25">
      <c r="B71" s="416" t="s">
        <v>395</v>
      </c>
      <c r="C71" s="419"/>
      <c r="D71" s="419"/>
      <c r="E71" s="419"/>
      <c r="F71" s="419"/>
      <c r="G71" s="417"/>
      <c r="H71" s="417"/>
      <c r="I71" s="417"/>
    </row>
    <row r="72" spans="2:9" ht="15.75" x14ac:dyDescent="0.25">
      <c r="B72" s="416" t="s">
        <v>396</v>
      </c>
      <c r="C72" s="419"/>
      <c r="D72" s="419"/>
      <c r="E72" s="419"/>
      <c r="F72" s="419"/>
      <c r="G72" s="417"/>
      <c r="H72" s="417"/>
      <c r="I72" s="417"/>
    </row>
    <row r="73" spans="2:9" x14ac:dyDescent="0.2">
      <c r="B73" s="419"/>
      <c r="C73" s="419"/>
      <c r="D73" s="419"/>
      <c r="E73" s="419"/>
      <c r="F73" s="419"/>
      <c r="G73" s="417"/>
      <c r="H73" s="417"/>
      <c r="I73" s="417"/>
    </row>
    <row r="74" spans="2:9" ht="15.75" x14ac:dyDescent="0.25">
      <c r="B74" s="418" t="s">
        <v>397</v>
      </c>
      <c r="C74" s="419"/>
      <c r="D74" s="419"/>
      <c r="E74" s="419"/>
      <c r="F74" s="419"/>
      <c r="G74" s="417"/>
      <c r="H74" s="417"/>
      <c r="I74" s="417"/>
    </row>
    <row r="75" spans="2:9" x14ac:dyDescent="0.2">
      <c r="B75" s="419"/>
      <c r="C75" s="419"/>
      <c r="D75" s="419"/>
      <c r="E75" s="419"/>
      <c r="F75" s="419"/>
      <c r="G75" s="417"/>
      <c r="H75" s="417"/>
      <c r="I75" s="417"/>
    </row>
    <row r="76" spans="2:9" ht="15.75" x14ac:dyDescent="0.25">
      <c r="B76" s="416" t="str">
        <f>CONCATENATE("If the ",G14," municipal budget has not been published and has not been submitted to the County")</f>
        <v>If the 2025 municipal budget has not been published and has not been submitted to the County</v>
      </c>
      <c r="C76" s="419"/>
      <c r="D76" s="419"/>
      <c r="E76" s="419"/>
      <c r="F76" s="419"/>
      <c r="G76" s="417"/>
      <c r="H76" s="417"/>
      <c r="I76" s="417"/>
    </row>
    <row r="77" spans="2:9" ht="15.75" x14ac:dyDescent="0.25">
      <c r="B77" s="416" t="s">
        <v>398</v>
      </c>
      <c r="C77" s="419"/>
      <c r="D77" s="419"/>
      <c r="E77" s="419"/>
      <c r="F77" s="419"/>
      <c r="G77" s="417"/>
      <c r="H77" s="417"/>
      <c r="I77" s="417"/>
    </row>
    <row r="78" spans="2:9" x14ac:dyDescent="0.2">
      <c r="B78" s="419"/>
      <c r="C78" s="419"/>
      <c r="D78" s="419"/>
      <c r="E78" s="419"/>
      <c r="F78" s="419"/>
      <c r="G78" s="417"/>
      <c r="H78" s="417"/>
      <c r="I78" s="417"/>
    </row>
    <row r="79" spans="2:9" ht="15.75" x14ac:dyDescent="0.25">
      <c r="B79" s="418" t="s">
        <v>289</v>
      </c>
      <c r="C79" s="419"/>
      <c r="D79" s="419"/>
      <c r="E79" s="419"/>
      <c r="F79" s="419"/>
      <c r="G79" s="417"/>
      <c r="H79" s="417"/>
      <c r="I79" s="417"/>
    </row>
    <row r="80" spans="2:9" x14ac:dyDescent="0.2">
      <c r="B80" s="419"/>
      <c r="C80" s="419"/>
      <c r="D80" s="419"/>
      <c r="E80" s="419"/>
      <c r="F80" s="419"/>
      <c r="G80" s="417"/>
      <c r="H80" s="417"/>
      <c r="I80" s="417"/>
    </row>
    <row r="81" spans="2:9" ht="15.75" x14ac:dyDescent="0.25">
      <c r="B81" s="416" t="s">
        <v>399</v>
      </c>
      <c r="C81" s="419"/>
      <c r="D81" s="419"/>
      <c r="E81" s="419"/>
      <c r="F81" s="419"/>
      <c r="G81" s="417"/>
      <c r="H81" s="417"/>
      <c r="I81" s="417"/>
    </row>
    <row r="82" spans="2:9" ht="15.75" x14ac:dyDescent="0.25">
      <c r="B82" s="416" t="str">
        <f>CONCATENATE("Budget Year ",G14," is equal to or greater than that for Current Year Estimate ",E14,".")</f>
        <v>Budget Year 2025 is equal to or greater than that for Current Year Estimate 2024.</v>
      </c>
      <c r="C82" s="419"/>
      <c r="D82" s="419"/>
      <c r="E82" s="419"/>
      <c r="F82" s="419"/>
      <c r="G82" s="417"/>
      <c r="H82" s="417"/>
      <c r="I82" s="417"/>
    </row>
    <row r="83" spans="2:9" x14ac:dyDescent="0.2">
      <c r="B83" s="419"/>
      <c r="C83" s="419"/>
      <c r="D83" s="419"/>
      <c r="E83" s="419"/>
      <c r="F83" s="419"/>
      <c r="G83" s="417"/>
      <c r="H83" s="417"/>
      <c r="I83" s="417"/>
    </row>
    <row r="84" spans="2:9" ht="15.75" x14ac:dyDescent="0.25">
      <c r="B84" s="416" t="s">
        <v>400</v>
      </c>
      <c r="C84" s="419"/>
      <c r="D84" s="419"/>
      <c r="E84" s="419"/>
      <c r="F84" s="419"/>
      <c r="G84" s="417"/>
      <c r="H84" s="417"/>
      <c r="I84" s="417"/>
    </row>
    <row r="85" spans="2:9" ht="15.75" x14ac:dyDescent="0.25">
      <c r="B85" s="416" t="s">
        <v>401</v>
      </c>
      <c r="C85" s="419"/>
      <c r="D85" s="419"/>
      <c r="E85" s="419"/>
      <c r="F85" s="419"/>
      <c r="G85" s="417"/>
      <c r="H85" s="417"/>
      <c r="I85" s="417"/>
    </row>
    <row r="86" spans="2:9" ht="15.75" x14ac:dyDescent="0.25">
      <c r="B86" s="416" t="s">
        <v>402</v>
      </c>
      <c r="C86" s="419"/>
      <c r="D86" s="419"/>
      <c r="E86" s="419"/>
      <c r="F86" s="419"/>
      <c r="G86" s="417"/>
      <c r="H86" s="417"/>
      <c r="I86" s="417"/>
    </row>
    <row r="87" spans="2:9" ht="15.75" x14ac:dyDescent="0.25">
      <c r="B87" s="416" t="str">
        <f>CONCATENATE("purpose for the previous (",E14,") year.")</f>
        <v>purpose for the previous (2024) year.</v>
      </c>
      <c r="C87" s="419"/>
      <c r="D87" s="419"/>
      <c r="E87" s="419"/>
      <c r="F87" s="419"/>
      <c r="G87" s="417"/>
      <c r="H87" s="417"/>
      <c r="I87" s="417"/>
    </row>
    <row r="88" spans="2:9" x14ac:dyDescent="0.2">
      <c r="B88" s="419"/>
      <c r="C88" s="419"/>
      <c r="D88" s="419"/>
      <c r="E88" s="419"/>
      <c r="F88" s="419"/>
      <c r="G88" s="417"/>
      <c r="H88" s="417"/>
      <c r="I88" s="417"/>
    </row>
    <row r="89" spans="2:9" ht="15.75" x14ac:dyDescent="0.25">
      <c r="B89" s="416" t="str">
        <f>CONCATENATE("Next, look to see if delinquent tax for ",G14," is budgeted. Often this line is budgeted at $0 or left")</f>
        <v>Next, look to see if delinquent tax for 2025 is budgeted. Often this line is budgeted at $0 or left</v>
      </c>
      <c r="C89" s="419"/>
      <c r="D89" s="419"/>
      <c r="E89" s="419"/>
      <c r="F89" s="419"/>
      <c r="G89" s="417"/>
      <c r="H89" s="417"/>
      <c r="I89" s="417"/>
    </row>
    <row r="90" spans="2:9" ht="15.75" x14ac:dyDescent="0.25">
      <c r="B90" s="416" t="s">
        <v>403</v>
      </c>
      <c r="C90" s="419"/>
      <c r="D90" s="419"/>
      <c r="E90" s="419"/>
      <c r="F90" s="419"/>
      <c r="G90" s="417"/>
      <c r="H90" s="417"/>
      <c r="I90" s="417"/>
    </row>
    <row r="91" spans="2:9" ht="15.75" x14ac:dyDescent="0.25">
      <c r="B91" s="416" t="s">
        <v>404</v>
      </c>
      <c r="C91" s="419"/>
      <c r="D91" s="419"/>
      <c r="E91" s="419"/>
      <c r="F91" s="419"/>
      <c r="G91" s="417"/>
      <c r="H91" s="417"/>
      <c r="I91" s="417"/>
    </row>
    <row r="92" spans="2:9" ht="15.75" x14ac:dyDescent="0.25">
      <c r="B92" s="416" t="s">
        <v>405</v>
      </c>
      <c r="C92" s="419"/>
      <c r="D92" s="419"/>
      <c r="E92" s="419"/>
      <c r="F92" s="419"/>
      <c r="G92" s="417"/>
      <c r="H92" s="417"/>
      <c r="I92" s="417"/>
    </row>
    <row r="93" spans="2:9" x14ac:dyDescent="0.2">
      <c r="B93" s="419"/>
      <c r="C93" s="419"/>
      <c r="D93" s="419"/>
      <c r="E93" s="419"/>
      <c r="F93" s="419"/>
      <c r="G93" s="417"/>
      <c r="H93" s="417"/>
      <c r="I93" s="417"/>
    </row>
    <row r="94" spans="2:9" ht="15.75" x14ac:dyDescent="0.25">
      <c r="B94" s="418" t="s">
        <v>406</v>
      </c>
      <c r="C94" s="419"/>
      <c r="D94" s="419"/>
      <c r="E94" s="419"/>
      <c r="F94" s="419"/>
      <c r="G94" s="417"/>
      <c r="H94" s="417"/>
      <c r="I94" s="417"/>
    </row>
    <row r="95" spans="2:9" x14ac:dyDescent="0.2">
      <c r="B95" s="419"/>
      <c r="C95" s="419"/>
      <c r="D95" s="419"/>
      <c r="E95" s="419"/>
      <c r="F95" s="419"/>
      <c r="G95" s="417"/>
      <c r="H95" s="417"/>
      <c r="I95" s="417"/>
    </row>
    <row r="96" spans="2:9" ht="15.75" x14ac:dyDescent="0.25">
      <c r="B96" s="416" t="s">
        <v>407</v>
      </c>
      <c r="C96" s="419"/>
      <c r="D96" s="419"/>
      <c r="E96" s="419"/>
      <c r="F96" s="419"/>
      <c r="G96" s="417"/>
      <c r="H96" s="417"/>
      <c r="I96" s="417"/>
    </row>
    <row r="97" spans="2:9" ht="15.75" x14ac:dyDescent="0.25">
      <c r="B97" s="416" t="s">
        <v>408</v>
      </c>
      <c r="C97" s="419"/>
      <c r="D97" s="419"/>
      <c r="E97" s="419"/>
      <c r="F97" s="419"/>
      <c r="G97" s="417"/>
      <c r="H97" s="417"/>
      <c r="I97" s="417"/>
    </row>
    <row r="98" spans="2:9" x14ac:dyDescent="0.2">
      <c r="B98" s="419"/>
      <c r="C98" s="419"/>
      <c r="D98" s="419"/>
      <c r="E98" s="419"/>
      <c r="F98" s="419"/>
      <c r="G98" s="417"/>
      <c r="H98" s="417"/>
      <c r="I98" s="417"/>
    </row>
    <row r="99" spans="2:9" ht="15.75" x14ac:dyDescent="0.25">
      <c r="B99" s="416" t="s">
        <v>409</v>
      </c>
      <c r="C99" s="419"/>
      <c r="D99" s="419"/>
      <c r="E99" s="419"/>
      <c r="F99" s="419"/>
      <c r="G99" s="417"/>
      <c r="H99" s="417"/>
      <c r="I99" s="417"/>
    </row>
    <row r="100" spans="2:9" ht="15.75" x14ac:dyDescent="0.25">
      <c r="B100" s="416" t="s">
        <v>410</v>
      </c>
      <c r="C100" s="419"/>
      <c r="D100" s="419"/>
      <c r="E100" s="419"/>
      <c r="F100" s="419"/>
      <c r="G100" s="417"/>
      <c r="H100" s="417"/>
      <c r="I100" s="417"/>
    </row>
    <row r="101" spans="2:9" ht="15.75" x14ac:dyDescent="0.25">
      <c r="B101" s="416" t="s">
        <v>411</v>
      </c>
      <c r="C101" s="419"/>
      <c r="D101" s="419"/>
      <c r="E101" s="419"/>
      <c r="F101" s="419"/>
      <c r="G101" s="417"/>
      <c r="H101" s="417"/>
      <c r="I101" s="417"/>
    </row>
    <row r="102" spans="2:9" ht="15.75" x14ac:dyDescent="0.25">
      <c r="B102" s="416" t="s">
        <v>412</v>
      </c>
      <c r="C102" s="419"/>
      <c r="D102" s="419"/>
      <c r="E102" s="419"/>
      <c r="F102" s="419"/>
      <c r="G102" s="417"/>
      <c r="H102" s="417"/>
      <c r="I102" s="417"/>
    </row>
    <row r="103" spans="2:9" ht="15.75" x14ac:dyDescent="0.25">
      <c r="B103" s="523" t="s">
        <v>531</v>
      </c>
      <c r="C103" s="524"/>
      <c r="D103" s="524"/>
      <c r="E103" s="524"/>
      <c r="F103" s="524"/>
      <c r="G103" s="417"/>
      <c r="H103" s="417"/>
      <c r="I103" s="417"/>
    </row>
    <row r="106" spans="2:9" x14ac:dyDescent="0.2">
      <c r="G106" s="420"/>
    </row>
  </sheetData>
  <sheetProtection sheet="1" objects="1" scenarios="1"/>
  <mergeCells count="6">
    <mergeCell ref="B41:I41"/>
    <mergeCell ref="B2:I2"/>
    <mergeCell ref="B3:I3"/>
    <mergeCell ref="B5:I5"/>
    <mergeCell ref="B10:I10"/>
    <mergeCell ref="B34:I34"/>
  </mergeCells>
  <hyperlinks>
    <hyperlink ref="B103" r:id="rId1" xr:uid="{00000000-0004-0000-0B00-000000000000}"/>
  </hyperlinks>
  <pageMargins left="0.7" right="0.7" top="0.75" bottom="0.75" header="0.25" footer="0.25"/>
  <pageSetup scale="80" orientation="portrait" blackAndWhite="1" r:id="rId2"/>
  <rowBreaks count="1" manualBreakCount="1">
    <brk id="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pageSetUpPr fitToPage="1"/>
  </sheetPr>
  <dimension ref="B1:K147"/>
  <sheetViews>
    <sheetView zoomScaleNormal="100" workbookViewId="0">
      <selection activeCell="B17" sqref="B17"/>
    </sheetView>
  </sheetViews>
  <sheetFormatPr defaultColWidth="8.88671875" defaultRowHeight="15.75" x14ac:dyDescent="0.2"/>
  <cols>
    <col min="1" max="1" width="2.44140625" style="65" customWidth="1"/>
    <col min="2" max="2" width="31.109375" style="65" customWidth="1"/>
    <col min="3" max="4" width="15.77734375" style="65" customWidth="1"/>
    <col min="5" max="5" width="16.21875" style="65" customWidth="1"/>
    <col min="6" max="6" width="8.109375" style="65" customWidth="1"/>
    <col min="7" max="7" width="10.21875" style="65" customWidth="1"/>
    <col min="8" max="8" width="8.88671875" style="65" customWidth="1"/>
    <col min="9" max="9" width="5.6640625" style="65" customWidth="1"/>
    <col min="10" max="10" width="10" style="65" customWidth="1"/>
    <col min="11" max="16384" width="8.88671875" style="65"/>
  </cols>
  <sheetData>
    <row r="1" spans="2:11" x14ac:dyDescent="0.2">
      <c r="B1" s="89">
        <f>inputPrYr!D3</f>
        <v>0</v>
      </c>
      <c r="C1" s="69"/>
      <c r="D1" s="69"/>
      <c r="E1" s="135">
        <f>inputPrYr!C10</f>
        <v>2025</v>
      </c>
    </row>
    <row r="2" spans="2:11" x14ac:dyDescent="0.2">
      <c r="B2" s="69"/>
      <c r="C2" s="69"/>
      <c r="D2" s="69"/>
      <c r="E2" s="161"/>
    </row>
    <row r="3" spans="2:11" x14ac:dyDescent="0.2">
      <c r="B3" s="335" t="s">
        <v>5</v>
      </c>
      <c r="C3" s="276"/>
      <c r="D3" s="276"/>
      <c r="E3" s="276"/>
    </row>
    <row r="4" spans="2:11" x14ac:dyDescent="0.2">
      <c r="B4" s="164" t="s">
        <v>162</v>
      </c>
      <c r="C4" s="392" t="s">
        <v>359</v>
      </c>
      <c r="D4" s="393" t="s">
        <v>360</v>
      </c>
      <c r="E4" s="142" t="s">
        <v>361</v>
      </c>
    </row>
    <row r="5" spans="2:11" x14ac:dyDescent="0.2">
      <c r="B5" s="377" t="str">
        <f>inputPrYr!B22</f>
        <v>General</v>
      </c>
      <c r="C5" s="318" t="str">
        <f>CONCATENATE("Actual for ",E1-2,"")</f>
        <v>Actual for 2023</v>
      </c>
      <c r="D5" s="318" t="str">
        <f>CONCATENATE("Estimate for ",E1-1,"")</f>
        <v>Estimate for 2024</v>
      </c>
      <c r="E5" s="176" t="str">
        <f>CONCATENATE("Year for ",E1,"")</f>
        <v>Year for 2025</v>
      </c>
      <c r="K5" s="397"/>
    </row>
    <row r="6" spans="2:11" x14ac:dyDescent="0.2">
      <c r="B6" s="256" t="s">
        <v>18</v>
      </c>
      <c r="C6" s="311"/>
      <c r="D6" s="316">
        <f>C108</f>
        <v>0</v>
      </c>
      <c r="E6" s="243">
        <f>D108</f>
        <v>0</v>
      </c>
    </row>
    <row r="7" spans="2:11" x14ac:dyDescent="0.2">
      <c r="B7" s="257" t="s">
        <v>20</v>
      </c>
      <c r="C7" s="156"/>
      <c r="D7" s="156"/>
      <c r="E7" s="95"/>
    </row>
    <row r="8" spans="2:11" x14ac:dyDescent="0.2">
      <c r="B8" s="256" t="s">
        <v>163</v>
      </c>
      <c r="C8" s="311"/>
      <c r="D8" s="316">
        <f>IF(inputPrYr!H21&gt;0,inputPrYr!G22,inputPrYr!E22)</f>
        <v>0</v>
      </c>
      <c r="E8" s="277" t="s">
        <v>152</v>
      </c>
    </row>
    <row r="9" spans="2:11" x14ac:dyDescent="0.2">
      <c r="B9" s="256" t="s">
        <v>164</v>
      </c>
      <c r="C9" s="311"/>
      <c r="D9" s="311"/>
      <c r="E9" s="83"/>
    </row>
    <row r="10" spans="2:11" x14ac:dyDescent="0.2">
      <c r="B10" s="256" t="s">
        <v>165</v>
      </c>
      <c r="C10" s="311"/>
      <c r="D10" s="311"/>
      <c r="E10" s="243">
        <f>Mvalloc!D8</f>
        <v>0</v>
      </c>
    </row>
    <row r="11" spans="2:11" x14ac:dyDescent="0.2">
      <c r="B11" s="256" t="s">
        <v>166</v>
      </c>
      <c r="C11" s="311"/>
      <c r="D11" s="311"/>
      <c r="E11" s="243">
        <f>Mvalloc!E8</f>
        <v>0</v>
      </c>
    </row>
    <row r="12" spans="2:11" x14ac:dyDescent="0.2">
      <c r="B12" s="256" t="s">
        <v>12</v>
      </c>
      <c r="C12" s="311"/>
      <c r="D12" s="311"/>
      <c r="E12" s="243">
        <f>Mvalloc!F8</f>
        <v>0</v>
      </c>
    </row>
    <row r="13" spans="2:11" x14ac:dyDescent="0.2">
      <c r="B13" s="585" t="s">
        <v>503</v>
      </c>
      <c r="C13" s="311"/>
      <c r="D13" s="311"/>
      <c r="E13" s="243">
        <f>Mvalloc!G8</f>
        <v>0</v>
      </c>
    </row>
    <row r="14" spans="2:11" x14ac:dyDescent="0.2">
      <c r="B14" s="585" t="s">
        <v>504</v>
      </c>
      <c r="C14" s="311"/>
      <c r="D14" s="311"/>
      <c r="E14" s="243">
        <f>Mvalloc!H8</f>
        <v>0</v>
      </c>
    </row>
    <row r="15" spans="2:11" x14ac:dyDescent="0.2">
      <c r="B15" s="256" t="s">
        <v>13</v>
      </c>
      <c r="C15" s="311"/>
      <c r="D15" s="311"/>
      <c r="E15" s="243">
        <f>inputOth!E25</f>
        <v>0</v>
      </c>
    </row>
    <row r="16" spans="2:11" x14ac:dyDescent="0.2">
      <c r="B16" s="278" t="s">
        <v>169</v>
      </c>
      <c r="C16" s="311"/>
      <c r="D16" s="311"/>
      <c r="E16" s="83"/>
    </row>
    <row r="17" spans="2:5" x14ac:dyDescent="0.2">
      <c r="B17" s="278" t="s">
        <v>167</v>
      </c>
      <c r="C17" s="311"/>
      <c r="D17" s="311"/>
      <c r="E17" s="83"/>
    </row>
    <row r="18" spans="2:5" x14ac:dyDescent="0.2">
      <c r="B18" s="325" t="s">
        <v>336</v>
      </c>
      <c r="C18" s="311"/>
      <c r="D18" s="311"/>
      <c r="E18" s="83"/>
    </row>
    <row r="19" spans="2:5" x14ac:dyDescent="0.2">
      <c r="B19" s="325" t="s">
        <v>337</v>
      </c>
      <c r="C19" s="311"/>
      <c r="D19" s="311"/>
      <c r="E19" s="83"/>
    </row>
    <row r="20" spans="2:5" x14ac:dyDescent="0.2">
      <c r="B20" s="325"/>
      <c r="C20" s="311"/>
      <c r="D20" s="311"/>
      <c r="E20" s="83"/>
    </row>
    <row r="21" spans="2:5" x14ac:dyDescent="0.2">
      <c r="B21" s="278"/>
      <c r="C21" s="311"/>
      <c r="D21" s="311"/>
      <c r="E21" s="83"/>
    </row>
    <row r="22" spans="2:5" x14ac:dyDescent="0.2">
      <c r="B22" s="278"/>
      <c r="C22" s="311"/>
      <c r="D22" s="311"/>
      <c r="E22" s="83"/>
    </row>
    <row r="23" spans="2:5" x14ac:dyDescent="0.2">
      <c r="B23" s="278"/>
      <c r="C23" s="311"/>
      <c r="D23" s="311"/>
      <c r="E23" s="83"/>
    </row>
    <row r="24" spans="2:5" x14ac:dyDescent="0.2">
      <c r="B24" s="278"/>
      <c r="C24" s="311"/>
      <c r="D24" s="311"/>
      <c r="E24" s="83"/>
    </row>
    <row r="25" spans="2:5" x14ac:dyDescent="0.2">
      <c r="B25" s="278"/>
      <c r="C25" s="311"/>
      <c r="D25" s="311"/>
      <c r="E25" s="83"/>
    </row>
    <row r="26" spans="2:5" x14ac:dyDescent="0.2">
      <c r="B26" s="278"/>
      <c r="C26" s="311"/>
      <c r="D26" s="311"/>
      <c r="E26" s="83"/>
    </row>
    <row r="27" spans="2:5" x14ac:dyDescent="0.2">
      <c r="B27" s="278"/>
      <c r="C27" s="311"/>
      <c r="D27" s="311"/>
      <c r="E27" s="83"/>
    </row>
    <row r="28" spans="2:5" x14ac:dyDescent="0.2">
      <c r="B28" s="278"/>
      <c r="C28" s="311"/>
      <c r="D28" s="311"/>
      <c r="E28" s="83"/>
    </row>
    <row r="29" spans="2:5" x14ac:dyDescent="0.2">
      <c r="B29" s="278"/>
      <c r="C29" s="311"/>
      <c r="D29" s="311"/>
      <c r="E29" s="83"/>
    </row>
    <row r="30" spans="2:5" x14ac:dyDescent="0.2">
      <c r="B30" s="278"/>
      <c r="C30" s="311"/>
      <c r="D30" s="311"/>
      <c r="E30" s="83"/>
    </row>
    <row r="31" spans="2:5" x14ac:dyDescent="0.2">
      <c r="B31" s="278"/>
      <c r="C31" s="311"/>
      <c r="D31" s="311"/>
      <c r="E31" s="83"/>
    </row>
    <row r="32" spans="2:5" x14ac:dyDescent="0.2">
      <c r="B32" s="278"/>
      <c r="C32" s="311"/>
      <c r="D32" s="311"/>
      <c r="E32" s="83"/>
    </row>
    <row r="33" spans="2:5" x14ac:dyDescent="0.2">
      <c r="B33" s="278"/>
      <c r="C33" s="311"/>
      <c r="D33" s="311"/>
      <c r="E33" s="83"/>
    </row>
    <row r="34" spans="2:5" x14ac:dyDescent="0.2">
      <c r="B34" s="278"/>
      <c r="C34" s="311"/>
      <c r="D34" s="311"/>
      <c r="E34" s="83"/>
    </row>
    <row r="35" spans="2:5" x14ac:dyDescent="0.2">
      <c r="B35" s="278"/>
      <c r="C35" s="311"/>
      <c r="D35" s="311"/>
      <c r="E35" s="83"/>
    </row>
    <row r="36" spans="2:5" x14ac:dyDescent="0.2">
      <c r="B36" s="278"/>
      <c r="C36" s="311"/>
      <c r="D36" s="311"/>
      <c r="E36" s="83"/>
    </row>
    <row r="37" spans="2:5" x14ac:dyDescent="0.2">
      <c r="B37" s="278"/>
      <c r="C37" s="311"/>
      <c r="D37" s="311"/>
      <c r="E37" s="83"/>
    </row>
    <row r="38" spans="2:5" x14ac:dyDescent="0.2">
      <c r="B38" s="278"/>
      <c r="C38" s="311"/>
      <c r="D38" s="311"/>
      <c r="E38" s="83"/>
    </row>
    <row r="39" spans="2:5" x14ac:dyDescent="0.2">
      <c r="B39" s="278"/>
      <c r="C39" s="311"/>
      <c r="D39" s="311"/>
      <c r="E39" s="83"/>
    </row>
    <row r="40" spans="2:5" x14ac:dyDescent="0.2">
      <c r="B40" s="278"/>
      <c r="C40" s="311"/>
      <c r="D40" s="311"/>
      <c r="E40" s="83"/>
    </row>
    <row r="41" spans="2:5" x14ac:dyDescent="0.2">
      <c r="B41" s="278"/>
      <c r="C41" s="311"/>
      <c r="D41" s="311"/>
      <c r="E41" s="83"/>
    </row>
    <row r="42" spans="2:5" x14ac:dyDescent="0.2">
      <c r="B42" s="278"/>
      <c r="C42" s="311"/>
      <c r="D42" s="311"/>
      <c r="E42" s="83"/>
    </row>
    <row r="43" spans="2:5" x14ac:dyDescent="0.2">
      <c r="B43" s="278"/>
      <c r="C43" s="311"/>
      <c r="D43" s="311"/>
      <c r="E43" s="83"/>
    </row>
    <row r="44" spans="2:5" x14ac:dyDescent="0.2">
      <c r="B44" s="278"/>
      <c r="C44" s="311"/>
      <c r="D44" s="311"/>
      <c r="E44" s="83"/>
    </row>
    <row r="45" spans="2:5" x14ac:dyDescent="0.2">
      <c r="B45" s="278"/>
      <c r="C45" s="311"/>
      <c r="D45" s="311"/>
      <c r="E45" s="83"/>
    </row>
    <row r="46" spans="2:5" x14ac:dyDescent="0.2">
      <c r="B46" s="278"/>
      <c r="C46" s="311"/>
      <c r="D46" s="311"/>
      <c r="E46" s="83"/>
    </row>
    <row r="47" spans="2:5" x14ac:dyDescent="0.2">
      <c r="B47" s="278"/>
      <c r="C47" s="311"/>
      <c r="D47" s="311"/>
      <c r="E47" s="83"/>
    </row>
    <row r="48" spans="2:5" x14ac:dyDescent="0.2">
      <c r="B48" s="278"/>
      <c r="C48" s="311"/>
      <c r="D48" s="311"/>
      <c r="E48" s="83"/>
    </row>
    <row r="49" spans="2:5" x14ac:dyDescent="0.2">
      <c r="B49" s="278"/>
      <c r="C49" s="311"/>
      <c r="D49" s="311"/>
      <c r="E49" s="83"/>
    </row>
    <row r="50" spans="2:5" x14ac:dyDescent="0.2">
      <c r="B50" s="278" t="s">
        <v>168</v>
      </c>
      <c r="C50" s="311"/>
      <c r="D50" s="311"/>
      <c r="E50" s="83"/>
    </row>
    <row r="51" spans="2:5" x14ac:dyDescent="0.2">
      <c r="B51" s="258" t="s">
        <v>170</v>
      </c>
      <c r="C51" s="311"/>
      <c r="D51" s="311"/>
      <c r="E51" s="90"/>
    </row>
    <row r="52" spans="2:5" x14ac:dyDescent="0.2">
      <c r="B52" s="249" t="s">
        <v>117</v>
      </c>
      <c r="C52" s="311"/>
      <c r="D52" s="311"/>
      <c r="E52" s="275">
        <f>'NR Rebate'!E6*-1</f>
        <v>0</v>
      </c>
    </row>
    <row r="53" spans="2:5" x14ac:dyDescent="0.2">
      <c r="B53" s="249" t="s">
        <v>118</v>
      </c>
      <c r="C53" s="311"/>
      <c r="D53" s="311"/>
      <c r="E53" s="83"/>
    </row>
    <row r="54" spans="2:5" x14ac:dyDescent="0.2">
      <c r="B54" s="249" t="s">
        <v>334</v>
      </c>
      <c r="C54" s="312" t="str">
        <f>IF(C55*0.1&lt;C53,"Exceed 10% Rule","")</f>
        <v/>
      </c>
      <c r="D54" s="312" t="str">
        <f>IF(D55*0.1&lt;D53,"Exceed 10% Rule","")</f>
        <v/>
      </c>
      <c r="E54" s="272" t="str">
        <f>IF(E55*0.1+E114&lt;E53,"Exceed 10% Rule","")</f>
        <v/>
      </c>
    </row>
    <row r="55" spans="2:5" x14ac:dyDescent="0.2">
      <c r="B55" s="251" t="s">
        <v>171</v>
      </c>
      <c r="C55" s="315">
        <f>SUM(C8:C53)</f>
        <v>0</v>
      </c>
      <c r="D55" s="315">
        <f>SUM(D8:D53)</f>
        <v>0</v>
      </c>
      <c r="E55" s="253">
        <f>SUM(E9:E53)</f>
        <v>0</v>
      </c>
    </row>
    <row r="56" spans="2:5" x14ac:dyDescent="0.2">
      <c r="B56" s="251" t="s">
        <v>172</v>
      </c>
      <c r="C56" s="315">
        <f>C6+C55</f>
        <v>0</v>
      </c>
      <c r="D56" s="315">
        <f>D6+D55</f>
        <v>0</v>
      </c>
      <c r="E56" s="253">
        <f>E6+E55</f>
        <v>0</v>
      </c>
    </row>
    <row r="57" spans="2:5" x14ac:dyDescent="0.2">
      <c r="B57" s="69"/>
      <c r="C57" s="69"/>
      <c r="D57" s="69"/>
      <c r="E57" s="69"/>
    </row>
    <row r="58" spans="2:5" x14ac:dyDescent="0.2">
      <c r="B58" s="121"/>
      <c r="C58" s="135" t="s">
        <v>181</v>
      </c>
      <c r="D58" s="164">
        <f>IF(inputPrYr!D24&gt;0,7,6)</f>
        <v>6</v>
      </c>
      <c r="E58" s="121"/>
    </row>
    <row r="59" spans="2:5" x14ac:dyDescent="0.2">
      <c r="B59" s="121"/>
      <c r="C59" s="121"/>
      <c r="D59" s="121"/>
      <c r="E59" s="121"/>
    </row>
    <row r="60" spans="2:5" x14ac:dyDescent="0.2">
      <c r="B60" s="89">
        <f>inputPrYr!D3</f>
        <v>0</v>
      </c>
      <c r="C60" s="69"/>
      <c r="D60" s="69"/>
      <c r="E60" s="161"/>
    </row>
    <row r="61" spans="2:5" x14ac:dyDescent="0.2">
      <c r="B61" s="69"/>
      <c r="C61" s="69"/>
      <c r="D61" s="69"/>
      <c r="E61" s="135"/>
    </row>
    <row r="62" spans="2:5" x14ac:dyDescent="0.2">
      <c r="B62" s="193" t="s">
        <v>4</v>
      </c>
      <c r="C62" s="186"/>
      <c r="D62" s="186"/>
      <c r="E62" s="186"/>
    </row>
    <row r="63" spans="2:5" x14ac:dyDescent="0.2">
      <c r="B63" s="69" t="s">
        <v>162</v>
      </c>
      <c r="C63" s="383" t="s">
        <v>185</v>
      </c>
      <c r="D63" s="384" t="s">
        <v>30</v>
      </c>
      <c r="E63" s="385" t="s">
        <v>31</v>
      </c>
    </row>
    <row r="64" spans="2:5" x14ac:dyDescent="0.2">
      <c r="B64" s="89" t="str">
        <f>inputPrYr!B22</f>
        <v>General</v>
      </c>
      <c r="C64" s="314" t="str">
        <f>C5</f>
        <v>Actual for 2023</v>
      </c>
      <c r="D64" s="314" t="str">
        <f>D5</f>
        <v>Estimate for 2024</v>
      </c>
      <c r="E64" s="147" t="str">
        <f>E5</f>
        <v>Year for 2025</v>
      </c>
    </row>
    <row r="65" spans="2:5" x14ac:dyDescent="0.2">
      <c r="B65" s="279" t="s">
        <v>172</v>
      </c>
      <c r="C65" s="313">
        <f>C56</f>
        <v>0</v>
      </c>
      <c r="D65" s="313">
        <f>D56</f>
        <v>0</v>
      </c>
      <c r="E65" s="92">
        <f>E56</f>
        <v>0</v>
      </c>
    </row>
    <row r="66" spans="2:5" x14ac:dyDescent="0.2">
      <c r="B66" s="257" t="s">
        <v>174</v>
      </c>
      <c r="C66" s="156"/>
      <c r="D66" s="156"/>
      <c r="E66" s="95"/>
    </row>
    <row r="67" spans="2:5" x14ac:dyDescent="0.2">
      <c r="B67" s="280">
        <f>'General Detail'!A6</f>
        <v>0</v>
      </c>
      <c r="C67" s="511">
        <f>'General Detail'!B14</f>
        <v>0</v>
      </c>
      <c r="D67" s="511">
        <f>'General Detail'!C14</f>
        <v>0</v>
      </c>
      <c r="E67" s="512">
        <f>'General Detail'!D14</f>
        <v>0</v>
      </c>
    </row>
    <row r="68" spans="2:5" x14ac:dyDescent="0.2">
      <c r="B68" s="280">
        <f>'General Detail'!A15</f>
        <v>0</v>
      </c>
      <c r="C68" s="511">
        <f>'General Detail'!B21</f>
        <v>0</v>
      </c>
      <c r="D68" s="511">
        <f>'General Detail'!C21</f>
        <v>0</v>
      </c>
      <c r="E68" s="512">
        <f>'General Detail'!D21</f>
        <v>0</v>
      </c>
    </row>
    <row r="69" spans="2:5" x14ac:dyDescent="0.2">
      <c r="B69" s="280">
        <f>'General Detail'!A22</f>
        <v>0</v>
      </c>
      <c r="C69" s="511">
        <f>'General Detail'!B28</f>
        <v>0</v>
      </c>
      <c r="D69" s="511">
        <f>'General Detail'!C28</f>
        <v>0</v>
      </c>
      <c r="E69" s="512">
        <f>'General Detail'!D28</f>
        <v>0</v>
      </c>
    </row>
    <row r="70" spans="2:5" x14ac:dyDescent="0.2">
      <c r="B70" s="280">
        <f>'General Detail'!A29</f>
        <v>0</v>
      </c>
      <c r="C70" s="511">
        <f>'General Detail'!B34</f>
        <v>0</v>
      </c>
      <c r="D70" s="511">
        <f>'General Detail'!C34</f>
        <v>0</v>
      </c>
      <c r="E70" s="512">
        <f>'General Detail'!D34</f>
        <v>0</v>
      </c>
    </row>
    <row r="71" spans="2:5" x14ac:dyDescent="0.2">
      <c r="B71" s="280">
        <f>'General Detail'!A35</f>
        <v>0</v>
      </c>
      <c r="C71" s="511">
        <f>'General Detail'!B41</f>
        <v>0</v>
      </c>
      <c r="D71" s="511">
        <f>'General Detail'!C41</f>
        <v>0</v>
      </c>
      <c r="E71" s="512">
        <f>'General Detail'!D41</f>
        <v>0</v>
      </c>
    </row>
    <row r="72" spans="2:5" x14ac:dyDescent="0.2">
      <c r="B72" s="280">
        <f>'General Detail'!A42</f>
        <v>0</v>
      </c>
      <c r="C72" s="511">
        <f>'General Detail'!B48</f>
        <v>0</v>
      </c>
      <c r="D72" s="511">
        <f>'General Detail'!C48</f>
        <v>0</v>
      </c>
      <c r="E72" s="512">
        <f>'General Detail'!D48</f>
        <v>0</v>
      </c>
    </row>
    <row r="73" spans="2:5" x14ac:dyDescent="0.2">
      <c r="B73" s="280">
        <f>'General Detail'!A49</f>
        <v>0</v>
      </c>
      <c r="C73" s="511">
        <f>'General Detail'!B55</f>
        <v>0</v>
      </c>
      <c r="D73" s="511">
        <f>'General Detail'!C55</f>
        <v>0</v>
      </c>
      <c r="E73" s="512">
        <f>'General Detail'!D55</f>
        <v>0</v>
      </c>
    </row>
    <row r="74" spans="2:5" x14ac:dyDescent="0.2">
      <c r="B74" s="280">
        <f>'General Detail'!A56</f>
        <v>0</v>
      </c>
      <c r="C74" s="511">
        <f>'General Detail'!B62</f>
        <v>0</v>
      </c>
      <c r="D74" s="511">
        <f>'General Detail'!C62</f>
        <v>0</v>
      </c>
      <c r="E74" s="512">
        <f>'General Detail'!D62</f>
        <v>0</v>
      </c>
    </row>
    <row r="75" spans="2:5" x14ac:dyDescent="0.2">
      <c r="B75" s="280">
        <f>'General Detail'!A73</f>
        <v>0</v>
      </c>
      <c r="C75" s="511">
        <f>'General Detail'!B79</f>
        <v>0</v>
      </c>
      <c r="D75" s="511">
        <f>'General Detail'!C79</f>
        <v>0</v>
      </c>
      <c r="E75" s="512">
        <f>'General Detail'!D79</f>
        <v>0</v>
      </c>
    </row>
    <row r="76" spans="2:5" x14ac:dyDescent="0.2">
      <c r="B76" s="280">
        <f>'General Detail'!A80</f>
        <v>0</v>
      </c>
      <c r="C76" s="511">
        <f>'General Detail'!B86</f>
        <v>0</v>
      </c>
      <c r="D76" s="511">
        <f>'General Detail'!C86</f>
        <v>0</v>
      </c>
      <c r="E76" s="512">
        <f>'General Detail'!D86</f>
        <v>0</v>
      </c>
    </row>
    <row r="77" spans="2:5" x14ac:dyDescent="0.2">
      <c r="B77" s="280">
        <f>'General Detail'!A87</f>
        <v>0</v>
      </c>
      <c r="C77" s="511">
        <f>'General Detail'!B93</f>
        <v>0</v>
      </c>
      <c r="D77" s="511">
        <f>'General Detail'!C93</f>
        <v>0</v>
      </c>
      <c r="E77" s="512">
        <f>'General Detail'!D93</f>
        <v>0</v>
      </c>
    </row>
    <row r="78" spans="2:5" x14ac:dyDescent="0.2">
      <c r="B78" s="280">
        <f>'General Detail'!A94</f>
        <v>0</v>
      </c>
      <c r="C78" s="511">
        <f>'General Detail'!B99</f>
        <v>0</v>
      </c>
      <c r="D78" s="511">
        <f>'General Detail'!C99</f>
        <v>0</v>
      </c>
      <c r="E78" s="512">
        <f>'General Detail'!D99</f>
        <v>0</v>
      </c>
    </row>
    <row r="79" spans="2:5" x14ac:dyDescent="0.2">
      <c r="B79" s="280">
        <f>'General Detail'!A100</f>
        <v>0</v>
      </c>
      <c r="C79" s="511">
        <f>'General Detail'!B106</f>
        <v>0</v>
      </c>
      <c r="D79" s="511">
        <f>'General Detail'!C106</f>
        <v>0</v>
      </c>
      <c r="E79" s="512">
        <f>'General Detail'!D106</f>
        <v>0</v>
      </c>
    </row>
    <row r="80" spans="2:5" x14ac:dyDescent="0.2">
      <c r="B80" s="280">
        <f>'General Detail'!A107</f>
        <v>0</v>
      </c>
      <c r="C80" s="511">
        <f>'General Detail'!B113</f>
        <v>0</v>
      </c>
      <c r="D80" s="511">
        <f>'General Detail'!C113</f>
        <v>0</v>
      </c>
      <c r="E80" s="512">
        <f>'General Detail'!D113</f>
        <v>0</v>
      </c>
    </row>
    <row r="81" spans="2:10" x14ac:dyDescent="0.2">
      <c r="B81" s="280">
        <f>'General Detail'!A114</f>
        <v>0</v>
      </c>
      <c r="C81" s="511">
        <f>'General Detail'!B120</f>
        <v>0</v>
      </c>
      <c r="D81" s="511">
        <f>'General Detail'!C120</f>
        <v>0</v>
      </c>
      <c r="E81" s="512">
        <f>'General Detail'!D120</f>
        <v>0</v>
      </c>
    </row>
    <row r="82" spans="2:10" x14ac:dyDescent="0.2">
      <c r="B82" s="280">
        <f>'General Detail'!A121</f>
        <v>0</v>
      </c>
      <c r="C82" s="511">
        <f>'General Detail'!B127</f>
        <v>0</v>
      </c>
      <c r="D82" s="511">
        <f>'General Detail'!C127</f>
        <v>0</v>
      </c>
      <c r="E82" s="512">
        <f>'General Detail'!D127</f>
        <v>0</v>
      </c>
    </row>
    <row r="83" spans="2:10" x14ac:dyDescent="0.2">
      <c r="B83" s="281" t="s">
        <v>335</v>
      </c>
      <c r="C83" s="513">
        <f>SUM(C67:C82)</f>
        <v>0</v>
      </c>
      <c r="D83" s="513">
        <f>SUM(D67:D82)</f>
        <v>0</v>
      </c>
      <c r="E83" s="514">
        <f>SUM(E67:E82)</f>
        <v>0</v>
      </c>
    </row>
    <row r="84" spans="2:10" x14ac:dyDescent="0.2">
      <c r="B84" s="258"/>
      <c r="C84" s="311"/>
      <c r="D84" s="311"/>
      <c r="E84" s="83"/>
    </row>
    <row r="85" spans="2:10" x14ac:dyDescent="0.2">
      <c r="B85" s="258"/>
      <c r="C85" s="311"/>
      <c r="D85" s="311"/>
      <c r="E85" s="83"/>
    </row>
    <row r="86" spans="2:10" x14ac:dyDescent="0.2">
      <c r="B86" s="258"/>
      <c r="C86" s="311"/>
      <c r="D86" s="311"/>
      <c r="E86" s="83"/>
    </row>
    <row r="87" spans="2:10" x14ac:dyDescent="0.2">
      <c r="B87" s="258"/>
      <c r="C87" s="311"/>
      <c r="D87" s="311"/>
      <c r="E87" s="83"/>
      <c r="G87" s="789" t="str">
        <f>CONCATENATE("Desired Carryover Into ",E1+1,"")</f>
        <v>Desired Carryover Into 2026</v>
      </c>
      <c r="H87" s="790"/>
      <c r="I87" s="790"/>
      <c r="J87" s="791"/>
    </row>
    <row r="88" spans="2:10" x14ac:dyDescent="0.2">
      <c r="B88" s="245"/>
      <c r="C88" s="311"/>
      <c r="D88" s="311"/>
      <c r="E88" s="83"/>
      <c r="G88" s="441"/>
      <c r="H88" s="442"/>
      <c r="I88" s="442"/>
      <c r="J88" s="443"/>
    </row>
    <row r="89" spans="2:10" x14ac:dyDescent="0.2">
      <c r="B89" s="245"/>
      <c r="C89" s="311"/>
      <c r="D89" s="311"/>
      <c r="E89" s="83"/>
      <c r="G89" s="444" t="s">
        <v>341</v>
      </c>
      <c r="H89" s="445"/>
      <c r="I89" s="445"/>
      <c r="J89" s="446">
        <v>0</v>
      </c>
    </row>
    <row r="90" spans="2:10" x14ac:dyDescent="0.2">
      <c r="B90" s="245"/>
      <c r="C90" s="311"/>
      <c r="D90" s="311"/>
      <c r="E90" s="83"/>
      <c r="G90" s="447" t="s">
        <v>342</v>
      </c>
      <c r="H90" s="448"/>
      <c r="I90" s="449"/>
      <c r="J90" s="450" t="str">
        <f>IF(J89=0,"",ROUND((J89+E114-G102)/inputOth!B14*1000,3)-G107)</f>
        <v/>
      </c>
    </row>
    <row r="91" spans="2:10" x14ac:dyDescent="0.2">
      <c r="B91" s="245"/>
      <c r="C91" s="311"/>
      <c r="D91" s="311"/>
      <c r="E91" s="83"/>
      <c r="G91" s="451" t="str">
        <f>CONCATENATE("",E1," Tot Exp/Non-Appr Must Be:")</f>
        <v>2025 Tot Exp/Non-Appr Must Be:</v>
      </c>
      <c r="H91" s="452"/>
      <c r="I91" s="453"/>
      <c r="J91" s="454">
        <f>IF(J89&gt;0,IF(E111&lt;E56,IF(J89=G102,E111,((J89-G102)*(1-D113))+E56),E111+(J89-G102)),0)</f>
        <v>0</v>
      </c>
    </row>
    <row r="92" spans="2:10" x14ac:dyDescent="0.2">
      <c r="B92" s="245"/>
      <c r="C92" s="311"/>
      <c r="D92" s="311"/>
      <c r="E92" s="83"/>
      <c r="G92" s="455" t="s">
        <v>424</v>
      </c>
      <c r="H92" s="456"/>
      <c r="I92" s="456"/>
      <c r="J92" s="457">
        <f>IF(J89&gt;0,J91-E111,0)</f>
        <v>0</v>
      </c>
    </row>
    <row r="93" spans="2:10" x14ac:dyDescent="0.2">
      <c r="B93" s="245"/>
      <c r="C93" s="311"/>
      <c r="D93" s="311"/>
      <c r="E93" s="83"/>
    </row>
    <row r="94" spans="2:10" x14ac:dyDescent="0.2">
      <c r="B94" s="245"/>
      <c r="C94" s="311"/>
      <c r="D94" s="311"/>
      <c r="E94" s="83"/>
      <c r="G94" s="789" t="str">
        <f>CONCATENATE("Projected Carryover Into ",E1+1,"")</f>
        <v>Projected Carryover Into 2026</v>
      </c>
      <c r="H94" s="792"/>
      <c r="I94" s="792"/>
      <c r="J94" s="793"/>
    </row>
    <row r="95" spans="2:10" x14ac:dyDescent="0.2">
      <c r="B95" s="245"/>
      <c r="C95" s="311"/>
      <c r="D95" s="311"/>
      <c r="E95" s="83"/>
      <c r="G95" s="441"/>
      <c r="H95" s="442"/>
      <c r="I95" s="442"/>
      <c r="J95" s="443"/>
    </row>
    <row r="96" spans="2:10" x14ac:dyDescent="0.2">
      <c r="B96" s="245"/>
      <c r="C96" s="311"/>
      <c r="D96" s="311"/>
      <c r="E96" s="83"/>
      <c r="G96" s="458">
        <f>D108</f>
        <v>0</v>
      </c>
      <c r="H96" s="459" t="str">
        <f>CONCATENATE("",E1-1," Ending Cash Balance (est.)")</f>
        <v>2024 Ending Cash Balance (est.)</v>
      </c>
      <c r="I96" s="460"/>
      <c r="J96" s="443"/>
    </row>
    <row r="97" spans="2:11" x14ac:dyDescent="0.2">
      <c r="B97" s="245"/>
      <c r="C97" s="311"/>
      <c r="D97" s="311"/>
      <c r="E97" s="83"/>
      <c r="G97" s="458">
        <f>E55</f>
        <v>0</v>
      </c>
      <c r="H97" s="445" t="str">
        <f>CONCATENATE("",E1," Non-AV Receipts (est.)")</f>
        <v>2025 Non-AV Receipts (est.)</v>
      </c>
      <c r="I97" s="460"/>
      <c r="J97" s="443"/>
    </row>
    <row r="98" spans="2:11" x14ac:dyDescent="0.2">
      <c r="B98" s="245"/>
      <c r="C98" s="311"/>
      <c r="D98" s="311"/>
      <c r="E98" s="83"/>
      <c r="G98" s="461">
        <f>IF(E113&gt;0,E112,E114)</f>
        <v>0</v>
      </c>
      <c r="H98" s="445" t="str">
        <f>CONCATENATE("",E1," Ad Valorem Tax (est.)")</f>
        <v>2025 Ad Valorem Tax (est.)</v>
      </c>
      <c r="I98" s="460"/>
      <c r="J98" s="443"/>
      <c r="K98" s="462" t="str">
        <f>IF(G98=E114,"","Note: Does not include Delinquent Taxes")</f>
        <v/>
      </c>
    </row>
    <row r="99" spans="2:11" x14ac:dyDescent="0.2">
      <c r="B99" s="245"/>
      <c r="C99" s="311"/>
      <c r="D99" s="311"/>
      <c r="E99" s="83"/>
      <c r="G99" s="458">
        <f>SUM(G96:G98)</f>
        <v>0</v>
      </c>
      <c r="H99" s="445" t="str">
        <f>CONCATENATE("Total ",E1," Resources Available")</f>
        <v>Total 2025 Resources Available</v>
      </c>
      <c r="I99" s="460"/>
      <c r="J99" s="443"/>
    </row>
    <row r="100" spans="2:11" x14ac:dyDescent="0.2">
      <c r="B100" s="245"/>
      <c r="C100" s="311"/>
      <c r="D100" s="311"/>
      <c r="E100" s="83"/>
      <c r="G100" s="464"/>
      <c r="H100" s="445"/>
      <c r="I100" s="445"/>
      <c r="J100" s="443"/>
    </row>
    <row r="101" spans="2:11" x14ac:dyDescent="0.2">
      <c r="B101" s="245"/>
      <c r="C101" s="311"/>
      <c r="D101" s="311"/>
      <c r="E101" s="83"/>
      <c r="G101" s="461">
        <f>ROUND(C107*0.05+C107,0)</f>
        <v>0</v>
      </c>
      <c r="H101" s="445" t="str">
        <f>CONCATENATE("Less ",E1-2," Expenditures + 5%")</f>
        <v>Less 2023 Expenditures + 5%</v>
      </c>
      <c r="I101" s="460"/>
      <c r="J101" s="443"/>
    </row>
    <row r="102" spans="2:11" x14ac:dyDescent="0.2">
      <c r="B102" s="245"/>
      <c r="C102" s="311"/>
      <c r="D102" s="311"/>
      <c r="E102" s="83"/>
      <c r="G102" s="465">
        <f>G99-G101</f>
        <v>0</v>
      </c>
      <c r="H102" s="466" t="str">
        <f>CONCATENATE("Projected ",E1+1," Carryover (est.)")</f>
        <v>Projected 2026 Carryover (est.)</v>
      </c>
      <c r="I102" s="467"/>
      <c r="J102" s="468"/>
    </row>
    <row r="103" spans="2:11" x14ac:dyDescent="0.2">
      <c r="B103" s="245"/>
      <c r="C103" s="311"/>
      <c r="D103" s="311"/>
      <c r="E103" s="83"/>
    </row>
    <row r="104" spans="2:11" x14ac:dyDescent="0.2">
      <c r="B104" s="249" t="str">
        <f>CONCATENATE("Cash Reserve (",E1," column)")</f>
        <v>Cash Reserve (2025 column)</v>
      </c>
      <c r="C104" s="311"/>
      <c r="D104" s="311"/>
      <c r="E104" s="83"/>
      <c r="G104" s="794" t="s">
        <v>635</v>
      </c>
      <c r="H104" s="795"/>
      <c r="I104" s="795"/>
      <c r="J104" s="796"/>
    </row>
    <row r="105" spans="2:11" x14ac:dyDescent="0.2">
      <c r="B105" s="249" t="s">
        <v>118</v>
      </c>
      <c r="C105" s="311"/>
      <c r="D105" s="311"/>
      <c r="E105" s="246"/>
      <c r="G105" s="797"/>
      <c r="H105" s="798"/>
      <c r="I105" s="798"/>
      <c r="J105" s="799"/>
    </row>
    <row r="106" spans="2:11" x14ac:dyDescent="0.2">
      <c r="B106" s="249" t="s">
        <v>333</v>
      </c>
      <c r="C106" s="312" t="str">
        <f>IF(C107*0.1&lt;C105,"Exceed 10% Rule","")</f>
        <v/>
      </c>
      <c r="D106" s="312" t="str">
        <f>IF(D107*0.1&lt;D105,"Exceed 10% Rule","")</f>
        <v/>
      </c>
      <c r="E106" s="272" t="str">
        <f>IF(E107*0.1&lt;E105,"Exceed 10% Rule","")</f>
        <v/>
      </c>
      <c r="G106" s="472" t="str">
        <f>'Budget Hearing Notice'!H19</f>
        <v xml:space="preserve">  </v>
      </c>
      <c r="H106" s="469" t="str">
        <f>CONCATENATE("",E1," Estimated Fund Mill Rate")</f>
        <v>2025 Estimated Fund Mill Rate</v>
      </c>
      <c r="I106" s="470"/>
      <c r="J106" s="471"/>
    </row>
    <row r="107" spans="2:11" x14ac:dyDescent="0.2">
      <c r="B107" s="251" t="s">
        <v>178</v>
      </c>
      <c r="C107" s="315">
        <f>SUM(C83:C105)</f>
        <v>0</v>
      </c>
      <c r="D107" s="315">
        <f>SUM(D83:D105)</f>
        <v>0</v>
      </c>
      <c r="E107" s="253">
        <f>SUM(E83:E105)</f>
        <v>0</v>
      </c>
      <c r="G107" s="633" t="str">
        <f>'Budget Hearing Notice'!E19</f>
        <v xml:space="preserve">  </v>
      </c>
      <c r="H107" s="469" t="str">
        <f>CONCATENATE("",E1-1," Fund Mill Rate")</f>
        <v>2024 Fund Mill Rate</v>
      </c>
      <c r="I107" s="470"/>
      <c r="J107" s="471"/>
    </row>
    <row r="108" spans="2:11" x14ac:dyDescent="0.2">
      <c r="B108" s="118" t="s">
        <v>19</v>
      </c>
      <c r="C108" s="313">
        <f>C56-C107</f>
        <v>0</v>
      </c>
      <c r="D108" s="313">
        <f>D56-D107</f>
        <v>0</v>
      </c>
      <c r="E108" s="277" t="s">
        <v>152</v>
      </c>
      <c r="G108" s="634">
        <f>'Budget Hearing Notice'!H57</f>
        <v>0</v>
      </c>
      <c r="H108" s="635" t="s">
        <v>636</v>
      </c>
      <c r="I108" s="470"/>
      <c r="J108" s="471"/>
    </row>
    <row r="109" spans="2:11" x14ac:dyDescent="0.2">
      <c r="B109" s="164" t="str">
        <f>CONCATENATE("",E1-2,"/",E1-1,"/",E1," Budget Authority Amount:")</f>
        <v>2023/2024/2025 Budget Authority Amount:</v>
      </c>
      <c r="C109" s="270">
        <f>inputOth!B82</f>
        <v>0</v>
      </c>
      <c r="D109" s="270">
        <f>inputPrYr!D22</f>
        <v>0</v>
      </c>
      <c r="E109" s="243">
        <f>E107</f>
        <v>0</v>
      </c>
      <c r="G109" s="472">
        <f>'Budget Hearing Notice'!H56</f>
        <v>0</v>
      </c>
      <c r="H109" s="469" t="str">
        <f>CONCATENATE(E1," Estimated Total Mill Rate")</f>
        <v>2025 Estimated Total Mill Rate</v>
      </c>
      <c r="I109" s="470"/>
      <c r="J109" s="471"/>
    </row>
    <row r="110" spans="2:11" x14ac:dyDescent="0.2">
      <c r="B110" s="135"/>
      <c r="C110" s="785" t="s">
        <v>338</v>
      </c>
      <c r="D110" s="786"/>
      <c r="E110" s="246"/>
      <c r="G110" s="473">
        <f>'Budget Hearing Notice'!E56</f>
        <v>0</v>
      </c>
      <c r="H110" s="469" t="str">
        <f>CONCATENATE(E1-1," Total Mill Rate")</f>
        <v>2024 Total Mill Rate</v>
      </c>
      <c r="I110" s="470"/>
      <c r="J110" s="471"/>
    </row>
    <row r="111" spans="2:11" x14ac:dyDescent="0.2">
      <c r="B111" s="364" t="str">
        <f>CONCATENATE(C146,"     ",D146)</f>
        <v xml:space="preserve">     </v>
      </c>
      <c r="C111" s="787" t="s">
        <v>339</v>
      </c>
      <c r="D111" s="788"/>
      <c r="E111" s="526">
        <f>E107+E110</f>
        <v>0</v>
      </c>
      <c r="F111" s="263"/>
      <c r="G111" s="332"/>
      <c r="H111" s="286"/>
      <c r="I111" s="286"/>
      <c r="J111" s="331"/>
    </row>
    <row r="112" spans="2:11" x14ac:dyDescent="0.2">
      <c r="B112" s="364" t="str">
        <f>CONCATENATE(C147,"     ",D147)</f>
        <v xml:space="preserve">     </v>
      </c>
      <c r="C112" s="255"/>
      <c r="D112" s="161" t="s">
        <v>179</v>
      </c>
      <c r="E112" s="88">
        <f>IF(E111-E56&gt;0,E111-E56,0)</f>
        <v>0</v>
      </c>
      <c r="F112" s="463" t="str">
        <f>IF((E107/0.95)-E107&lt;E110,"Exceeds 5% ","")</f>
        <v/>
      </c>
      <c r="G112" s="800" t="s">
        <v>637</v>
      </c>
      <c r="H112" s="801"/>
      <c r="I112" s="801"/>
      <c r="J112" s="804" t="str">
        <f>IF(G109&gt;G108, "Yes", "No")</f>
        <v>No</v>
      </c>
    </row>
    <row r="113" spans="2:10" x14ac:dyDescent="0.2">
      <c r="B113" s="161"/>
      <c r="C113" s="333" t="s">
        <v>340</v>
      </c>
      <c r="D113" s="515">
        <f>inputOth!E67</f>
        <v>0</v>
      </c>
      <c r="E113" s="95">
        <f>ROUND(IF(D113&gt;0,(E112*D113),0),0)</f>
        <v>0</v>
      </c>
      <c r="G113" s="802"/>
      <c r="H113" s="803"/>
      <c r="I113" s="803"/>
      <c r="J113" s="805"/>
    </row>
    <row r="114" spans="2:10" ht="16.5" thickBot="1" x14ac:dyDescent="0.25">
      <c r="B114" s="69"/>
      <c r="C114" s="783" t="str">
        <f>CONCATENATE("Amount of  ",$E$1-1," Ad Valorem Tax")</f>
        <v>Amount of  2024 Ad Valorem Tax</v>
      </c>
      <c r="D114" s="784"/>
      <c r="E114" s="525">
        <f>E112+E113</f>
        <v>0</v>
      </c>
      <c r="G114" s="781" t="str">
        <f>IF(J112="Yes", "Follow procedure prescribed by KSA 79-2988 to exceed the Revenue Neutral Rate.", " ")</f>
        <v xml:space="preserve"> </v>
      </c>
      <c r="H114" s="781"/>
      <c r="I114" s="781"/>
      <c r="J114" s="781"/>
    </row>
    <row r="115" spans="2:10" ht="16.5" thickTop="1" x14ac:dyDescent="0.2">
      <c r="B115" s="69"/>
      <c r="C115" s="135"/>
      <c r="D115" s="69"/>
      <c r="E115" s="69"/>
      <c r="G115" s="782"/>
      <c r="H115" s="782"/>
      <c r="I115" s="782"/>
      <c r="J115" s="782"/>
    </row>
    <row r="116" spans="2:10" x14ac:dyDescent="0.2">
      <c r="B116" s="602" t="s">
        <v>513</v>
      </c>
      <c r="C116" s="589"/>
      <c r="D116" s="115"/>
      <c r="E116" s="586"/>
      <c r="G116" s="782"/>
      <c r="H116" s="782"/>
      <c r="I116" s="782"/>
      <c r="J116" s="782"/>
    </row>
    <row r="117" spans="2:10" x14ac:dyDescent="0.2">
      <c r="B117" s="332"/>
      <c r="C117" s="135"/>
      <c r="D117" s="69"/>
      <c r="E117" s="331"/>
    </row>
    <row r="118" spans="2:10" x14ac:dyDescent="0.2">
      <c r="B118" s="590"/>
      <c r="C118" s="76"/>
      <c r="D118" s="76"/>
      <c r="E118" s="96"/>
    </row>
    <row r="119" spans="2:10" x14ac:dyDescent="0.2">
      <c r="B119" s="69"/>
      <c r="C119" s="69"/>
      <c r="D119" s="69"/>
      <c r="E119" s="69"/>
    </row>
    <row r="120" spans="2:10" x14ac:dyDescent="0.2">
      <c r="B120" s="121"/>
      <c r="C120" s="135" t="s">
        <v>181</v>
      </c>
      <c r="D120" s="164" t="str">
        <f>CONCATENATE("",D58,"a")</f>
        <v>6a</v>
      </c>
      <c r="E120" s="121"/>
    </row>
    <row r="122" spans="2:10" x14ac:dyDescent="0.2">
      <c r="B122" s="107"/>
    </row>
    <row r="125" spans="2:10" x14ac:dyDescent="0.2">
      <c r="B125" s="63"/>
      <c r="C125" s="63"/>
    </row>
    <row r="146" spans="3:4" x14ac:dyDescent="0.2">
      <c r="C146" s="65" t="str">
        <f>IF(C107&gt;C109,"See Tab A","")</f>
        <v/>
      </c>
      <c r="D146" s="65" t="str">
        <f>IF(D107&gt;D109,"See Tab C","")</f>
        <v/>
      </c>
    </row>
    <row r="147" spans="3:4" x14ac:dyDescent="0.2">
      <c r="C147" s="65" t="str">
        <f>IF(C108&lt;0,"See Tab B","")</f>
        <v/>
      </c>
      <c r="D147" s="65" t="str">
        <f>IF(D108&lt;0,"See Tab D","")</f>
        <v/>
      </c>
    </row>
  </sheetData>
  <sheetProtection sheet="1"/>
  <mergeCells count="9">
    <mergeCell ref="G114:J116"/>
    <mergeCell ref="C114:D114"/>
    <mergeCell ref="C110:D110"/>
    <mergeCell ref="C111:D111"/>
    <mergeCell ref="G87:J87"/>
    <mergeCell ref="G94:J94"/>
    <mergeCell ref="G104:J105"/>
    <mergeCell ref="G112:I113"/>
    <mergeCell ref="J112:J113"/>
  </mergeCells>
  <phoneticPr fontId="0" type="noConversion"/>
  <conditionalFormatting sqref="C53">
    <cfRule type="cellIs" dxfId="339" priority="6" stopIfTrue="1" operator="greaterThan">
      <formula>$C$55*0.1</formula>
    </cfRule>
  </conditionalFormatting>
  <conditionalFormatting sqref="C105">
    <cfRule type="cellIs" dxfId="338" priority="8" stopIfTrue="1" operator="greaterThan">
      <formula>$C$107*0.1</formula>
    </cfRule>
  </conditionalFormatting>
  <conditionalFormatting sqref="C107">
    <cfRule type="cellIs" dxfId="337" priority="5" stopIfTrue="1" operator="greaterThan">
      <formula>$C$109</formula>
    </cfRule>
  </conditionalFormatting>
  <conditionalFormatting sqref="C108">
    <cfRule type="cellIs" dxfId="336" priority="11" stopIfTrue="1" operator="lessThan">
      <formula>0</formula>
    </cfRule>
  </conditionalFormatting>
  <conditionalFormatting sqref="D53">
    <cfRule type="cellIs" dxfId="335" priority="7" stopIfTrue="1" operator="greaterThan">
      <formula>$D$55*0.1</formula>
    </cfRule>
  </conditionalFormatting>
  <conditionalFormatting sqref="D105">
    <cfRule type="cellIs" dxfId="334" priority="9" stopIfTrue="1" operator="greaterThan">
      <formula>$D$107*0.1</formula>
    </cfRule>
  </conditionalFormatting>
  <conditionalFormatting sqref="D107">
    <cfRule type="cellIs" dxfId="333" priority="10" stopIfTrue="1" operator="greaterThan">
      <formula>$D$109</formula>
    </cfRule>
  </conditionalFormatting>
  <conditionalFormatting sqref="D108">
    <cfRule type="cellIs" dxfId="332" priority="2" stopIfTrue="1" operator="lessThan">
      <formula>0</formula>
    </cfRule>
  </conditionalFormatting>
  <conditionalFormatting sqref="E53">
    <cfRule type="cellIs" dxfId="331" priority="70" stopIfTrue="1" operator="greaterThan">
      <formula>$E$55*0.1+$E$114</formula>
    </cfRule>
  </conditionalFormatting>
  <conditionalFormatting sqref="E105">
    <cfRule type="cellIs" dxfId="330" priority="3" stopIfTrue="1" operator="greaterThan">
      <formula>$E$107*0.1</formula>
    </cfRule>
  </conditionalFormatting>
  <conditionalFormatting sqref="E110">
    <cfRule type="cellIs" dxfId="329" priority="4" stopIfTrue="1" operator="greaterThan">
      <formula>$E$107/0.95-$E$107</formula>
    </cfRule>
  </conditionalFormatting>
  <conditionalFormatting sqref="J112">
    <cfRule type="containsText" dxfId="328" priority="1" operator="containsText" text="Yes">
      <formula>NOT(ISERROR(SEARCH("Yes",J112)))</formula>
    </cfRule>
  </conditionalFormatting>
  <pageMargins left="0.5" right="0.5" top="1" bottom="0.5" header="0.5" footer="0.5"/>
  <pageSetup scale="72" fitToHeight="2" orientation="portrait" blackAndWhite="1" horizontalDpi="120" verticalDpi="144" r:id="rId1"/>
  <headerFooter alignWithMargins="0">
    <oddHeader>&amp;RState of Kansas
City</oddHeader>
  </headerFooter>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A1:D133"/>
  <sheetViews>
    <sheetView zoomScaleNormal="100" workbookViewId="0">
      <selection activeCell="P165" sqref="P165"/>
    </sheetView>
  </sheetViews>
  <sheetFormatPr defaultColWidth="8.88671875" defaultRowHeight="15.75" x14ac:dyDescent="0.2"/>
  <cols>
    <col min="1" max="1" width="28.33203125" style="63" customWidth="1"/>
    <col min="2" max="3" width="15.77734375" style="63" customWidth="1"/>
    <col min="4" max="4" width="16.109375" style="63" customWidth="1"/>
    <col min="5" max="16384" width="8.88671875" style="63"/>
  </cols>
  <sheetData>
    <row r="1" spans="1:4" x14ac:dyDescent="0.2">
      <c r="A1" s="89">
        <f>inputPrYr!D3</f>
        <v>0</v>
      </c>
      <c r="B1" s="69"/>
      <c r="C1" s="164"/>
      <c r="D1" s="69">
        <f>inputPrYr!C10</f>
        <v>2025</v>
      </c>
    </row>
    <row r="2" spans="1:4" x14ac:dyDescent="0.2">
      <c r="A2" s="239"/>
      <c r="B2" s="276"/>
      <c r="C2" s="276"/>
      <c r="D2" s="276"/>
    </row>
    <row r="3" spans="1:4" x14ac:dyDescent="0.2">
      <c r="A3" s="164" t="s">
        <v>162</v>
      </c>
      <c r="B3" s="392" t="s">
        <v>359</v>
      </c>
      <c r="C3" s="393" t="s">
        <v>360</v>
      </c>
      <c r="D3" s="142" t="s">
        <v>361</v>
      </c>
    </row>
    <row r="4" spans="1:4" x14ac:dyDescent="0.2">
      <c r="A4" s="76" t="s">
        <v>125</v>
      </c>
      <c r="B4" s="318" t="str">
        <f>CONCATENATE("Actual for ",D1-2,"")</f>
        <v>Actual for 2023</v>
      </c>
      <c r="C4" s="318" t="str">
        <f>CONCATENATE("Estimate for ",D1-1,"")</f>
        <v>Estimate for 2024</v>
      </c>
      <c r="D4" s="176" t="str">
        <f>CONCATENATE("Year for ",D1,"")</f>
        <v>Year for 2025</v>
      </c>
    </row>
    <row r="5" spans="1:4" x14ac:dyDescent="0.2">
      <c r="A5" s="282" t="s">
        <v>174</v>
      </c>
      <c r="B5" s="95"/>
      <c r="C5" s="95"/>
      <c r="D5" s="95"/>
    </row>
    <row r="6" spans="1:4" x14ac:dyDescent="0.2">
      <c r="A6" s="283"/>
      <c r="B6" s="95"/>
      <c r="C6" s="95"/>
      <c r="D6" s="95"/>
    </row>
    <row r="7" spans="1:4" x14ac:dyDescent="0.2">
      <c r="A7" s="284" t="s">
        <v>182</v>
      </c>
      <c r="B7" s="246"/>
      <c r="C7" s="246"/>
      <c r="D7" s="246"/>
    </row>
    <row r="8" spans="1:4" x14ac:dyDescent="0.2">
      <c r="A8" s="284" t="s">
        <v>175</v>
      </c>
      <c r="B8" s="246"/>
      <c r="C8" s="246"/>
      <c r="D8" s="246"/>
    </row>
    <row r="9" spans="1:4" x14ac:dyDescent="0.2">
      <c r="A9" s="284" t="s">
        <v>176</v>
      </c>
      <c r="B9" s="246"/>
      <c r="C9" s="246"/>
      <c r="D9" s="246"/>
    </row>
    <row r="10" spans="1:4" x14ac:dyDescent="0.2">
      <c r="A10" s="284" t="s">
        <v>177</v>
      </c>
      <c r="B10" s="246"/>
      <c r="C10" s="246"/>
      <c r="D10" s="246"/>
    </row>
    <row r="11" spans="1:4" x14ac:dyDescent="0.2">
      <c r="A11" s="284"/>
      <c r="B11" s="246"/>
      <c r="C11" s="246"/>
      <c r="D11" s="246"/>
    </row>
    <row r="12" spans="1:4" x14ac:dyDescent="0.2">
      <c r="A12" s="85"/>
      <c r="B12" s="246"/>
      <c r="C12" s="246"/>
      <c r="D12" s="246"/>
    </row>
    <row r="13" spans="1:4" x14ac:dyDescent="0.2">
      <c r="A13" s="85"/>
      <c r="B13" s="246"/>
      <c r="C13" s="246"/>
      <c r="D13" s="246"/>
    </row>
    <row r="14" spans="1:4" x14ac:dyDescent="0.2">
      <c r="A14" s="282" t="s">
        <v>142</v>
      </c>
      <c r="B14" s="252">
        <f>SUM(B7:B13)</f>
        <v>0</v>
      </c>
      <c r="C14" s="252">
        <f>SUM(C7:C13)</f>
        <v>0</v>
      </c>
      <c r="D14" s="252">
        <f>SUM(D7:D13)</f>
        <v>0</v>
      </c>
    </row>
    <row r="15" spans="1:4" x14ac:dyDescent="0.2">
      <c r="A15" s="202"/>
      <c r="B15" s="89"/>
      <c r="C15" s="89"/>
      <c r="D15" s="89"/>
    </row>
    <row r="16" spans="1:4" x14ac:dyDescent="0.2">
      <c r="A16" s="284" t="s">
        <v>182</v>
      </c>
      <c r="B16" s="246"/>
      <c r="C16" s="246"/>
      <c r="D16" s="246"/>
    </row>
    <row r="17" spans="1:4" x14ac:dyDescent="0.2">
      <c r="A17" s="284" t="s">
        <v>175</v>
      </c>
      <c r="B17" s="246"/>
      <c r="C17" s="246"/>
      <c r="D17" s="246"/>
    </row>
    <row r="18" spans="1:4" x14ac:dyDescent="0.2">
      <c r="A18" s="284" t="s">
        <v>176</v>
      </c>
      <c r="B18" s="246"/>
      <c r="C18" s="246"/>
      <c r="D18" s="246"/>
    </row>
    <row r="19" spans="1:4" x14ac:dyDescent="0.2">
      <c r="A19" s="284" t="s">
        <v>177</v>
      </c>
      <c r="B19" s="246"/>
      <c r="C19" s="246"/>
      <c r="D19" s="246"/>
    </row>
    <row r="20" spans="1:4" x14ac:dyDescent="0.2">
      <c r="A20" s="284"/>
      <c r="B20" s="246"/>
      <c r="C20" s="246"/>
      <c r="D20" s="246"/>
    </row>
    <row r="21" spans="1:4" x14ac:dyDescent="0.2">
      <c r="A21" s="282" t="s">
        <v>142</v>
      </c>
      <c r="B21" s="252">
        <f>SUM(B16:B20)</f>
        <v>0</v>
      </c>
      <c r="C21" s="252">
        <f>SUM(C16:C20)</f>
        <v>0</v>
      </c>
      <c r="D21" s="252">
        <f>SUM(D16:D20)</f>
        <v>0</v>
      </c>
    </row>
    <row r="22" spans="1:4" x14ac:dyDescent="0.2">
      <c r="A22" s="202"/>
      <c r="B22" s="89"/>
      <c r="C22" s="89"/>
      <c r="D22" s="89"/>
    </row>
    <row r="23" spans="1:4" x14ac:dyDescent="0.2">
      <c r="A23" s="284" t="s">
        <v>182</v>
      </c>
      <c r="B23" s="246"/>
      <c r="C23" s="246"/>
      <c r="D23" s="246"/>
    </row>
    <row r="24" spans="1:4" x14ac:dyDescent="0.2">
      <c r="A24" s="284" t="s">
        <v>175</v>
      </c>
      <c r="B24" s="246"/>
      <c r="C24" s="246"/>
      <c r="D24" s="246"/>
    </row>
    <row r="25" spans="1:4" x14ac:dyDescent="0.2">
      <c r="A25" s="284" t="s">
        <v>176</v>
      </c>
      <c r="B25" s="246"/>
      <c r="C25" s="246"/>
      <c r="D25" s="246"/>
    </row>
    <row r="26" spans="1:4" x14ac:dyDescent="0.2">
      <c r="A26" s="284" t="s">
        <v>177</v>
      </c>
      <c r="B26" s="246"/>
      <c r="C26" s="246"/>
      <c r="D26" s="246"/>
    </row>
    <row r="27" spans="1:4" x14ac:dyDescent="0.2">
      <c r="A27" s="284"/>
      <c r="B27" s="246"/>
      <c r="C27" s="246"/>
      <c r="D27" s="246"/>
    </row>
    <row r="28" spans="1:4" x14ac:dyDescent="0.2">
      <c r="A28" s="282" t="s">
        <v>142</v>
      </c>
      <c r="B28" s="252">
        <f>SUM(B23:B27)</f>
        <v>0</v>
      </c>
      <c r="C28" s="252">
        <f>SUM(C23:C27)</f>
        <v>0</v>
      </c>
      <c r="D28" s="252">
        <f>SUM(D23:D27)</f>
        <v>0</v>
      </c>
    </row>
    <row r="29" spans="1:4" x14ac:dyDescent="0.2">
      <c r="A29" s="202"/>
      <c r="B29" s="89"/>
      <c r="C29" s="89"/>
      <c r="D29" s="89"/>
    </row>
    <row r="30" spans="1:4" x14ac:dyDescent="0.2">
      <c r="A30" s="284" t="s">
        <v>182</v>
      </c>
      <c r="B30" s="246"/>
      <c r="C30" s="246"/>
      <c r="D30" s="246"/>
    </row>
    <row r="31" spans="1:4" x14ac:dyDescent="0.2">
      <c r="A31" s="284" t="s">
        <v>175</v>
      </c>
      <c r="B31" s="246"/>
      <c r="C31" s="246"/>
      <c r="D31" s="246"/>
    </row>
    <row r="32" spans="1:4" x14ac:dyDescent="0.2">
      <c r="A32" s="284" t="s">
        <v>176</v>
      </c>
      <c r="B32" s="246"/>
      <c r="C32" s="246"/>
      <c r="D32" s="246"/>
    </row>
    <row r="33" spans="1:4" x14ac:dyDescent="0.2">
      <c r="A33" s="284" t="s">
        <v>177</v>
      </c>
      <c r="B33" s="246"/>
      <c r="C33" s="246"/>
      <c r="D33" s="246"/>
    </row>
    <row r="34" spans="1:4" x14ac:dyDescent="0.2">
      <c r="A34" s="282" t="s">
        <v>142</v>
      </c>
      <c r="B34" s="252">
        <f>SUM(B30:B33)</f>
        <v>0</v>
      </c>
      <c r="C34" s="252">
        <f>SUM(C30:C33)</f>
        <v>0</v>
      </c>
      <c r="D34" s="252">
        <f>SUM(D30:D33)</f>
        <v>0</v>
      </c>
    </row>
    <row r="35" spans="1:4" x14ac:dyDescent="0.2">
      <c r="A35" s="202"/>
      <c r="B35" s="89"/>
      <c r="C35" s="89"/>
      <c r="D35" s="89"/>
    </row>
    <row r="36" spans="1:4" x14ac:dyDescent="0.2">
      <c r="A36" s="284" t="s">
        <v>182</v>
      </c>
      <c r="B36" s="246"/>
      <c r="C36" s="246"/>
      <c r="D36" s="246"/>
    </row>
    <row r="37" spans="1:4" x14ac:dyDescent="0.2">
      <c r="A37" s="284" t="s">
        <v>175</v>
      </c>
      <c r="B37" s="246"/>
      <c r="C37" s="246"/>
      <c r="D37" s="246"/>
    </row>
    <row r="38" spans="1:4" x14ac:dyDescent="0.2">
      <c r="A38" s="284" t="s">
        <v>176</v>
      </c>
      <c r="B38" s="246"/>
      <c r="C38" s="246"/>
      <c r="D38" s="246"/>
    </row>
    <row r="39" spans="1:4" x14ac:dyDescent="0.2">
      <c r="A39" s="284" t="s">
        <v>177</v>
      </c>
      <c r="B39" s="246"/>
      <c r="C39" s="246"/>
      <c r="D39" s="246"/>
    </row>
    <row r="40" spans="1:4" x14ac:dyDescent="0.2">
      <c r="A40" s="284"/>
      <c r="B40" s="246"/>
      <c r="C40" s="246"/>
      <c r="D40" s="246"/>
    </row>
    <row r="41" spans="1:4" x14ac:dyDescent="0.2">
      <c r="A41" s="282" t="s">
        <v>142</v>
      </c>
      <c r="B41" s="252">
        <f>SUM(B36:B40)</f>
        <v>0</v>
      </c>
      <c r="C41" s="252">
        <f>SUM(C36:C40)</f>
        <v>0</v>
      </c>
      <c r="D41" s="252">
        <f>SUM(D36:D40)</f>
        <v>0</v>
      </c>
    </row>
    <row r="42" spans="1:4" x14ac:dyDescent="0.2">
      <c r="A42" s="202"/>
      <c r="B42" s="89"/>
      <c r="C42" s="89"/>
      <c r="D42" s="89"/>
    </row>
    <row r="43" spans="1:4" x14ac:dyDescent="0.2">
      <c r="A43" s="284" t="s">
        <v>182</v>
      </c>
      <c r="B43" s="246"/>
      <c r="C43" s="246"/>
      <c r="D43" s="246"/>
    </row>
    <row r="44" spans="1:4" x14ac:dyDescent="0.2">
      <c r="A44" s="284" t="s">
        <v>175</v>
      </c>
      <c r="B44" s="246"/>
      <c r="C44" s="246"/>
      <c r="D44" s="246"/>
    </row>
    <row r="45" spans="1:4" x14ac:dyDescent="0.2">
      <c r="A45" s="284" t="s">
        <v>176</v>
      </c>
      <c r="B45" s="246"/>
      <c r="C45" s="246"/>
      <c r="D45" s="246"/>
    </row>
    <row r="46" spans="1:4" x14ac:dyDescent="0.2">
      <c r="A46" s="284" t="s">
        <v>177</v>
      </c>
      <c r="B46" s="246"/>
      <c r="C46" s="246"/>
      <c r="D46" s="246"/>
    </row>
    <row r="47" spans="1:4" x14ac:dyDescent="0.2">
      <c r="A47" s="284"/>
      <c r="B47" s="246"/>
      <c r="C47" s="246"/>
      <c r="D47" s="246"/>
    </row>
    <row r="48" spans="1:4" x14ac:dyDescent="0.2">
      <c r="A48" s="282" t="s">
        <v>142</v>
      </c>
      <c r="B48" s="252">
        <f>SUM(B43:B47)</f>
        <v>0</v>
      </c>
      <c r="C48" s="252">
        <f>SUM(C43:C47)</f>
        <v>0</v>
      </c>
      <c r="D48" s="252">
        <f>SUM(D43:D47)</f>
        <v>0</v>
      </c>
    </row>
    <row r="49" spans="1:4" x14ac:dyDescent="0.2">
      <c r="A49" s="202"/>
      <c r="B49" s="89"/>
      <c r="C49" s="89"/>
      <c r="D49" s="89"/>
    </row>
    <row r="50" spans="1:4" x14ac:dyDescent="0.2">
      <c r="A50" s="284" t="s">
        <v>182</v>
      </c>
      <c r="B50" s="246"/>
      <c r="C50" s="246"/>
      <c r="D50" s="246"/>
    </row>
    <row r="51" spans="1:4" x14ac:dyDescent="0.2">
      <c r="A51" s="284" t="s">
        <v>175</v>
      </c>
      <c r="B51" s="246"/>
      <c r="C51" s="246"/>
      <c r="D51" s="246"/>
    </row>
    <row r="52" spans="1:4" x14ac:dyDescent="0.2">
      <c r="A52" s="284" t="s">
        <v>176</v>
      </c>
      <c r="B52" s="246"/>
      <c r="C52" s="246"/>
      <c r="D52" s="246"/>
    </row>
    <row r="53" spans="1:4" x14ac:dyDescent="0.2">
      <c r="A53" s="284" t="s">
        <v>177</v>
      </c>
      <c r="B53" s="246"/>
      <c r="C53" s="246"/>
      <c r="D53" s="246"/>
    </row>
    <row r="54" spans="1:4" x14ac:dyDescent="0.2">
      <c r="A54" s="284"/>
      <c r="B54" s="246"/>
      <c r="C54" s="246"/>
      <c r="D54" s="246"/>
    </row>
    <row r="55" spans="1:4" x14ac:dyDescent="0.2">
      <c r="A55" s="282" t="s">
        <v>142</v>
      </c>
      <c r="B55" s="252">
        <f>SUM(B50:B54)</f>
        <v>0</v>
      </c>
      <c r="C55" s="252">
        <f>SUM(C50:C54)</f>
        <v>0</v>
      </c>
      <c r="D55" s="252">
        <f>SUM(D50:D54)</f>
        <v>0</v>
      </c>
    </row>
    <row r="56" spans="1:4" x14ac:dyDescent="0.2">
      <c r="A56" s="202"/>
      <c r="B56" s="89"/>
      <c r="C56" s="89"/>
      <c r="D56" s="89"/>
    </row>
    <row r="57" spans="1:4" x14ac:dyDescent="0.2">
      <c r="A57" s="284" t="s">
        <v>182</v>
      </c>
      <c r="B57" s="246"/>
      <c r="C57" s="246"/>
      <c r="D57" s="246"/>
    </row>
    <row r="58" spans="1:4" x14ac:dyDescent="0.2">
      <c r="A58" s="284" t="s">
        <v>175</v>
      </c>
      <c r="B58" s="246"/>
      <c r="C58" s="246"/>
      <c r="D58" s="246"/>
    </row>
    <row r="59" spans="1:4" x14ac:dyDescent="0.2">
      <c r="A59" s="284" t="s">
        <v>176</v>
      </c>
      <c r="B59" s="246"/>
      <c r="C59" s="246"/>
      <c r="D59" s="246"/>
    </row>
    <row r="60" spans="1:4" x14ac:dyDescent="0.2">
      <c r="A60" s="284" t="s">
        <v>177</v>
      </c>
      <c r="B60" s="246"/>
      <c r="C60" s="246"/>
      <c r="D60" s="246"/>
    </row>
    <row r="61" spans="1:4" x14ac:dyDescent="0.2">
      <c r="A61" s="284"/>
      <c r="B61" s="246"/>
      <c r="C61" s="246"/>
      <c r="D61" s="246"/>
    </row>
    <row r="62" spans="1:4" x14ac:dyDescent="0.2">
      <c r="A62" s="282" t="s">
        <v>142</v>
      </c>
      <c r="B62" s="252">
        <f>SUM(B57:B61)</f>
        <v>0</v>
      </c>
      <c r="C62" s="252">
        <f>SUM(C57:C61)</f>
        <v>0</v>
      </c>
      <c r="D62" s="252">
        <f>SUM(D57:D61)</f>
        <v>0</v>
      </c>
    </row>
    <row r="63" spans="1:4" x14ac:dyDescent="0.2">
      <c r="A63" s="69"/>
      <c r="B63" s="89"/>
      <c r="C63" s="89"/>
      <c r="D63" s="89"/>
    </row>
    <row r="64" spans="1:4" ht="16.5" thickBot="1" x14ac:dyDescent="0.25">
      <c r="A64" s="282" t="s">
        <v>183</v>
      </c>
      <c r="B64" s="285">
        <f>B14+B21+B28+B34+B41+B48+B55+B62</f>
        <v>0</v>
      </c>
      <c r="C64" s="285">
        <f>C14+C21+C28+C34+C41+C48+C55+C62</f>
        <v>0</v>
      </c>
      <c r="D64" s="285">
        <f>D14+D21+D28+D34+D41+D48+D55+D62</f>
        <v>0</v>
      </c>
    </row>
    <row r="65" spans="1:4" ht="16.5" thickTop="1" x14ac:dyDescent="0.2">
      <c r="A65" s="131"/>
      <c r="B65" s="89"/>
      <c r="C65" s="89"/>
      <c r="D65" s="89"/>
    </row>
    <row r="66" spans="1:4" x14ac:dyDescent="0.2">
      <c r="A66" s="135" t="s">
        <v>181</v>
      </c>
      <c r="B66" s="287" t="str">
        <f>CONCATENATE("",General!D58,"b")</f>
        <v>6b</v>
      </c>
      <c r="C66" s="89"/>
      <c r="D66" s="89"/>
    </row>
    <row r="67" spans="1:4" x14ac:dyDescent="0.2">
      <c r="A67" s="286"/>
      <c r="B67" s="287"/>
      <c r="C67" s="287"/>
      <c r="D67" s="287"/>
    </row>
    <row r="68" spans="1:4" x14ac:dyDescent="0.2">
      <c r="A68" s="287">
        <f>A1</f>
        <v>0</v>
      </c>
      <c r="B68" s="286"/>
      <c r="C68" s="288"/>
      <c r="D68" s="286">
        <f>D1</f>
        <v>2025</v>
      </c>
    </row>
    <row r="69" spans="1:4" x14ac:dyDescent="0.2">
      <c r="A69" s="286"/>
      <c r="B69" s="286"/>
      <c r="C69" s="286"/>
      <c r="D69" s="288"/>
    </row>
    <row r="70" spans="1:4" x14ac:dyDescent="0.2">
      <c r="A70" s="394" t="s">
        <v>162</v>
      </c>
      <c r="B70" s="387" t="str">
        <f t="shared" ref="B70:D71" si="0">B3</f>
        <v xml:space="preserve">Prior Year </v>
      </c>
      <c r="C70" s="387" t="str">
        <f t="shared" si="0"/>
        <v>Current Year</v>
      </c>
      <c r="D70" s="387" t="str">
        <f t="shared" si="0"/>
        <v xml:space="preserve">Proposed Budget </v>
      </c>
    </row>
    <row r="71" spans="1:4" x14ac:dyDescent="0.2">
      <c r="A71" s="395" t="s">
        <v>269</v>
      </c>
      <c r="B71" s="396" t="str">
        <f t="shared" si="0"/>
        <v>Actual for 2023</v>
      </c>
      <c r="C71" s="396" t="str">
        <f t="shared" si="0"/>
        <v>Estimate for 2024</v>
      </c>
      <c r="D71" s="396" t="str">
        <f t="shared" si="0"/>
        <v>Year for 2025</v>
      </c>
    </row>
    <row r="72" spans="1:4" x14ac:dyDescent="0.2">
      <c r="A72" s="289" t="s">
        <v>174</v>
      </c>
      <c r="B72" s="290"/>
      <c r="C72" s="290"/>
      <c r="D72" s="290"/>
    </row>
    <row r="73" spans="1:4" x14ac:dyDescent="0.2">
      <c r="A73" s="291"/>
      <c r="B73" s="290"/>
      <c r="C73" s="290"/>
      <c r="D73" s="290"/>
    </row>
    <row r="74" spans="1:4" x14ac:dyDescent="0.2">
      <c r="A74" s="291" t="s">
        <v>182</v>
      </c>
      <c r="B74" s="292"/>
      <c r="C74" s="292"/>
      <c r="D74" s="292"/>
    </row>
    <row r="75" spans="1:4" x14ac:dyDescent="0.2">
      <c r="A75" s="291" t="s">
        <v>175</v>
      </c>
      <c r="B75" s="292"/>
      <c r="C75" s="292"/>
      <c r="D75" s="292"/>
    </row>
    <row r="76" spans="1:4" x14ac:dyDescent="0.2">
      <c r="A76" s="291" t="s">
        <v>176</v>
      </c>
      <c r="B76" s="292"/>
      <c r="C76" s="292"/>
      <c r="D76" s="292"/>
    </row>
    <row r="77" spans="1:4" x14ac:dyDescent="0.2">
      <c r="A77" s="291" t="s">
        <v>177</v>
      </c>
      <c r="B77" s="292"/>
      <c r="C77" s="292"/>
      <c r="D77" s="292"/>
    </row>
    <row r="78" spans="1:4" x14ac:dyDescent="0.2">
      <c r="A78" s="293"/>
      <c r="B78" s="292"/>
      <c r="C78" s="292"/>
      <c r="D78" s="292"/>
    </row>
    <row r="79" spans="1:4" x14ac:dyDescent="0.2">
      <c r="A79" s="289" t="s">
        <v>142</v>
      </c>
      <c r="B79" s="294">
        <f>SUM(B74:B78)</f>
        <v>0</v>
      </c>
      <c r="C79" s="294">
        <f>SUM(C74:C78)</f>
        <v>0</v>
      </c>
      <c r="D79" s="294">
        <f>SUM(D74:D78)</f>
        <v>0</v>
      </c>
    </row>
    <row r="80" spans="1:4" x14ac:dyDescent="0.2">
      <c r="A80" s="295"/>
      <c r="B80" s="287"/>
      <c r="C80" s="287"/>
      <c r="D80" s="287"/>
    </row>
    <row r="81" spans="1:4" x14ac:dyDescent="0.2">
      <c r="A81" s="291" t="s">
        <v>182</v>
      </c>
      <c r="B81" s="292"/>
      <c r="C81" s="292"/>
      <c r="D81" s="292"/>
    </row>
    <row r="82" spans="1:4" x14ac:dyDescent="0.2">
      <c r="A82" s="291" t="s">
        <v>175</v>
      </c>
      <c r="B82" s="292"/>
      <c r="C82" s="292"/>
      <c r="D82" s="292"/>
    </row>
    <row r="83" spans="1:4" x14ac:dyDescent="0.2">
      <c r="A83" s="291" t="s">
        <v>176</v>
      </c>
      <c r="B83" s="292"/>
      <c r="C83" s="292"/>
      <c r="D83" s="292"/>
    </row>
    <row r="84" spans="1:4" x14ac:dyDescent="0.2">
      <c r="A84" s="291" t="s">
        <v>177</v>
      </c>
      <c r="B84" s="292"/>
      <c r="C84" s="292"/>
      <c r="D84" s="292"/>
    </row>
    <row r="85" spans="1:4" x14ac:dyDescent="0.2">
      <c r="A85" s="291"/>
      <c r="B85" s="292"/>
      <c r="C85" s="292"/>
      <c r="D85" s="292"/>
    </row>
    <row r="86" spans="1:4" x14ac:dyDescent="0.2">
      <c r="A86" s="289" t="s">
        <v>142</v>
      </c>
      <c r="B86" s="294">
        <f>SUM(B81:B85)</f>
        <v>0</v>
      </c>
      <c r="C86" s="294">
        <f>SUM(C81:C85)</f>
        <v>0</v>
      </c>
      <c r="D86" s="294">
        <f>SUM(D81:D85)</f>
        <v>0</v>
      </c>
    </row>
    <row r="87" spans="1:4" x14ac:dyDescent="0.2">
      <c r="A87" s="295"/>
      <c r="B87" s="287"/>
      <c r="C87" s="287"/>
      <c r="D87" s="287"/>
    </row>
    <row r="88" spans="1:4" x14ac:dyDescent="0.2">
      <c r="A88" s="291" t="s">
        <v>182</v>
      </c>
      <c r="B88" s="292"/>
      <c r="C88" s="292"/>
      <c r="D88" s="292"/>
    </row>
    <row r="89" spans="1:4" x14ac:dyDescent="0.2">
      <c r="A89" s="291" t="s">
        <v>175</v>
      </c>
      <c r="B89" s="292"/>
      <c r="C89" s="292"/>
      <c r="D89" s="292"/>
    </row>
    <row r="90" spans="1:4" x14ac:dyDescent="0.2">
      <c r="A90" s="291" t="s">
        <v>176</v>
      </c>
      <c r="B90" s="292"/>
      <c r="C90" s="292"/>
      <c r="D90" s="292"/>
    </row>
    <row r="91" spans="1:4" x14ac:dyDescent="0.2">
      <c r="A91" s="291" t="s">
        <v>177</v>
      </c>
      <c r="B91" s="292"/>
      <c r="C91" s="292"/>
      <c r="D91" s="292"/>
    </row>
    <row r="92" spans="1:4" x14ac:dyDescent="0.2">
      <c r="A92" s="291"/>
      <c r="B92" s="292"/>
      <c r="C92" s="292"/>
      <c r="D92" s="292"/>
    </row>
    <row r="93" spans="1:4" x14ac:dyDescent="0.2">
      <c r="A93" s="289" t="s">
        <v>142</v>
      </c>
      <c r="B93" s="294">
        <f>SUM(B88:B92)</f>
        <v>0</v>
      </c>
      <c r="C93" s="294">
        <f>SUM(C88:C92)</f>
        <v>0</v>
      </c>
      <c r="D93" s="294">
        <f>SUM(D88:D92)</f>
        <v>0</v>
      </c>
    </row>
    <row r="94" spans="1:4" x14ac:dyDescent="0.2">
      <c r="A94" s="295"/>
      <c r="B94" s="287"/>
      <c r="C94" s="287"/>
      <c r="D94" s="287"/>
    </row>
    <row r="95" spans="1:4" x14ac:dyDescent="0.2">
      <c r="A95" s="291" t="s">
        <v>182</v>
      </c>
      <c r="B95" s="292"/>
      <c r="C95" s="292"/>
      <c r="D95" s="292"/>
    </row>
    <row r="96" spans="1:4" x14ac:dyDescent="0.2">
      <c r="A96" s="291" t="s">
        <v>175</v>
      </c>
      <c r="B96" s="292"/>
      <c r="C96" s="292"/>
      <c r="D96" s="292"/>
    </row>
    <row r="97" spans="1:4" x14ac:dyDescent="0.2">
      <c r="A97" s="291" t="s">
        <v>176</v>
      </c>
      <c r="B97" s="292"/>
      <c r="C97" s="292"/>
      <c r="D97" s="292"/>
    </row>
    <row r="98" spans="1:4" x14ac:dyDescent="0.2">
      <c r="A98" s="291" t="s">
        <v>177</v>
      </c>
      <c r="B98" s="292"/>
      <c r="C98" s="292"/>
      <c r="D98" s="292"/>
    </row>
    <row r="99" spans="1:4" x14ac:dyDescent="0.2">
      <c r="A99" s="289" t="s">
        <v>142</v>
      </c>
      <c r="B99" s="294">
        <f>SUM(B95:B98)</f>
        <v>0</v>
      </c>
      <c r="C99" s="294">
        <f>SUM(C95:C98)</f>
        <v>0</v>
      </c>
      <c r="D99" s="294">
        <f>SUM(D95:D98)</f>
        <v>0</v>
      </c>
    </row>
    <row r="100" spans="1:4" x14ac:dyDescent="0.2">
      <c r="A100" s="295"/>
      <c r="B100" s="287"/>
      <c r="C100" s="287"/>
      <c r="D100" s="287"/>
    </row>
    <row r="101" spans="1:4" x14ac:dyDescent="0.2">
      <c r="A101" s="291" t="s">
        <v>182</v>
      </c>
      <c r="B101" s="292"/>
      <c r="C101" s="292"/>
      <c r="D101" s="292"/>
    </row>
    <row r="102" spans="1:4" x14ac:dyDescent="0.2">
      <c r="A102" s="291" t="s">
        <v>175</v>
      </c>
      <c r="B102" s="292"/>
      <c r="C102" s="292"/>
      <c r="D102" s="292"/>
    </row>
    <row r="103" spans="1:4" x14ac:dyDescent="0.2">
      <c r="A103" s="291" t="s">
        <v>176</v>
      </c>
      <c r="B103" s="292"/>
      <c r="C103" s="292"/>
      <c r="D103" s="292"/>
    </row>
    <row r="104" spans="1:4" x14ac:dyDescent="0.2">
      <c r="A104" s="291" t="s">
        <v>177</v>
      </c>
      <c r="B104" s="292"/>
      <c r="C104" s="292"/>
      <c r="D104" s="292"/>
    </row>
    <row r="105" spans="1:4" x14ac:dyDescent="0.2">
      <c r="A105" s="291"/>
      <c r="B105" s="292"/>
      <c r="C105" s="292"/>
      <c r="D105" s="292"/>
    </row>
    <row r="106" spans="1:4" x14ac:dyDescent="0.2">
      <c r="A106" s="289" t="s">
        <v>142</v>
      </c>
      <c r="B106" s="294">
        <f>SUM(B101:B105)</f>
        <v>0</v>
      </c>
      <c r="C106" s="294">
        <f>SUM(C101:C105)</f>
        <v>0</v>
      </c>
      <c r="D106" s="294">
        <f>SUM(D101:D105)</f>
        <v>0</v>
      </c>
    </row>
    <row r="107" spans="1:4" x14ac:dyDescent="0.2">
      <c r="A107" s="295"/>
      <c r="B107" s="287"/>
      <c r="C107" s="287"/>
      <c r="D107" s="287"/>
    </row>
    <row r="108" spans="1:4" x14ac:dyDescent="0.2">
      <c r="A108" s="291" t="s">
        <v>182</v>
      </c>
      <c r="B108" s="292"/>
      <c r="C108" s="292"/>
      <c r="D108" s="292"/>
    </row>
    <row r="109" spans="1:4" x14ac:dyDescent="0.2">
      <c r="A109" s="291" t="s">
        <v>175</v>
      </c>
      <c r="B109" s="292"/>
      <c r="C109" s="292"/>
      <c r="D109" s="292"/>
    </row>
    <row r="110" spans="1:4" x14ac:dyDescent="0.2">
      <c r="A110" s="291" t="s">
        <v>176</v>
      </c>
      <c r="B110" s="292"/>
      <c r="C110" s="292"/>
      <c r="D110" s="292"/>
    </row>
    <row r="111" spans="1:4" x14ac:dyDescent="0.2">
      <c r="A111" s="291" t="s">
        <v>177</v>
      </c>
      <c r="B111" s="292"/>
      <c r="C111" s="292"/>
      <c r="D111" s="292"/>
    </row>
    <row r="112" spans="1:4" x14ac:dyDescent="0.2">
      <c r="A112" s="291"/>
      <c r="B112" s="292"/>
      <c r="C112" s="292"/>
      <c r="D112" s="292"/>
    </row>
    <row r="113" spans="1:4" x14ac:dyDescent="0.2">
      <c r="A113" s="289" t="s">
        <v>142</v>
      </c>
      <c r="B113" s="294">
        <f>SUM(B108:B112)</f>
        <v>0</v>
      </c>
      <c r="C113" s="294">
        <f>SUM(C108:C112)</f>
        <v>0</v>
      </c>
      <c r="D113" s="294">
        <f>SUM(D108:D112)</f>
        <v>0</v>
      </c>
    </row>
    <row r="114" spans="1:4" x14ac:dyDescent="0.2">
      <c r="A114" s="295"/>
      <c r="B114" s="287"/>
      <c r="C114" s="287"/>
      <c r="D114" s="287"/>
    </row>
    <row r="115" spans="1:4" x14ac:dyDescent="0.2">
      <c r="A115" s="291" t="s">
        <v>182</v>
      </c>
      <c r="B115" s="292"/>
      <c r="C115" s="292"/>
      <c r="D115" s="292"/>
    </row>
    <row r="116" spans="1:4" x14ac:dyDescent="0.2">
      <c r="A116" s="291" t="s">
        <v>175</v>
      </c>
      <c r="B116" s="292"/>
      <c r="C116" s="292"/>
      <c r="D116" s="292"/>
    </row>
    <row r="117" spans="1:4" x14ac:dyDescent="0.2">
      <c r="A117" s="291" t="s">
        <v>176</v>
      </c>
      <c r="B117" s="292"/>
      <c r="C117" s="292"/>
      <c r="D117" s="292"/>
    </row>
    <row r="118" spans="1:4" x14ac:dyDescent="0.2">
      <c r="A118" s="291" t="s">
        <v>177</v>
      </c>
      <c r="B118" s="292"/>
      <c r="C118" s="292"/>
      <c r="D118" s="292"/>
    </row>
    <row r="119" spans="1:4" x14ac:dyDescent="0.2">
      <c r="A119" s="291"/>
      <c r="B119" s="292"/>
      <c r="C119" s="292"/>
      <c r="D119" s="292"/>
    </row>
    <row r="120" spans="1:4" x14ac:dyDescent="0.2">
      <c r="A120" s="289" t="s">
        <v>142</v>
      </c>
      <c r="B120" s="294">
        <f>SUM(B115:B119)</f>
        <v>0</v>
      </c>
      <c r="C120" s="294">
        <f>SUM(C115:C119)</f>
        <v>0</v>
      </c>
      <c r="D120" s="294">
        <f>SUM(D115:D119)</f>
        <v>0</v>
      </c>
    </row>
    <row r="121" spans="1:4" x14ac:dyDescent="0.2">
      <c r="A121" s="295"/>
      <c r="B121" s="287"/>
      <c r="C121" s="287"/>
      <c r="D121" s="287"/>
    </row>
    <row r="122" spans="1:4" x14ac:dyDescent="0.2">
      <c r="A122" s="291" t="s">
        <v>182</v>
      </c>
      <c r="B122" s="292"/>
      <c r="C122" s="292"/>
      <c r="D122" s="292"/>
    </row>
    <row r="123" spans="1:4" x14ac:dyDescent="0.2">
      <c r="A123" s="291" t="s">
        <v>175</v>
      </c>
      <c r="B123" s="292"/>
      <c r="C123" s="292"/>
      <c r="D123" s="292"/>
    </row>
    <row r="124" spans="1:4" x14ac:dyDescent="0.2">
      <c r="A124" s="291" t="s">
        <v>176</v>
      </c>
      <c r="B124" s="292"/>
      <c r="C124" s="292"/>
      <c r="D124" s="292"/>
    </row>
    <row r="125" spans="1:4" x14ac:dyDescent="0.2">
      <c r="A125" s="291" t="s">
        <v>177</v>
      </c>
      <c r="B125" s="292"/>
      <c r="C125" s="292"/>
      <c r="D125" s="292"/>
    </row>
    <row r="126" spans="1:4" x14ac:dyDescent="0.2">
      <c r="A126" s="291"/>
      <c r="B126" s="292"/>
      <c r="C126" s="292"/>
      <c r="D126" s="292"/>
    </row>
    <row r="127" spans="1:4" x14ac:dyDescent="0.2">
      <c r="A127" s="289" t="s">
        <v>142</v>
      </c>
      <c r="B127" s="294">
        <f>SUM(B122:B126)</f>
        <v>0</v>
      </c>
      <c r="C127" s="294">
        <f>SUM(C122:C126)</f>
        <v>0</v>
      </c>
      <c r="D127" s="294">
        <f>SUM(D122:D126)</f>
        <v>0</v>
      </c>
    </row>
    <row r="128" spans="1:4" x14ac:dyDescent="0.2">
      <c r="A128" s="289"/>
      <c r="B128" s="287"/>
      <c r="C128" s="287"/>
      <c r="D128" s="287"/>
    </row>
    <row r="129" spans="1:4" x14ac:dyDescent="0.2">
      <c r="A129" s="296" t="s">
        <v>270</v>
      </c>
      <c r="B129" s="297">
        <f>B79+B86+B93+B99+B106+B113+B120+B127</f>
        <v>0</v>
      </c>
      <c r="C129" s="297">
        <f>C79+C86+C93+C99+C106+C113+C120+C127</f>
        <v>0</v>
      </c>
      <c r="D129" s="297">
        <f>D79+D86+D93+D99+D106+D113+D120+D127</f>
        <v>0</v>
      </c>
    </row>
    <row r="130" spans="1:4" x14ac:dyDescent="0.2">
      <c r="A130" s="289" t="s">
        <v>271</v>
      </c>
      <c r="B130" s="294">
        <f>B64</f>
        <v>0</v>
      </c>
      <c r="C130" s="294">
        <f>C64</f>
        <v>0</v>
      </c>
      <c r="D130" s="294">
        <f>D64</f>
        <v>0</v>
      </c>
    </row>
    <row r="131" spans="1:4" ht="16.5" thickBot="1" x14ac:dyDescent="0.25">
      <c r="A131" s="289" t="s">
        <v>272</v>
      </c>
      <c r="B131" s="299">
        <f>SUM(B129:B130)</f>
        <v>0</v>
      </c>
      <c r="C131" s="299">
        <f>SUM(C129:C130)</f>
        <v>0</v>
      </c>
      <c r="D131" s="299">
        <f>SUM(D129:D130)</f>
        <v>0</v>
      </c>
    </row>
    <row r="132" spans="1:4" ht="16.5" thickTop="1" x14ac:dyDescent="0.2">
      <c r="A132" s="298" t="s">
        <v>126</v>
      </c>
      <c r="B132" s="287"/>
      <c r="C132" s="287"/>
      <c r="D132" s="287"/>
    </row>
    <row r="133" spans="1:4" x14ac:dyDescent="0.2">
      <c r="A133" s="135" t="s">
        <v>181</v>
      </c>
      <c r="B133" s="287" t="str">
        <f>CONCATENATE("",General!D58,"c")</f>
        <v>6c</v>
      </c>
      <c r="C133" s="287"/>
      <c r="D133" s="287"/>
    </row>
  </sheetData>
  <sheetProtection sheet="1"/>
  <phoneticPr fontId="0" type="noConversion"/>
  <pageMargins left="0.5" right="0.5" top="1" bottom="0.5" header="0.5" footer="0.5"/>
  <pageSetup scale="64" fitToHeight="2" orientation="portrait" blackAndWhite="1" horizontalDpi="300" verticalDpi="300" r:id="rId1"/>
  <headerFooter alignWithMargins="0">
    <oddHeader>&amp;RState of Kansas
City</oddHeader>
  </headerFooter>
  <rowBreaks count="1" manualBreakCount="1">
    <brk id="66"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F0"/>
    <pageSetUpPr fitToPage="1"/>
  </sheetPr>
  <dimension ref="B1:K98"/>
  <sheetViews>
    <sheetView zoomScaleNormal="100" workbookViewId="0">
      <selection activeCell="B31" sqref="B31"/>
    </sheetView>
  </sheetViews>
  <sheetFormatPr defaultColWidth="8.88671875" defaultRowHeight="15.75" x14ac:dyDescent="0.2"/>
  <cols>
    <col min="1" max="1" width="2.44140625" style="65" customWidth="1"/>
    <col min="2" max="2" width="31.109375" style="65" customWidth="1"/>
    <col min="3" max="4" width="15.77734375" style="65" customWidth="1"/>
    <col min="5" max="5" width="16.21875" style="65" customWidth="1"/>
    <col min="6" max="6" width="8.109375" style="65" customWidth="1"/>
    <col min="7" max="7" width="10.21875" style="65" customWidth="1"/>
    <col min="8" max="8" width="8.88671875" style="65"/>
    <col min="9" max="9" width="5.6640625" style="65" customWidth="1"/>
    <col min="10" max="10" width="10" style="65" customWidth="1"/>
    <col min="11" max="16384" width="8.88671875" style="65"/>
  </cols>
  <sheetData>
    <row r="1" spans="2:10" x14ac:dyDescent="0.2">
      <c r="B1" s="89">
        <f>inputPrYr!D3</f>
        <v>0</v>
      </c>
      <c r="C1" s="69"/>
      <c r="D1" s="69"/>
      <c r="E1" s="238">
        <f>inputPrYr!$C$10</f>
        <v>2025</v>
      </c>
    </row>
    <row r="2" spans="2:10" x14ac:dyDescent="0.2">
      <c r="B2" s="69"/>
      <c r="C2" s="69"/>
      <c r="D2" s="69"/>
      <c r="E2" s="161"/>
    </row>
    <row r="3" spans="2:10" x14ac:dyDescent="0.2">
      <c r="B3" s="335" t="s">
        <v>5</v>
      </c>
      <c r="C3" s="169"/>
      <c r="D3" s="169"/>
      <c r="E3" s="267"/>
    </row>
    <row r="4" spans="2:10" x14ac:dyDescent="0.2">
      <c r="B4" s="72" t="s">
        <v>162</v>
      </c>
      <c r="C4" s="392" t="s">
        <v>359</v>
      </c>
      <c r="D4" s="393" t="s">
        <v>360</v>
      </c>
      <c r="E4" s="142" t="s">
        <v>361</v>
      </c>
    </row>
    <row r="5" spans="2:10" x14ac:dyDescent="0.2">
      <c r="B5" s="377" t="str">
        <f>inputPrYr!B23</f>
        <v>Debt Service</v>
      </c>
      <c r="C5" s="318" t="str">
        <f>CONCATENATE("Actual for ",E1-2,"")</f>
        <v>Actual for 2023</v>
      </c>
      <c r="D5" s="318" t="str">
        <f>CONCATENATE("Estimate for ",E1-1,"")</f>
        <v>Estimate for 2024</v>
      </c>
      <c r="E5" s="176" t="str">
        <f>CONCATENATE("Year for ",E1,"")</f>
        <v>Year for 2025</v>
      </c>
    </row>
    <row r="6" spans="2:10" x14ac:dyDescent="0.2">
      <c r="B6" s="118" t="s">
        <v>18</v>
      </c>
      <c r="C6" s="317"/>
      <c r="D6" s="334">
        <f>C34</f>
        <v>0</v>
      </c>
      <c r="E6" s="268">
        <f>D34</f>
        <v>0</v>
      </c>
    </row>
    <row r="7" spans="2:10" x14ac:dyDescent="0.2">
      <c r="B7" s="244" t="s">
        <v>20</v>
      </c>
      <c r="C7" s="319"/>
      <c r="D7" s="334"/>
      <c r="E7" s="268"/>
    </row>
    <row r="8" spans="2:10" x14ac:dyDescent="0.2">
      <c r="B8" s="118" t="s">
        <v>163</v>
      </c>
      <c r="C8" s="317"/>
      <c r="D8" s="319">
        <f>IF(inputPrYr!H21&gt;0,inputPrYr!G23,inputPrYr!E23)</f>
        <v>0</v>
      </c>
      <c r="E8" s="262" t="s">
        <v>152</v>
      </c>
    </row>
    <row r="9" spans="2:10" x14ac:dyDescent="0.2">
      <c r="B9" s="118" t="s">
        <v>164</v>
      </c>
      <c r="C9" s="317"/>
      <c r="D9" s="317"/>
      <c r="E9" s="269"/>
    </row>
    <row r="10" spans="2:10" x14ac:dyDescent="0.2">
      <c r="B10" s="118" t="s">
        <v>165</v>
      </c>
      <c r="C10" s="317"/>
      <c r="D10" s="317"/>
      <c r="E10" s="270" t="str">
        <f>Mvalloc!D9</f>
        <v xml:space="preserve">  </v>
      </c>
    </row>
    <row r="11" spans="2:10" x14ac:dyDescent="0.2">
      <c r="B11" s="118" t="s">
        <v>166</v>
      </c>
      <c r="C11" s="317"/>
      <c r="D11" s="317"/>
      <c r="E11" s="270" t="str">
        <f>Mvalloc!E9</f>
        <v xml:space="preserve"> </v>
      </c>
      <c r="G11" s="806" t="str">
        <f>CONCATENATE("Desired Carryover Into ",E1+1,"")</f>
        <v>Desired Carryover Into 2026</v>
      </c>
      <c r="H11" s="792"/>
      <c r="I11" s="792"/>
      <c r="J11" s="793"/>
    </row>
    <row r="12" spans="2:10" x14ac:dyDescent="0.2">
      <c r="B12" s="256" t="s">
        <v>12</v>
      </c>
      <c r="C12" s="317"/>
      <c r="D12" s="317"/>
      <c r="E12" s="270" t="str">
        <f>Mvalloc!F9</f>
        <v xml:space="preserve"> </v>
      </c>
      <c r="G12" s="474"/>
      <c r="H12" s="286"/>
      <c r="I12" s="475"/>
      <c r="J12" s="476"/>
    </row>
    <row r="13" spans="2:10" x14ac:dyDescent="0.2">
      <c r="B13" s="585" t="s">
        <v>503</v>
      </c>
      <c r="C13" s="317"/>
      <c r="D13" s="317"/>
      <c r="E13" s="270" t="str">
        <f>Mvalloc!G9</f>
        <v xml:space="preserve"> </v>
      </c>
      <c r="G13" s="477" t="s">
        <v>341</v>
      </c>
      <c r="H13" s="475"/>
      <c r="I13" s="475"/>
      <c r="J13" s="478">
        <v>0</v>
      </c>
    </row>
    <row r="14" spans="2:10" x14ac:dyDescent="0.2">
      <c r="B14" s="585" t="s">
        <v>504</v>
      </c>
      <c r="C14" s="317"/>
      <c r="D14" s="317"/>
      <c r="E14" s="270" t="str">
        <f>Mvalloc!H9</f>
        <v xml:space="preserve"> </v>
      </c>
      <c r="G14" s="474" t="s">
        <v>342</v>
      </c>
      <c r="H14" s="286"/>
      <c r="I14" s="286"/>
      <c r="J14" s="479" t="str">
        <f>IF(J13=0,"",ROUND((J13+E40-G26)/inputOth!B14*1000,3)-G31)</f>
        <v/>
      </c>
    </row>
    <row r="15" spans="2:10" x14ac:dyDescent="0.2">
      <c r="B15" s="258"/>
      <c r="C15" s="317"/>
      <c r="D15" s="317"/>
      <c r="E15" s="269"/>
      <c r="G15" s="480" t="str">
        <f>CONCATENATE("",E1," Tot Exp/Non-Appr Must Be:")</f>
        <v>2025 Tot Exp/Non-Appr Must Be:</v>
      </c>
      <c r="H15" s="481"/>
      <c r="I15" s="482"/>
      <c r="J15" s="483">
        <f>IF(J13&gt;0,IF(E37&lt;E22,IF(J13=G26,E37,((J13-G26)*(1-D39))+E22),E37+(J13-G26)),0)</f>
        <v>0</v>
      </c>
    </row>
    <row r="16" spans="2:10" x14ac:dyDescent="0.2">
      <c r="B16" s="258"/>
      <c r="C16" s="317"/>
      <c r="D16" s="317"/>
      <c r="E16" s="269"/>
      <c r="G16" s="455" t="s">
        <v>424</v>
      </c>
      <c r="H16" s="484"/>
      <c r="I16" s="484"/>
      <c r="J16" s="457">
        <f>IF(J13&gt;0,J15-E37,0)</f>
        <v>0</v>
      </c>
    </row>
    <row r="17" spans="2:11" x14ac:dyDescent="0.2">
      <c r="B17" s="271" t="s">
        <v>170</v>
      </c>
      <c r="C17" s="317"/>
      <c r="D17" s="317"/>
      <c r="E17" s="269"/>
    </row>
    <row r="18" spans="2:11" x14ac:dyDescent="0.2">
      <c r="B18" s="249" t="s">
        <v>117</v>
      </c>
      <c r="C18" s="317"/>
      <c r="D18" s="317"/>
      <c r="E18" s="275">
        <f>'NR Rebate'!E7*-1</f>
        <v>0</v>
      </c>
      <c r="G18" s="807" t="str">
        <f>CONCATENATE("Projected Carryover Into ",E1+1,"")</f>
        <v>Projected Carryover Into 2026</v>
      </c>
      <c r="H18" s="808"/>
      <c r="I18" s="808"/>
      <c r="J18" s="793"/>
    </row>
    <row r="19" spans="2:11" x14ac:dyDescent="0.2">
      <c r="B19" s="249" t="s">
        <v>118</v>
      </c>
      <c r="C19" s="317"/>
      <c r="D19" s="317"/>
      <c r="E19" s="269"/>
      <c r="G19" s="441"/>
      <c r="H19" s="442"/>
      <c r="I19" s="442"/>
      <c r="J19" s="485"/>
    </row>
    <row r="20" spans="2:11" x14ac:dyDescent="0.2">
      <c r="B20" s="249" t="s">
        <v>334</v>
      </c>
      <c r="C20" s="312" t="str">
        <f>IF(C21*0.1&lt;C19,"Exceed 10% Rule","")</f>
        <v/>
      </c>
      <c r="D20" s="312" t="str">
        <f>IF(D21*0.1&lt;D19,"Exceed 10% Rule","")</f>
        <v/>
      </c>
      <c r="E20" s="272" t="str">
        <f>IF(E21*0.1+E40&lt;E19,"Exceed 10% Rule","")</f>
        <v/>
      </c>
      <c r="G20" s="486">
        <f>D34</f>
        <v>0</v>
      </c>
      <c r="H20" s="487" t="str">
        <f>CONCATENATE("",E1-1," Ending Cash Balance (est.)")</f>
        <v>2024 Ending Cash Balance (est.)</v>
      </c>
      <c r="I20" s="443"/>
      <c r="J20" s="485"/>
    </row>
    <row r="21" spans="2:11" x14ac:dyDescent="0.2">
      <c r="B21" s="251" t="s">
        <v>171</v>
      </c>
      <c r="C21" s="320">
        <f>SUM(C8:C19)</f>
        <v>0</v>
      </c>
      <c r="D21" s="321">
        <f>SUM(D8:D19)</f>
        <v>0</v>
      </c>
      <c r="E21" s="273">
        <f>SUM(E8:E19)</f>
        <v>0</v>
      </c>
      <c r="G21" s="486">
        <f>E21</f>
        <v>0</v>
      </c>
      <c r="H21" s="488" t="str">
        <f>CONCATENATE("",E1," Non-AV Receipts (est.)")</f>
        <v>2025 Non-AV Receipts (est.)</v>
      </c>
      <c r="I21" s="442"/>
      <c r="J21" s="485"/>
    </row>
    <row r="22" spans="2:11" x14ac:dyDescent="0.2">
      <c r="B22" s="251" t="s">
        <v>172</v>
      </c>
      <c r="C22" s="321">
        <f>C6+C21</f>
        <v>0</v>
      </c>
      <c r="D22" s="321">
        <f>D6+D21</f>
        <v>0</v>
      </c>
      <c r="E22" s="274">
        <f>E6+E21</f>
        <v>0</v>
      </c>
      <c r="G22" s="489">
        <f>IF(E39&gt;0,E38,E40)</f>
        <v>0</v>
      </c>
      <c r="H22" s="488" t="str">
        <f>CONCATENATE("",E1," Ad Valorem Tax (est.)")</f>
        <v>2025 Ad Valorem Tax (est.)</v>
      </c>
      <c r="I22" s="442"/>
      <c r="J22" s="485"/>
      <c r="K22" s="490" t="str">
        <f>IF(G22=E40,"","Note: Does not include Delinquent Taxes")</f>
        <v/>
      </c>
    </row>
    <row r="23" spans="2:11" x14ac:dyDescent="0.2">
      <c r="B23" s="244" t="s">
        <v>174</v>
      </c>
      <c r="C23" s="319"/>
      <c r="D23" s="319"/>
      <c r="E23" s="270"/>
      <c r="G23" s="486">
        <f>SUM(G20:G22)</f>
        <v>0</v>
      </c>
      <c r="H23" s="488" t="str">
        <f>CONCATENATE("Total ",E1," Resources Available")</f>
        <v>Total 2025 Resources Available</v>
      </c>
      <c r="I23" s="443"/>
      <c r="J23" s="485"/>
    </row>
    <row r="24" spans="2:11" x14ac:dyDescent="0.2">
      <c r="B24" s="245"/>
      <c r="C24" s="317"/>
      <c r="D24" s="317"/>
      <c r="E24" s="269"/>
      <c r="G24" s="491"/>
      <c r="H24" s="488"/>
      <c r="I24" s="442"/>
      <c r="J24" s="485"/>
    </row>
    <row r="25" spans="2:11" x14ac:dyDescent="0.2">
      <c r="B25" s="245"/>
      <c r="C25" s="317"/>
      <c r="D25" s="317"/>
      <c r="E25" s="269"/>
      <c r="G25" s="489">
        <f>C33</f>
        <v>0</v>
      </c>
      <c r="H25" s="488" t="str">
        <f>CONCATENATE("Less ",E1-2," Expenditures")</f>
        <v>Less 2023 Expenditures</v>
      </c>
      <c r="I25" s="442"/>
      <c r="J25" s="485"/>
    </row>
    <row r="26" spans="2:11" x14ac:dyDescent="0.2">
      <c r="B26" s="245"/>
      <c r="C26" s="317"/>
      <c r="D26" s="317"/>
      <c r="E26" s="269"/>
      <c r="G26" s="492">
        <f>SUM(G23-G25)</f>
        <v>0</v>
      </c>
      <c r="H26" s="493" t="str">
        <f>CONCATENATE("Projected ",E1+1," carryover (est.)")</f>
        <v>Projected 2026 carryover (est.)</v>
      </c>
      <c r="I26" s="468"/>
      <c r="J26" s="494"/>
    </row>
    <row r="27" spans="2:11" x14ac:dyDescent="0.2">
      <c r="B27" s="245"/>
      <c r="C27" s="317"/>
      <c r="D27" s="317"/>
      <c r="E27" s="269"/>
    </row>
    <row r="28" spans="2:11" x14ac:dyDescent="0.2">
      <c r="B28" s="245"/>
      <c r="C28" s="317"/>
      <c r="D28" s="317"/>
      <c r="E28" s="269"/>
      <c r="G28" s="794" t="s">
        <v>635</v>
      </c>
      <c r="H28" s="795"/>
      <c r="I28" s="795"/>
      <c r="J28" s="796"/>
    </row>
    <row r="29" spans="2:11" x14ac:dyDescent="0.2">
      <c r="B29" s="245"/>
      <c r="C29" s="317"/>
      <c r="D29" s="317"/>
      <c r="E29" s="269"/>
      <c r="G29" s="797"/>
      <c r="H29" s="798"/>
      <c r="I29" s="798"/>
      <c r="J29" s="799"/>
    </row>
    <row r="30" spans="2:11" x14ac:dyDescent="0.2">
      <c r="B30" s="249" t="str">
        <f>CONCATENATE("Cash Reserve (",E1," column)")</f>
        <v>Cash Reserve (2025 column)</v>
      </c>
      <c r="C30" s="317"/>
      <c r="D30" s="317"/>
      <c r="E30" s="269"/>
      <c r="G30" s="472" t="str">
        <f>'Budget Hearing Notice'!H20</f>
        <v xml:space="preserve">  </v>
      </c>
      <c r="H30" s="469" t="str">
        <f>CONCATENATE("",E1," Estimated Fund Mill Rate")</f>
        <v>2025 Estimated Fund Mill Rate</v>
      </c>
      <c r="I30" s="470"/>
      <c r="J30" s="471"/>
    </row>
    <row r="31" spans="2:11" x14ac:dyDescent="0.2">
      <c r="B31" s="249" t="s">
        <v>118</v>
      </c>
      <c r="C31" s="317"/>
      <c r="D31" s="317"/>
      <c r="E31" s="269"/>
      <c r="G31" s="633" t="str">
        <f>'Budget Hearing Notice'!E20</f>
        <v xml:space="preserve">  </v>
      </c>
      <c r="H31" s="469" t="str">
        <f>CONCATENATE("",E1-1," Fund Mill Rate")</f>
        <v>2024 Fund Mill Rate</v>
      </c>
      <c r="I31" s="470"/>
      <c r="J31" s="471"/>
    </row>
    <row r="32" spans="2:11" x14ac:dyDescent="0.2">
      <c r="B32" s="249" t="s">
        <v>119</v>
      </c>
      <c r="C32" s="312" t="str">
        <f>IF(C33*0.1&lt;C31,"Exceed 10% Rule","")</f>
        <v/>
      </c>
      <c r="D32" s="312" t="str">
        <f>IF(D33*0.1&lt;D31,"Exceed 10% Rule","")</f>
        <v/>
      </c>
      <c r="E32" s="272" t="str">
        <f>IF(E33*0.1&lt;E31,"Exceed 10% Rule","")</f>
        <v/>
      </c>
      <c r="G32" s="634">
        <f>'Budget Hearing Notice'!H57</f>
        <v>0</v>
      </c>
      <c r="H32" s="635" t="s">
        <v>636</v>
      </c>
      <c r="I32" s="470"/>
      <c r="J32" s="471"/>
    </row>
    <row r="33" spans="2:10" x14ac:dyDescent="0.2">
      <c r="B33" s="251" t="s">
        <v>178</v>
      </c>
      <c r="C33" s="320">
        <f>SUM(C24:C31)</f>
        <v>0</v>
      </c>
      <c r="D33" s="321">
        <f>SUM(D24:D31)</f>
        <v>0</v>
      </c>
      <c r="E33" s="273">
        <f>SUM(E24:E31)</f>
        <v>0</v>
      </c>
      <c r="G33" s="472">
        <f>'Budget Hearing Notice'!H56</f>
        <v>0</v>
      </c>
      <c r="H33" s="469" t="str">
        <f>CONCATENATE(E1," Estimated Total Mill Rate")</f>
        <v>2025 Estimated Total Mill Rate</v>
      </c>
      <c r="I33" s="470"/>
      <c r="J33" s="471"/>
    </row>
    <row r="34" spans="2:10" x14ac:dyDescent="0.2">
      <c r="B34" s="118" t="s">
        <v>19</v>
      </c>
      <c r="C34" s="322">
        <f>C22-C33</f>
        <v>0</v>
      </c>
      <c r="D34" s="322">
        <f>D22-D33</f>
        <v>0</v>
      </c>
      <c r="E34" s="262" t="s">
        <v>152</v>
      </c>
      <c r="G34" s="473">
        <f>'Budget Hearing Notice'!E56</f>
        <v>0</v>
      </c>
      <c r="H34" s="469" t="str">
        <f>CONCATENATE(E1-1," Total Mill Rate")</f>
        <v>2024 Total Mill Rate</v>
      </c>
      <c r="I34" s="470"/>
      <c r="J34" s="471"/>
    </row>
    <row r="35" spans="2:10" x14ac:dyDescent="0.2">
      <c r="B35" s="164" t="str">
        <f>CONCATENATE("",E1-2,"/",E1-1,"/",E1," Budget Authority Amount:")</f>
        <v>2023/2024/2025 Budget Authority Amount:</v>
      </c>
      <c r="C35" s="270">
        <f>inputOth!B83</f>
        <v>0</v>
      </c>
      <c r="D35" s="270">
        <f>inputPrYr!D23</f>
        <v>0</v>
      </c>
      <c r="E35" s="243">
        <f>E33</f>
        <v>0</v>
      </c>
      <c r="G35" s="332"/>
      <c r="H35" s="286"/>
      <c r="I35" s="286"/>
      <c r="J35" s="331"/>
    </row>
    <row r="36" spans="2:10" x14ac:dyDescent="0.2">
      <c r="B36" s="135"/>
      <c r="C36" s="785" t="s">
        <v>338</v>
      </c>
      <c r="D36" s="786"/>
      <c r="E36" s="83"/>
      <c r="G36" s="800" t="s">
        <v>637</v>
      </c>
      <c r="H36" s="801"/>
      <c r="I36" s="801"/>
      <c r="J36" s="804" t="str">
        <f>IF(G33&gt;G32, "Yes", "No")</f>
        <v>No</v>
      </c>
    </row>
    <row r="37" spans="2:10" x14ac:dyDescent="0.2">
      <c r="B37" s="364" t="str">
        <f>CONCATENATE(C95,"     ",D95)</f>
        <v xml:space="preserve">     </v>
      </c>
      <c r="C37" s="787" t="s">
        <v>339</v>
      </c>
      <c r="D37" s="788"/>
      <c r="E37" s="243">
        <f>E33+E36</f>
        <v>0</v>
      </c>
      <c r="F37" s="263"/>
      <c r="G37" s="802"/>
      <c r="H37" s="803"/>
      <c r="I37" s="803"/>
      <c r="J37" s="805"/>
    </row>
    <row r="38" spans="2:10" x14ac:dyDescent="0.2">
      <c r="B38" s="364" t="str">
        <f>CONCATENATE(C96,"     ",D96)</f>
        <v xml:space="preserve">     </v>
      </c>
      <c r="C38" s="255"/>
      <c r="D38" s="161" t="s">
        <v>179</v>
      </c>
      <c r="E38" s="92">
        <f>IF(E37-E22&gt;0,E37-E22,0)</f>
        <v>0</v>
      </c>
      <c r="F38" s="463" t="str">
        <f>IF(E33/0.95-E33&lt;E36,"Exceeds 5%","")</f>
        <v/>
      </c>
      <c r="G38" s="781" t="str">
        <f>IF(J36="Yes", "Follow procedure prescribed by KSA 79-2988 to exceed the Revenue Neutral Rate.", " ")</f>
        <v xml:space="preserve"> </v>
      </c>
      <c r="H38" s="781"/>
      <c r="I38" s="781"/>
      <c r="J38" s="781"/>
    </row>
    <row r="39" spans="2:10" x14ac:dyDescent="0.2">
      <c r="B39" s="161"/>
      <c r="C39" s="333" t="s">
        <v>340</v>
      </c>
      <c r="D39" s="515">
        <f>inputOth!$E$67</f>
        <v>0</v>
      </c>
      <c r="E39" s="243">
        <f>ROUND(IF(D39&gt;0,(E38*D39),0),0)</f>
        <v>0</v>
      </c>
      <c r="G39" s="782"/>
      <c r="H39" s="782"/>
      <c r="I39" s="782"/>
      <c r="J39" s="782"/>
    </row>
    <row r="40" spans="2:10" ht="16.5" thickBot="1" x14ac:dyDescent="0.25">
      <c r="B40" s="69"/>
      <c r="C40" s="783" t="str">
        <f>CONCATENATE("Amount of  ",$E$1-1," Ad Valorem Tax")</f>
        <v>Amount of  2024 Ad Valorem Tax</v>
      </c>
      <c r="D40" s="784"/>
      <c r="E40" s="266">
        <f>E38+E39</f>
        <v>0</v>
      </c>
      <c r="G40" s="782"/>
      <c r="H40" s="782"/>
      <c r="I40" s="782"/>
      <c r="J40" s="782"/>
    </row>
    <row r="41" spans="2:10" ht="16.5" thickTop="1" x14ac:dyDescent="0.2">
      <c r="B41" s="69"/>
      <c r="C41" s="135"/>
      <c r="D41" s="69"/>
      <c r="E41" s="69"/>
    </row>
    <row r="42" spans="2:10" x14ac:dyDescent="0.2">
      <c r="B42" s="72"/>
      <c r="C42" s="196"/>
      <c r="D42" s="196"/>
      <c r="E42" s="196"/>
    </row>
    <row r="43" spans="2:10" x14ac:dyDescent="0.2">
      <c r="B43" s="72" t="s">
        <v>162</v>
      </c>
      <c r="C43" s="392" t="s">
        <v>359</v>
      </c>
      <c r="D43" s="393" t="s">
        <v>362</v>
      </c>
      <c r="E43" s="142" t="s">
        <v>361</v>
      </c>
    </row>
    <row r="44" spans="2:10" x14ac:dyDescent="0.2">
      <c r="B44" s="376" t="str">
        <f>inputPrYr!B24</f>
        <v>Library</v>
      </c>
      <c r="C44" s="318" t="str">
        <f>C5</f>
        <v>Actual for 2023</v>
      </c>
      <c r="D44" s="318" t="str">
        <f>D5</f>
        <v>Estimate for 2024</v>
      </c>
      <c r="E44" s="176" t="str">
        <f>E5</f>
        <v>Year for 2025</v>
      </c>
    </row>
    <row r="45" spans="2:10" x14ac:dyDescent="0.2">
      <c r="B45" s="256" t="s">
        <v>18</v>
      </c>
      <c r="C45" s="311"/>
      <c r="D45" s="316">
        <f>C74</f>
        <v>0</v>
      </c>
      <c r="E45" s="243">
        <f>D74</f>
        <v>0</v>
      </c>
    </row>
    <row r="46" spans="2:10" x14ac:dyDescent="0.2">
      <c r="B46" s="256" t="s">
        <v>20</v>
      </c>
      <c r="C46" s="156"/>
      <c r="D46" s="156"/>
      <c r="E46" s="95"/>
    </row>
    <row r="47" spans="2:10" x14ac:dyDescent="0.2">
      <c r="B47" s="118" t="s">
        <v>163</v>
      </c>
      <c r="C47" s="311"/>
      <c r="D47" s="316">
        <f>IF(inputPrYr!H21&gt;0,inputPrYr!G24,inputPrYr!E24)</f>
        <v>0</v>
      </c>
      <c r="E47" s="262" t="s">
        <v>152</v>
      </c>
    </row>
    <row r="48" spans="2:10" x14ac:dyDescent="0.2">
      <c r="B48" s="118" t="s">
        <v>164</v>
      </c>
      <c r="C48" s="311"/>
      <c r="D48" s="311"/>
      <c r="E48" s="83"/>
    </row>
    <row r="49" spans="2:11" x14ac:dyDescent="0.2">
      <c r="B49" s="118" t="s">
        <v>165</v>
      </c>
      <c r="C49" s="311"/>
      <c r="D49" s="311"/>
      <c r="E49" s="243" t="str">
        <f>Mvalloc!D10</f>
        <v xml:space="preserve">  </v>
      </c>
    </row>
    <row r="50" spans="2:11" x14ac:dyDescent="0.2">
      <c r="B50" s="118" t="s">
        <v>166</v>
      </c>
      <c r="C50" s="311"/>
      <c r="D50" s="311"/>
      <c r="E50" s="243" t="str">
        <f>Mvalloc!E10</f>
        <v xml:space="preserve"> </v>
      </c>
    </row>
    <row r="51" spans="2:11" x14ac:dyDescent="0.2">
      <c r="B51" s="156" t="s">
        <v>12</v>
      </c>
      <c r="C51" s="311"/>
      <c r="D51" s="311"/>
      <c r="E51" s="243" t="str">
        <f>Mvalloc!F10</f>
        <v xml:space="preserve"> </v>
      </c>
      <c r="G51" s="806" t="str">
        <f>CONCATENATE("Desired Carryover Into ",E1+1,"")</f>
        <v>Desired Carryover Into 2026</v>
      </c>
      <c r="H51" s="792"/>
      <c r="I51" s="792"/>
      <c r="J51" s="793"/>
    </row>
    <row r="52" spans="2:11" x14ac:dyDescent="0.2">
      <c r="B52" s="585" t="s">
        <v>503</v>
      </c>
      <c r="C52" s="311"/>
      <c r="D52" s="311"/>
      <c r="E52" s="243" t="str">
        <f>Mvalloc!G10</f>
        <v xml:space="preserve"> </v>
      </c>
      <c r="G52" s="474"/>
      <c r="H52" s="286"/>
      <c r="I52" s="475"/>
      <c r="J52" s="476"/>
    </row>
    <row r="53" spans="2:11" x14ac:dyDescent="0.2">
      <c r="B53" s="585" t="s">
        <v>504</v>
      </c>
      <c r="C53" s="311"/>
      <c r="D53" s="311"/>
      <c r="E53" s="243" t="str">
        <f>Mvalloc!H10</f>
        <v xml:space="preserve"> </v>
      </c>
      <c r="G53" s="477" t="s">
        <v>341</v>
      </c>
      <c r="H53" s="475"/>
      <c r="I53" s="475"/>
      <c r="J53" s="478">
        <v>0</v>
      </c>
    </row>
    <row r="54" spans="2:11" x14ac:dyDescent="0.2">
      <c r="B54" s="245"/>
      <c r="C54" s="311"/>
      <c r="D54" s="311"/>
      <c r="E54" s="83"/>
      <c r="G54" s="474" t="s">
        <v>342</v>
      </c>
      <c r="H54" s="286"/>
      <c r="I54" s="286"/>
      <c r="J54" s="495" t="str">
        <f>IF(J53=0,"",ROUND((J53+E80-G66)/inputOth!B14*1000,3)-G71)</f>
        <v/>
      </c>
    </row>
    <row r="55" spans="2:11" x14ac:dyDescent="0.2">
      <c r="B55" s="245"/>
      <c r="C55" s="311"/>
      <c r="D55" s="311"/>
      <c r="E55" s="83"/>
      <c r="G55" s="480" t="str">
        <f>CONCATENATE("",E1," Tot Exp/Non-Appr Must Be:")</f>
        <v>2025 Tot Exp/Non-Appr Must Be:</v>
      </c>
      <c r="H55" s="481"/>
      <c r="I55" s="482"/>
      <c r="J55" s="483">
        <f>IF(J53&gt;0,IF(E77&lt;E62,IF(J53=G66,E77,((J53-G66)*(1-D79))+E62),E77+(J53-G66)),0)</f>
        <v>0</v>
      </c>
    </row>
    <row r="56" spans="2:11" x14ac:dyDescent="0.2">
      <c r="B56" s="245"/>
      <c r="C56" s="311"/>
      <c r="D56" s="311"/>
      <c r="E56" s="83"/>
      <c r="G56" s="455" t="s">
        <v>424</v>
      </c>
      <c r="H56" s="484"/>
      <c r="I56" s="484"/>
      <c r="J56" s="457">
        <f>IF(J53&gt;0,J55-E77,0)</f>
        <v>0</v>
      </c>
    </row>
    <row r="57" spans="2:11" x14ac:dyDescent="0.25">
      <c r="B57" s="258" t="s">
        <v>170</v>
      </c>
      <c r="C57" s="311"/>
      <c r="D57" s="311"/>
      <c r="E57" s="83"/>
      <c r="J57" s="3"/>
    </row>
    <row r="58" spans="2:11" x14ac:dyDescent="0.2">
      <c r="B58" s="249" t="s">
        <v>117</v>
      </c>
      <c r="C58" s="311"/>
      <c r="D58" s="311"/>
      <c r="E58" s="275">
        <f>'NR Rebate'!E8*-1</f>
        <v>0</v>
      </c>
      <c r="G58" s="806" t="str">
        <f>CONCATENATE("Projected Carryover Into ",E1+1,"")</f>
        <v>Projected Carryover Into 2026</v>
      </c>
      <c r="H58" s="809"/>
      <c r="I58" s="809"/>
      <c r="J58" s="810"/>
    </row>
    <row r="59" spans="2:11" x14ac:dyDescent="0.2">
      <c r="B59" s="249" t="s">
        <v>118</v>
      </c>
      <c r="C59" s="311"/>
      <c r="D59" s="311"/>
      <c r="E59" s="83"/>
      <c r="G59" s="332"/>
      <c r="H59" s="286"/>
      <c r="I59" s="286"/>
      <c r="J59" s="331"/>
    </row>
    <row r="60" spans="2:11" x14ac:dyDescent="0.2">
      <c r="B60" s="249" t="s">
        <v>334</v>
      </c>
      <c r="C60" s="312" t="str">
        <f>IF(C61*0.1&lt;C59,"Exceed 10% Rule","")</f>
        <v/>
      </c>
      <c r="D60" s="312" t="str">
        <f>IF(D61*0.1&lt;D59,"Exceed 10% Rule","")</f>
        <v/>
      </c>
      <c r="E60" s="272" t="str">
        <f>IF(E61*0.1+E80&lt;E59,"Exceed 10% Rule","")</f>
        <v/>
      </c>
      <c r="G60" s="497">
        <f>D74</f>
        <v>0</v>
      </c>
      <c r="H60" s="469" t="str">
        <f>CONCATENATE("",E1-1," Ending Cash Balance (est.)")</f>
        <v>2024 Ending Cash Balance (est.)</v>
      </c>
      <c r="I60" s="498"/>
      <c r="J60" s="331"/>
    </row>
    <row r="61" spans="2:11" x14ac:dyDescent="0.2">
      <c r="B61" s="251" t="s">
        <v>171</v>
      </c>
      <c r="C61" s="315">
        <f>SUM(C47:C59)</f>
        <v>0</v>
      </c>
      <c r="D61" s="315">
        <f>SUM(D47:D59)</f>
        <v>0</v>
      </c>
      <c r="E61" s="253">
        <f>SUM(E47:E59)</f>
        <v>0</v>
      </c>
      <c r="G61" s="497">
        <f>E61</f>
        <v>0</v>
      </c>
      <c r="H61" s="475" t="str">
        <f>CONCATENATE("",E1," Non-AV Receipts (est.)")</f>
        <v>2025 Non-AV Receipts (est.)</v>
      </c>
      <c r="I61" s="498"/>
      <c r="J61" s="331"/>
    </row>
    <row r="62" spans="2:11" x14ac:dyDescent="0.2">
      <c r="B62" s="251" t="s">
        <v>172</v>
      </c>
      <c r="C62" s="315">
        <f>C45+C61</f>
        <v>0</v>
      </c>
      <c r="D62" s="315">
        <f>D45+D61</f>
        <v>0</v>
      </c>
      <c r="E62" s="253">
        <f>E45+E61</f>
        <v>0</v>
      </c>
      <c r="G62" s="499">
        <f>IF(D79&gt;0,E78,E80)</f>
        <v>0</v>
      </c>
      <c r="H62" s="475" t="str">
        <f>CONCATENATE("",E1," Ad Valorem Tax (est.)")</f>
        <v>2025 Ad Valorem Tax (est.)</v>
      </c>
      <c r="I62" s="498"/>
      <c r="J62" s="331"/>
      <c r="K62" s="490" t="str">
        <f>IF(G62=E80,"","Note: Does not include Delinquent Taxes")</f>
        <v/>
      </c>
    </row>
    <row r="63" spans="2:11" x14ac:dyDescent="0.2">
      <c r="B63" s="118" t="s">
        <v>174</v>
      </c>
      <c r="C63" s="249"/>
      <c r="D63" s="249"/>
      <c r="E63" s="82"/>
      <c r="G63" s="342">
        <f>SUM(G60:G62)</f>
        <v>0</v>
      </c>
      <c r="H63" s="475" t="str">
        <f>CONCATENATE("Total ",E1," Resources Available")</f>
        <v>Total 2025 Resources Available</v>
      </c>
      <c r="I63" s="331"/>
      <c r="J63" s="331"/>
    </row>
    <row r="64" spans="2:11" x14ac:dyDescent="0.2">
      <c r="B64" s="245"/>
      <c r="C64" s="311"/>
      <c r="D64" s="311"/>
      <c r="E64" s="83"/>
      <c r="G64" s="339"/>
      <c r="H64" s="341"/>
      <c r="I64" s="286"/>
      <c r="J64" s="331"/>
    </row>
    <row r="65" spans="2:10" x14ac:dyDescent="0.2">
      <c r="B65" s="245"/>
      <c r="C65" s="311"/>
      <c r="D65" s="311"/>
      <c r="E65" s="83"/>
      <c r="G65" s="340">
        <f>ROUND(C73*0.05+C73,0)</f>
        <v>0</v>
      </c>
      <c r="H65" s="341" t="str">
        <f>CONCATENATE("Less ",E1-2," Expenditures + 5%")</f>
        <v>Less 2023 Expenditures + 5%</v>
      </c>
      <c r="I65" s="331"/>
      <c r="J65" s="331"/>
    </row>
    <row r="66" spans="2:10" x14ac:dyDescent="0.25">
      <c r="B66" s="245"/>
      <c r="C66" s="311"/>
      <c r="D66" s="311"/>
      <c r="E66" s="83"/>
      <c r="G66" s="338">
        <f>G63-G65</f>
        <v>0</v>
      </c>
      <c r="H66" s="337" t="str">
        <f>CONCATENATE("Projected ",E1+1," carryover (est.)")</f>
        <v>Projected 2026 carryover (est.)</v>
      </c>
      <c r="I66" s="330"/>
      <c r="J66" s="505"/>
    </row>
    <row r="67" spans="2:10" x14ac:dyDescent="0.25">
      <c r="B67" s="245"/>
      <c r="C67" s="311"/>
      <c r="D67" s="311"/>
      <c r="E67" s="83"/>
      <c r="G67" s="3"/>
      <c r="H67" s="3"/>
      <c r="I67" s="3"/>
    </row>
    <row r="68" spans="2:10" x14ac:dyDescent="0.2">
      <c r="B68" s="245"/>
      <c r="C68" s="311"/>
      <c r="D68" s="311"/>
      <c r="E68" s="83"/>
      <c r="G68" s="794" t="s">
        <v>635</v>
      </c>
      <c r="H68" s="795"/>
      <c r="I68" s="795"/>
      <c r="J68" s="796"/>
    </row>
    <row r="69" spans="2:10" x14ac:dyDescent="0.2">
      <c r="B69" s="245"/>
      <c r="C69" s="311"/>
      <c r="D69" s="311"/>
      <c r="E69" s="83"/>
      <c r="G69" s="797"/>
      <c r="H69" s="798"/>
      <c r="I69" s="798"/>
      <c r="J69" s="799"/>
    </row>
    <row r="70" spans="2:10" x14ac:dyDescent="0.2">
      <c r="B70" s="245"/>
      <c r="C70" s="311"/>
      <c r="D70" s="311"/>
      <c r="E70" s="83"/>
      <c r="G70" s="472" t="str">
        <f>'Budget Hearing Notice'!H21</f>
        <v xml:space="preserve">  </v>
      </c>
      <c r="H70" s="469" t="str">
        <f>CONCATENATE("",E1," Estimated Fund Mill Rate")</f>
        <v>2025 Estimated Fund Mill Rate</v>
      </c>
      <c r="I70" s="470"/>
      <c r="J70" s="471"/>
    </row>
    <row r="71" spans="2:10" x14ac:dyDescent="0.2">
      <c r="B71" s="249" t="s">
        <v>118</v>
      </c>
      <c r="C71" s="311"/>
      <c r="D71" s="311"/>
      <c r="E71" s="83"/>
      <c r="G71" s="633" t="str">
        <f>'Budget Hearing Notice'!E21</f>
        <v xml:space="preserve">  </v>
      </c>
      <c r="H71" s="469" t="str">
        <f>CONCATENATE("",E1-1," Fund Mill Rate")</f>
        <v>2024 Fund Mill Rate</v>
      </c>
      <c r="I71" s="470"/>
      <c r="J71" s="471"/>
    </row>
    <row r="72" spans="2:10" x14ac:dyDescent="0.2">
      <c r="B72" s="249" t="s">
        <v>333</v>
      </c>
      <c r="C72" s="312" t="str">
        <f>IF(C73*0.1&lt;C71,"Exceed 10% Rule","")</f>
        <v/>
      </c>
      <c r="D72" s="312" t="str">
        <f>IF(D73*0.1&lt;D71,"Exceed 10% Rule","")</f>
        <v/>
      </c>
      <c r="E72" s="272" t="str">
        <f>IF(E73*0.1&lt;E71,"Exceed 10% Rule","")</f>
        <v/>
      </c>
      <c r="G72" s="634">
        <f>'Budget Hearing Notice'!H57</f>
        <v>0</v>
      </c>
      <c r="H72" s="635" t="s">
        <v>636</v>
      </c>
      <c r="I72" s="470"/>
      <c r="J72" s="471"/>
    </row>
    <row r="73" spans="2:10" x14ac:dyDescent="0.2">
      <c r="B73" s="265" t="s">
        <v>178</v>
      </c>
      <c r="C73" s="315">
        <f>SUM(C64:C71)</f>
        <v>0</v>
      </c>
      <c r="D73" s="315">
        <f>SUM(D64:D71)</f>
        <v>0</v>
      </c>
      <c r="E73" s="253">
        <f>SUM(E64:E71)</f>
        <v>0</v>
      </c>
      <c r="G73" s="472">
        <f>'Budget Hearing Notice'!H56</f>
        <v>0</v>
      </c>
      <c r="H73" s="469" t="str">
        <f>CONCATENATE(E1," Estimated Total Mill Rate")</f>
        <v>2025 Estimated Total Mill Rate</v>
      </c>
      <c r="I73" s="470"/>
      <c r="J73" s="471"/>
    </row>
    <row r="74" spans="2:10" x14ac:dyDescent="0.2">
      <c r="B74" s="118" t="s">
        <v>19</v>
      </c>
      <c r="C74" s="313">
        <f>C62-C73</f>
        <v>0</v>
      </c>
      <c r="D74" s="313">
        <f>D62-D73</f>
        <v>0</v>
      </c>
      <c r="E74" s="262" t="s">
        <v>152</v>
      </c>
      <c r="G74" s="473">
        <f>'Budget Hearing Notice'!E56</f>
        <v>0</v>
      </c>
      <c r="H74" s="469" t="str">
        <f>CONCATENATE(E1-1," Total Mill Rate")</f>
        <v>2024 Total Mill Rate</v>
      </c>
      <c r="I74" s="470"/>
      <c r="J74" s="471"/>
    </row>
    <row r="75" spans="2:10" x14ac:dyDescent="0.2">
      <c r="B75" s="164" t="str">
        <f>CONCATENATE("",E1-2,"/",E1-1,"/",E1," Budget Authority Amount:")</f>
        <v>2023/2024/2025 Budget Authority Amount:</v>
      </c>
      <c r="C75" s="270">
        <f>inputOth!B84</f>
        <v>0</v>
      </c>
      <c r="D75" s="270">
        <f>inputPrYr!D24</f>
        <v>0</v>
      </c>
      <c r="E75" s="243">
        <f>E73</f>
        <v>0</v>
      </c>
      <c r="G75" s="332"/>
      <c r="H75" s="286"/>
      <c r="I75" s="286"/>
      <c r="J75" s="331"/>
    </row>
    <row r="76" spans="2:10" x14ac:dyDescent="0.2">
      <c r="B76" s="135"/>
      <c r="C76" s="785" t="s">
        <v>338</v>
      </c>
      <c r="D76" s="786"/>
      <c r="E76" s="83"/>
      <c r="G76" s="800" t="s">
        <v>637</v>
      </c>
      <c r="H76" s="801"/>
      <c r="I76" s="801"/>
      <c r="J76" s="804" t="str">
        <f>IF(G73&gt;G72, "Yes", "No")</f>
        <v>No</v>
      </c>
    </row>
    <row r="77" spans="2:10" x14ac:dyDescent="0.2">
      <c r="B77" s="364" t="str">
        <f>CONCATENATE(C97,"     ",D97)</f>
        <v xml:space="preserve">     </v>
      </c>
      <c r="C77" s="787" t="s">
        <v>339</v>
      </c>
      <c r="D77" s="788"/>
      <c r="E77" s="243">
        <f>E73+E76</f>
        <v>0</v>
      </c>
      <c r="G77" s="802"/>
      <c r="H77" s="803"/>
      <c r="I77" s="803"/>
      <c r="J77" s="805"/>
    </row>
    <row r="78" spans="2:10" x14ac:dyDescent="0.2">
      <c r="B78" s="364" t="str">
        <f>CONCATENATE(C98,"     ",D98)</f>
        <v xml:space="preserve">     </v>
      </c>
      <c r="C78" s="255"/>
      <c r="D78" s="161" t="s">
        <v>179</v>
      </c>
      <c r="E78" s="92">
        <f>IF(E77-E62&gt;0,E77-E62,0)</f>
        <v>0</v>
      </c>
      <c r="G78" s="781" t="str">
        <f>IF(J76="Yes", "Follow procedure prescribed by KSA 79-2988 to exceed the Revenue Neutral Rate.", " ")</f>
        <v xml:space="preserve"> </v>
      </c>
      <c r="H78" s="781"/>
      <c r="I78" s="781"/>
      <c r="J78" s="781"/>
    </row>
    <row r="79" spans="2:10" x14ac:dyDescent="0.2">
      <c r="B79" s="161"/>
      <c r="C79" s="333" t="s">
        <v>340</v>
      </c>
      <c r="D79" s="515">
        <f>inputOth!$E$67</f>
        <v>0</v>
      </c>
      <c r="E79" s="243">
        <f>ROUND(IF(D79&gt;0,(E78*D79),0),0)</f>
        <v>0</v>
      </c>
      <c r="F79" s="263"/>
      <c r="G79" s="782"/>
      <c r="H79" s="782"/>
      <c r="I79" s="782"/>
      <c r="J79" s="782"/>
    </row>
    <row r="80" spans="2:10" ht="16.5" thickBot="1" x14ac:dyDescent="0.25">
      <c r="B80" s="69"/>
      <c r="C80" s="783" t="str">
        <f>CONCATENATE("Amount of  ",$E$1-1," Ad Valorem Tax")</f>
        <v>Amount of  2024 Ad Valorem Tax</v>
      </c>
      <c r="D80" s="784"/>
      <c r="E80" s="266">
        <f>E78+E79</f>
        <v>0</v>
      </c>
      <c r="F80" s="522" t="str">
        <f>IF(E73/0.95-E73&lt;E76,"Exceeds 5%","")</f>
        <v/>
      </c>
      <c r="G80" s="782"/>
      <c r="H80" s="782"/>
      <c r="I80" s="782"/>
      <c r="J80" s="782"/>
    </row>
    <row r="81" spans="2:6" ht="16.5" thickTop="1" x14ac:dyDescent="0.2">
      <c r="B81" s="69"/>
      <c r="C81" s="135"/>
      <c r="D81" s="69"/>
      <c r="E81" s="69"/>
    </row>
    <row r="82" spans="2:6" x14ac:dyDescent="0.2">
      <c r="B82" s="602" t="s">
        <v>513</v>
      </c>
      <c r="C82" s="589"/>
      <c r="D82" s="115"/>
      <c r="E82" s="586"/>
    </row>
    <row r="83" spans="2:6" x14ac:dyDescent="0.2">
      <c r="B83" s="332"/>
      <c r="C83" s="135"/>
      <c r="D83" s="69"/>
      <c r="E83" s="331"/>
    </row>
    <row r="84" spans="2:6" x14ac:dyDescent="0.2">
      <c r="B84" s="590"/>
      <c r="C84" s="591"/>
      <c r="D84" s="76"/>
      <c r="E84" s="96"/>
      <c r="F84" s="490" t="str">
        <f>IF('Library Grant '!F31="","",IF('Library Grant '!F31="Qualify","Qualifies for State Library Grant","See 'Library Grant' tab"))</f>
        <v>Qualifies for State Library Grant</v>
      </c>
    </row>
    <row r="85" spans="2:6" x14ac:dyDescent="0.2">
      <c r="B85" s="69"/>
      <c r="C85" s="135"/>
      <c r="D85" s="69"/>
      <c r="E85" s="69"/>
    </row>
    <row r="86" spans="2:6" x14ac:dyDescent="0.2">
      <c r="B86" s="135" t="s">
        <v>181</v>
      </c>
      <c r="C86" s="564"/>
      <c r="D86" s="69"/>
      <c r="E86" s="69"/>
    </row>
    <row r="95" spans="2:6" hidden="1" x14ac:dyDescent="0.2">
      <c r="C95" s="65" t="str">
        <f>IF(C33&gt;C35,"See Tab A","")</f>
        <v/>
      </c>
      <c r="D95" s="65" t="str">
        <f>IF(D33&gt;D35,"See Tab C","")</f>
        <v/>
      </c>
    </row>
    <row r="96" spans="2:6" hidden="1" x14ac:dyDescent="0.2">
      <c r="C96" s="65" t="str">
        <f>IF(C34&lt;0,"See Tab B","")</f>
        <v/>
      </c>
      <c r="D96" s="65" t="str">
        <f>IF(D34&lt;0,"See Tab D","")</f>
        <v/>
      </c>
    </row>
    <row r="97" spans="3:4" hidden="1" x14ac:dyDescent="0.2">
      <c r="C97" s="65" t="str">
        <f>IF(C73&gt;C75,"See Tab A","")</f>
        <v/>
      </c>
      <c r="D97" s="65" t="str">
        <f>IF(D73&gt;D75,"See Tab C","")</f>
        <v/>
      </c>
    </row>
    <row r="98" spans="3:4" hidden="1" x14ac:dyDescent="0.2">
      <c r="C98" s="65" t="str">
        <f>IF(C74&lt;0,"See Tab B","")</f>
        <v/>
      </c>
      <c r="D98" s="65" t="str">
        <f>IF(D74&lt;0,"See Tab D","")</f>
        <v/>
      </c>
    </row>
  </sheetData>
  <sheetProtection sheet="1"/>
  <mergeCells count="18">
    <mergeCell ref="C76:D76"/>
    <mergeCell ref="C77:D77"/>
    <mergeCell ref="C80:D80"/>
    <mergeCell ref="C36:D36"/>
    <mergeCell ref="C37:D37"/>
    <mergeCell ref="C40:D40"/>
    <mergeCell ref="G68:J69"/>
    <mergeCell ref="G76:I77"/>
    <mergeCell ref="J76:J77"/>
    <mergeCell ref="G78:J80"/>
    <mergeCell ref="G11:J11"/>
    <mergeCell ref="G18:J18"/>
    <mergeCell ref="G51:J51"/>
    <mergeCell ref="G58:J58"/>
    <mergeCell ref="G28:J29"/>
    <mergeCell ref="G36:I37"/>
    <mergeCell ref="J36:J37"/>
    <mergeCell ref="G38:J40"/>
  </mergeCells>
  <phoneticPr fontId="8" type="noConversion"/>
  <conditionalFormatting sqref="C19">
    <cfRule type="cellIs" dxfId="327" priority="18" stopIfTrue="1" operator="greaterThan">
      <formula>$C$21*0.1</formula>
    </cfRule>
  </conditionalFormatting>
  <conditionalFormatting sqref="C31">
    <cfRule type="cellIs" dxfId="326" priority="21" stopIfTrue="1" operator="greaterThan">
      <formula>$C$33*0.1</formula>
    </cfRule>
  </conditionalFormatting>
  <conditionalFormatting sqref="C33">
    <cfRule type="cellIs" dxfId="325" priority="22" stopIfTrue="1" operator="greaterThan">
      <formula>$C$35</formula>
    </cfRule>
  </conditionalFormatting>
  <conditionalFormatting sqref="C34">
    <cfRule type="cellIs" dxfId="324" priority="23" stopIfTrue="1" operator="lessThan">
      <formula>0</formula>
    </cfRule>
  </conditionalFormatting>
  <conditionalFormatting sqref="C59">
    <cfRule type="cellIs" dxfId="323" priority="5" stopIfTrue="1" operator="greaterThan">
      <formula>$C$61*0.1</formula>
    </cfRule>
  </conditionalFormatting>
  <conditionalFormatting sqref="C71">
    <cfRule type="cellIs" dxfId="322" priority="10" stopIfTrue="1" operator="greaterThan">
      <formula>$C$73*0.1</formula>
    </cfRule>
  </conditionalFormatting>
  <conditionalFormatting sqref="C73">
    <cfRule type="cellIs" dxfId="321" priority="8" stopIfTrue="1" operator="greaterThan">
      <formula>$C$75</formula>
    </cfRule>
  </conditionalFormatting>
  <conditionalFormatting sqref="C74">
    <cfRule type="cellIs" dxfId="320" priority="7" stopIfTrue="1" operator="lessThan">
      <formula>0</formula>
    </cfRule>
  </conditionalFormatting>
  <conditionalFormatting sqref="D19">
    <cfRule type="cellIs" dxfId="319" priority="17" stopIfTrue="1" operator="greaterThan">
      <formula>$D$21*0.1</formula>
    </cfRule>
  </conditionalFormatting>
  <conditionalFormatting sqref="D31">
    <cfRule type="cellIs" dxfId="318" priority="19" stopIfTrue="1" operator="greaterThan">
      <formula>$D$33*0.1</formula>
    </cfRule>
  </conditionalFormatting>
  <conditionalFormatting sqref="D33">
    <cfRule type="cellIs" dxfId="317" priority="20" stopIfTrue="1" operator="greaterThan">
      <formula>$D$35</formula>
    </cfRule>
  </conditionalFormatting>
  <conditionalFormatting sqref="D34">
    <cfRule type="cellIs" dxfId="316" priority="14" stopIfTrue="1" operator="lessThan">
      <formula>0</formula>
    </cfRule>
  </conditionalFormatting>
  <conditionalFormatting sqref="D59">
    <cfRule type="cellIs" dxfId="315" priority="6" stopIfTrue="1" operator="greaterThan">
      <formula>$D$61*0.1</formula>
    </cfRule>
  </conditionalFormatting>
  <conditionalFormatting sqref="D71">
    <cfRule type="cellIs" dxfId="314" priority="11" stopIfTrue="1" operator="greaterThan">
      <formula>$D$73*0.1</formula>
    </cfRule>
  </conditionalFormatting>
  <conditionalFormatting sqref="D73">
    <cfRule type="cellIs" dxfId="313" priority="9" stopIfTrue="1" operator="greaterThan">
      <formula>$D$75</formula>
    </cfRule>
  </conditionalFormatting>
  <conditionalFormatting sqref="D74">
    <cfRule type="cellIs" dxfId="312" priority="3" stopIfTrue="1" operator="lessThan">
      <formula>0</formula>
    </cfRule>
  </conditionalFormatting>
  <conditionalFormatting sqref="E19">
    <cfRule type="cellIs" dxfId="311" priority="59" stopIfTrue="1" operator="greaterThan">
      <formula>$E$21*0.1+$E$40</formula>
    </cfRule>
  </conditionalFormatting>
  <conditionalFormatting sqref="E31">
    <cfRule type="cellIs" dxfId="310" priority="15" stopIfTrue="1" operator="greaterThan">
      <formula>$E$33*0.1</formula>
    </cfRule>
  </conditionalFormatting>
  <conditionalFormatting sqref="E36">
    <cfRule type="cellIs" dxfId="309" priority="16" stopIfTrue="1" operator="greaterThan">
      <formula>$E$33/0.95-$E$33</formula>
    </cfRule>
  </conditionalFormatting>
  <conditionalFormatting sqref="E59">
    <cfRule type="cellIs" dxfId="308" priority="60" stopIfTrue="1" operator="greaterThan">
      <formula>$E$61*0.1+$E$80</formula>
    </cfRule>
  </conditionalFormatting>
  <conditionalFormatting sqref="E71">
    <cfRule type="cellIs" dxfId="307" priority="13" stopIfTrue="1" operator="greaterThan">
      <formula>$E$73*0.1</formula>
    </cfRule>
  </conditionalFormatting>
  <conditionalFormatting sqref="E76">
    <cfRule type="cellIs" dxfId="306" priority="12" stopIfTrue="1" operator="greaterThan">
      <formula>$E$73/0.95-$E$73</formula>
    </cfRule>
  </conditionalFormatting>
  <conditionalFormatting sqref="J36">
    <cfRule type="containsText" dxfId="305" priority="2" operator="containsText" text="Yes">
      <formula>NOT(ISERROR(SEARCH("Yes",J36)))</formula>
    </cfRule>
  </conditionalFormatting>
  <conditionalFormatting sqref="J76">
    <cfRule type="containsText" dxfId="304" priority="1" operator="containsText" text="Yes">
      <formula>NOT(ISERROR(SEARCH("Yes",J76)))</formula>
    </cfRule>
  </conditionalFormatting>
  <pageMargins left="0.75" right="0.75" top="1" bottom="1" header="0.5" footer="0.5"/>
  <pageSetup scale="48"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F0"/>
    <pageSetUpPr fitToPage="1"/>
  </sheetPr>
  <dimension ref="B1:K98"/>
  <sheetViews>
    <sheetView zoomScaleNormal="100" workbookViewId="0">
      <selection activeCell="B8" sqref="B8"/>
    </sheetView>
  </sheetViews>
  <sheetFormatPr defaultColWidth="8.88671875" defaultRowHeight="15.75" x14ac:dyDescent="0.2"/>
  <cols>
    <col min="1" max="1" width="2.44140625" style="65" customWidth="1"/>
    <col min="2" max="2" width="31.109375" style="65" customWidth="1"/>
    <col min="3" max="4" width="15.77734375" style="65" customWidth="1"/>
    <col min="5" max="5" width="16.21875" style="65" customWidth="1"/>
    <col min="6" max="6" width="8.109375" style="65" customWidth="1"/>
    <col min="7" max="7" width="10.21875" style="65" customWidth="1"/>
    <col min="8" max="8" width="8.88671875" style="65"/>
    <col min="9" max="9" width="5.6640625" style="65" customWidth="1"/>
    <col min="10" max="10" width="10" style="65" customWidth="1"/>
    <col min="11" max="16384" width="8.88671875" style="65"/>
  </cols>
  <sheetData>
    <row r="1" spans="2:10" x14ac:dyDescent="0.2">
      <c r="B1" s="89">
        <f>(inputPrYr!D3)</f>
        <v>0</v>
      </c>
      <c r="C1" s="69"/>
      <c r="D1" s="69"/>
      <c r="E1" s="135">
        <f>inputPrYr!C10</f>
        <v>2025</v>
      </c>
    </row>
    <row r="2" spans="2:10" x14ac:dyDescent="0.2">
      <c r="B2" s="69"/>
      <c r="C2" s="69"/>
      <c r="D2" s="69"/>
      <c r="E2" s="161"/>
    </row>
    <row r="3" spans="2:10" x14ac:dyDescent="0.2">
      <c r="B3" s="239" t="s">
        <v>5</v>
      </c>
      <c r="C3" s="169"/>
      <c r="D3" s="169"/>
      <c r="E3" s="238"/>
    </row>
    <row r="4" spans="2:10" x14ac:dyDescent="0.2">
      <c r="B4" s="72" t="s">
        <v>162</v>
      </c>
      <c r="C4" s="392" t="s">
        <v>359</v>
      </c>
      <c r="D4" s="393" t="s">
        <v>360</v>
      </c>
      <c r="E4" s="142" t="s">
        <v>361</v>
      </c>
    </row>
    <row r="5" spans="2:10" x14ac:dyDescent="0.2">
      <c r="B5" s="377">
        <f>inputPrYr!B26</f>
        <v>0</v>
      </c>
      <c r="C5" s="318" t="str">
        <f>CONCATENATE("Actual for ",E1-2,"")</f>
        <v>Actual for 2023</v>
      </c>
      <c r="D5" s="318" t="str">
        <f>CONCATENATE("Estimate for ",E1-1,"")</f>
        <v>Estimate for 2024</v>
      </c>
      <c r="E5" s="176" t="str">
        <f>CONCATENATE("Year for ",E1,"")</f>
        <v>Year for 2025</v>
      </c>
    </row>
    <row r="6" spans="2:10" x14ac:dyDescent="0.2">
      <c r="B6" s="256" t="s">
        <v>18</v>
      </c>
      <c r="C6" s="311"/>
      <c r="D6" s="316">
        <f>C33</f>
        <v>0</v>
      </c>
      <c r="E6" s="243">
        <f>D33</f>
        <v>0</v>
      </c>
    </row>
    <row r="7" spans="2:10" x14ac:dyDescent="0.2">
      <c r="B7" s="257" t="s">
        <v>20</v>
      </c>
      <c r="C7" s="156"/>
      <c r="D7" s="156"/>
      <c r="E7" s="95"/>
    </row>
    <row r="8" spans="2:10" x14ac:dyDescent="0.2">
      <c r="B8" s="118" t="s">
        <v>163</v>
      </c>
      <c r="C8" s="311"/>
      <c r="D8" s="316">
        <f>IF(inputPrYr!H21&gt;0,inputPrYr!G26,inputPrYr!E26)</f>
        <v>0</v>
      </c>
      <c r="E8" s="262" t="s">
        <v>152</v>
      </c>
    </row>
    <row r="9" spans="2:10" x14ac:dyDescent="0.2">
      <c r="B9" s="118" t="s">
        <v>164</v>
      </c>
      <c r="C9" s="311"/>
      <c r="D9" s="311"/>
      <c r="E9" s="83"/>
    </row>
    <row r="10" spans="2:10" x14ac:dyDescent="0.2">
      <c r="B10" s="118" t="s">
        <v>165</v>
      </c>
      <c r="C10" s="311"/>
      <c r="D10" s="311"/>
      <c r="E10" s="243" t="str">
        <f>Mvalloc!D11</f>
        <v xml:space="preserve">  </v>
      </c>
      <c r="G10" s="806" t="str">
        <f>CONCATENATE("Desired Carryover Into ",E1+1,"")</f>
        <v>Desired Carryover Into 2026</v>
      </c>
      <c r="H10" s="792"/>
      <c r="I10" s="792"/>
      <c r="J10" s="793"/>
    </row>
    <row r="11" spans="2:10" x14ac:dyDescent="0.2">
      <c r="B11" s="118" t="s">
        <v>166</v>
      </c>
      <c r="C11" s="311"/>
      <c r="D11" s="311"/>
      <c r="E11" s="243" t="str">
        <f>Mvalloc!E11</f>
        <v xml:space="preserve"> </v>
      </c>
      <c r="G11" s="474"/>
      <c r="H11" s="286"/>
      <c r="I11" s="475"/>
      <c r="J11" s="476"/>
    </row>
    <row r="12" spans="2:10" x14ac:dyDescent="0.2">
      <c r="B12" s="156" t="s">
        <v>12</v>
      </c>
      <c r="C12" s="311"/>
      <c r="D12" s="311"/>
      <c r="E12" s="243" t="str">
        <f>Mvalloc!F11</f>
        <v xml:space="preserve"> </v>
      </c>
      <c r="G12" s="477" t="s">
        <v>341</v>
      </c>
      <c r="H12" s="475"/>
      <c r="I12" s="475"/>
      <c r="J12" s="478">
        <v>0</v>
      </c>
    </row>
    <row r="13" spans="2:10" x14ac:dyDescent="0.2">
      <c r="B13" s="256" t="s">
        <v>503</v>
      </c>
      <c r="C13" s="311"/>
      <c r="D13" s="311"/>
      <c r="E13" s="243" t="str">
        <f>Mvalloc!G11</f>
        <v xml:space="preserve"> </v>
      </c>
      <c r="G13" s="474" t="s">
        <v>342</v>
      </c>
      <c r="H13" s="286"/>
      <c r="I13" s="286"/>
      <c r="J13" s="495" t="str">
        <f>IF(J12=0,"",ROUND((J12+E39-G25)/inputOth!B14*1000,3)-G30)</f>
        <v/>
      </c>
    </row>
    <row r="14" spans="2:10" x14ac:dyDescent="0.2">
      <c r="B14" s="256" t="s">
        <v>504</v>
      </c>
      <c r="C14" s="311"/>
      <c r="D14" s="311"/>
      <c r="E14" s="243" t="str">
        <f>Mvalloc!H11</f>
        <v xml:space="preserve"> </v>
      </c>
      <c r="G14" s="480" t="str">
        <f>CONCATENATE("",E1," Tot Exp/Non-Appr Must Be:")</f>
        <v>2025 Tot Exp/Non-Appr Must Be:</v>
      </c>
      <c r="H14" s="481"/>
      <c r="I14" s="482"/>
      <c r="J14" s="483">
        <f>IF(J12&gt;0,IF(E36&lt;E22,IF(J12=G25,E36,((J12-G25)*(1-D38))+E22),E36+(J12-G25)),0)</f>
        <v>0</v>
      </c>
    </row>
    <row r="15" spans="2:10" x14ac:dyDescent="0.2">
      <c r="B15" s="245"/>
      <c r="C15" s="311"/>
      <c r="D15" s="311"/>
      <c r="E15" s="83"/>
      <c r="G15" s="455" t="s">
        <v>424</v>
      </c>
      <c r="H15" s="484"/>
      <c r="I15" s="484"/>
      <c r="J15" s="457">
        <f>IF(J12&gt;0,J14-E36,0)</f>
        <v>0</v>
      </c>
    </row>
    <row r="16" spans="2:10" x14ac:dyDescent="0.25">
      <c r="B16" s="245"/>
      <c r="C16" s="311"/>
      <c r="D16" s="311"/>
      <c r="E16" s="83"/>
      <c r="J16" s="3"/>
    </row>
    <row r="17" spans="2:11" x14ac:dyDescent="0.2">
      <c r="B17" s="258" t="s">
        <v>170</v>
      </c>
      <c r="C17" s="311"/>
      <c r="D17" s="311"/>
      <c r="E17" s="83"/>
      <c r="G17" s="806" t="str">
        <f>CONCATENATE("Projected Carryover Into ",E1+1,"")</f>
        <v>Projected Carryover Into 2026</v>
      </c>
      <c r="H17" s="808"/>
      <c r="I17" s="808"/>
      <c r="J17" s="810"/>
    </row>
    <row r="18" spans="2:11" x14ac:dyDescent="0.25">
      <c r="B18" s="249" t="s">
        <v>117</v>
      </c>
      <c r="C18" s="311"/>
      <c r="D18" s="311"/>
      <c r="E18" s="275">
        <f>'NR Rebate'!E9*-1</f>
        <v>0</v>
      </c>
      <c r="G18" s="474"/>
      <c r="H18" s="475"/>
      <c r="I18" s="475"/>
      <c r="J18" s="496"/>
    </row>
    <row r="19" spans="2:11" x14ac:dyDescent="0.25">
      <c r="B19" s="249" t="s">
        <v>118</v>
      </c>
      <c r="C19" s="311"/>
      <c r="D19" s="311"/>
      <c r="E19" s="83"/>
      <c r="G19" s="497">
        <f>D33</f>
        <v>0</v>
      </c>
      <c r="H19" s="469" t="str">
        <f>CONCATENATE("",E1-1," Ending Cash Balance (est.)")</f>
        <v>2024 Ending Cash Balance (est.)</v>
      </c>
      <c r="I19" s="498"/>
      <c r="J19" s="496"/>
    </row>
    <row r="20" spans="2:11" x14ac:dyDescent="0.25">
      <c r="B20" s="249" t="s">
        <v>334</v>
      </c>
      <c r="C20" s="312" t="str">
        <f>IF(C21*0.1&lt;C19,"Exceed 10% Rule","")</f>
        <v/>
      </c>
      <c r="D20" s="312" t="str">
        <f>IF(D21*0.1&lt;D19,"Exceed 10% Rule","")</f>
        <v/>
      </c>
      <c r="E20" s="272" t="str">
        <f>IF(E21*0.1+E39&lt;E19,"Exceed 10% Rule","")</f>
        <v/>
      </c>
      <c r="G20" s="497">
        <f>E21</f>
        <v>0</v>
      </c>
      <c r="H20" s="475" t="str">
        <f>CONCATENATE("",E1," Non-AV Receipts (est.)")</f>
        <v>2025 Non-AV Receipts (est.)</v>
      </c>
      <c r="I20" s="498"/>
      <c r="J20" s="496"/>
    </row>
    <row r="21" spans="2:11" x14ac:dyDescent="0.2">
      <c r="B21" s="251" t="s">
        <v>171</v>
      </c>
      <c r="C21" s="315">
        <f>SUM(C8:C19)</f>
        <v>0</v>
      </c>
      <c r="D21" s="315">
        <f>SUM(D8:D19)</f>
        <v>0</v>
      </c>
      <c r="E21" s="253">
        <f>SUM(E8:E19)</f>
        <v>0</v>
      </c>
      <c r="G21" s="499">
        <f>IF(E38&gt;0,E37,E39)</f>
        <v>0</v>
      </c>
      <c r="H21" s="475" t="str">
        <f>CONCATENATE("",E1," Ad Valorem Tax (est.)")</f>
        <v>2025 Ad Valorem Tax (est.)</v>
      </c>
      <c r="I21" s="498"/>
      <c r="J21" s="500"/>
      <c r="K21" s="490" t="str">
        <f>IF(G21=E39,"","Note: Does not include Delinquent Taxes")</f>
        <v/>
      </c>
    </row>
    <row r="22" spans="2:11" x14ac:dyDescent="0.25">
      <c r="B22" s="251" t="s">
        <v>172</v>
      </c>
      <c r="C22" s="313">
        <f>C6+C21</f>
        <v>0</v>
      </c>
      <c r="D22" s="313">
        <f>D6+D21</f>
        <v>0</v>
      </c>
      <c r="E22" s="92">
        <f>E6+E21</f>
        <v>0</v>
      </c>
      <c r="G22" s="497">
        <f>SUM(G19:G21)</f>
        <v>0</v>
      </c>
      <c r="H22" s="475" t="str">
        <f>CONCATENATE("Total ",E1," Resources Available")</f>
        <v>Total 2025 Resources Available</v>
      </c>
      <c r="I22" s="498"/>
      <c r="J22" s="496"/>
    </row>
    <row r="23" spans="2:11" x14ac:dyDescent="0.25">
      <c r="B23" s="118" t="s">
        <v>174</v>
      </c>
      <c r="C23" s="249"/>
      <c r="D23" s="249"/>
      <c r="E23" s="82"/>
      <c r="G23" s="501"/>
      <c r="H23" s="475"/>
      <c r="I23" s="475"/>
      <c r="J23" s="496"/>
    </row>
    <row r="24" spans="2:11" x14ac:dyDescent="0.25">
      <c r="B24" s="245"/>
      <c r="C24" s="311"/>
      <c r="D24" s="311"/>
      <c r="E24" s="83"/>
      <c r="G24" s="499">
        <f>ROUND(C32*0.05+C32,0)</f>
        <v>0</v>
      </c>
      <c r="H24" s="475" t="str">
        <f>CONCATENATE("Less ",E1-2," Expenditures + 5%")</f>
        <v>Less 2023 Expenditures + 5%</v>
      </c>
      <c r="I24" s="498"/>
      <c r="J24" s="496"/>
    </row>
    <row r="25" spans="2:11" x14ac:dyDescent="0.25">
      <c r="B25" s="245"/>
      <c r="C25" s="311"/>
      <c r="D25" s="311"/>
      <c r="E25" s="83"/>
      <c r="G25" s="502">
        <f>G22-G24</f>
        <v>0</v>
      </c>
      <c r="H25" s="503" t="str">
        <f>CONCATENATE("Projected ",E1+1," carryover (est.)")</f>
        <v>Projected 2026 carryover (est.)</v>
      </c>
      <c r="I25" s="504"/>
      <c r="J25" s="505"/>
    </row>
    <row r="26" spans="2:11" x14ac:dyDescent="0.25">
      <c r="B26" s="245"/>
      <c r="C26" s="311"/>
      <c r="D26" s="311"/>
      <c r="E26" s="83"/>
      <c r="G26" s="3"/>
      <c r="H26" s="3"/>
      <c r="I26" s="3"/>
      <c r="J26" s="3"/>
    </row>
    <row r="27" spans="2:11" x14ac:dyDescent="0.2">
      <c r="B27" s="245"/>
      <c r="C27" s="311"/>
      <c r="D27" s="311"/>
      <c r="E27" s="83"/>
      <c r="G27" s="794" t="s">
        <v>635</v>
      </c>
      <c r="H27" s="795"/>
      <c r="I27" s="795"/>
      <c r="J27" s="796"/>
    </row>
    <row r="28" spans="2:11" x14ac:dyDescent="0.2">
      <c r="B28" s="245"/>
      <c r="C28" s="311"/>
      <c r="D28" s="311"/>
      <c r="E28" s="83"/>
      <c r="G28" s="797"/>
      <c r="H28" s="798"/>
      <c r="I28" s="798"/>
      <c r="J28" s="799"/>
    </row>
    <row r="29" spans="2:11" x14ac:dyDescent="0.2">
      <c r="B29" s="249" t="str">
        <f>CONCATENATE("Cash Reserve (",E1," column)")</f>
        <v>Cash Reserve (2025 column)</v>
      </c>
      <c r="C29" s="311"/>
      <c r="D29" s="311"/>
      <c r="E29" s="83"/>
      <c r="G29" s="472" t="str">
        <f>'Budget Hearing Notice'!H22</f>
        <v xml:space="preserve">  </v>
      </c>
      <c r="H29" s="469" t="str">
        <f>CONCATENATE("",E1," Estimated Fund Mill Rate")</f>
        <v>2025 Estimated Fund Mill Rate</v>
      </c>
      <c r="I29" s="470"/>
      <c r="J29" s="471"/>
    </row>
    <row r="30" spans="2:11" x14ac:dyDescent="0.2">
      <c r="B30" s="249" t="s">
        <v>118</v>
      </c>
      <c r="C30" s="311"/>
      <c r="D30" s="311"/>
      <c r="E30" s="83"/>
      <c r="G30" s="633" t="str">
        <f>'Budget Hearing Notice'!E22</f>
        <v xml:space="preserve">  </v>
      </c>
      <c r="H30" s="469" t="str">
        <f>CONCATENATE("",E1-1," Fund Mill Rate")</f>
        <v>2024 Fund Mill Rate</v>
      </c>
      <c r="I30" s="470"/>
      <c r="J30" s="471"/>
    </row>
    <row r="31" spans="2:11" x14ac:dyDescent="0.2">
      <c r="B31" s="249" t="s">
        <v>333</v>
      </c>
      <c r="C31" s="312" t="str">
        <f>IF(C32*0.1&lt;C30,"Exceed 10% Rule","")</f>
        <v/>
      </c>
      <c r="D31" s="312" t="str">
        <f>IF(D32*0.1&lt;D30,"Exceed 10% Rule","")</f>
        <v/>
      </c>
      <c r="E31" s="272" t="str">
        <f>IF(E32*0.1&lt;E30,"Exceed 10% Rule","")</f>
        <v/>
      </c>
      <c r="G31" s="634">
        <f>'Budget Hearing Notice'!H57</f>
        <v>0</v>
      </c>
      <c r="H31" s="635" t="s">
        <v>636</v>
      </c>
      <c r="I31" s="470"/>
      <c r="J31" s="471"/>
    </row>
    <row r="32" spans="2:11" x14ac:dyDescent="0.2">
      <c r="B32" s="251" t="s">
        <v>178</v>
      </c>
      <c r="C32" s="315">
        <f>SUM(C24:C30)</f>
        <v>0</v>
      </c>
      <c r="D32" s="315">
        <f>SUM(D24:D30)</f>
        <v>0</v>
      </c>
      <c r="E32" s="253">
        <f>SUM(E24:E30)</f>
        <v>0</v>
      </c>
      <c r="G32" s="472">
        <f>'Budget Hearing Notice'!H56</f>
        <v>0</v>
      </c>
      <c r="H32" s="469" t="str">
        <f>CONCATENATE(E1," Estimated Total Mill Rate")</f>
        <v>2025 Estimated Total Mill Rate</v>
      </c>
      <c r="I32" s="470"/>
      <c r="J32" s="471"/>
    </row>
    <row r="33" spans="2:10" x14ac:dyDescent="0.2">
      <c r="B33" s="118" t="s">
        <v>19</v>
      </c>
      <c r="C33" s="313">
        <f>C22-C32</f>
        <v>0</v>
      </c>
      <c r="D33" s="313">
        <f>D22-D32</f>
        <v>0</v>
      </c>
      <c r="E33" s="262" t="s">
        <v>152</v>
      </c>
      <c r="G33" s="473">
        <f>'Budget Hearing Notice'!E56</f>
        <v>0</v>
      </c>
      <c r="H33" s="469" t="str">
        <f>CONCATENATE(E1-1," Total Mill Rate")</f>
        <v>2024 Total Mill Rate</v>
      </c>
      <c r="I33" s="470"/>
      <c r="J33" s="471"/>
    </row>
    <row r="34" spans="2:10" x14ac:dyDescent="0.2">
      <c r="B34" s="164" t="str">
        <f>CONCATENATE("",E1-2,"/",E1-1,"/",E1," Budget Authority Amount:")</f>
        <v>2023/2024/2025 Budget Authority Amount:</v>
      </c>
      <c r="C34" s="270">
        <f>inputOth!B85</f>
        <v>0</v>
      </c>
      <c r="D34" s="270">
        <f>inputPrYr!D26</f>
        <v>0</v>
      </c>
      <c r="E34" s="243">
        <f>E32</f>
        <v>0</v>
      </c>
      <c r="G34" s="332"/>
      <c r="H34" s="286"/>
      <c r="I34" s="286"/>
      <c r="J34" s="331"/>
    </row>
    <row r="35" spans="2:10" x14ac:dyDescent="0.2">
      <c r="B35" s="135"/>
      <c r="C35" s="785" t="s">
        <v>338</v>
      </c>
      <c r="D35" s="786"/>
      <c r="E35" s="83"/>
      <c r="G35" s="800" t="s">
        <v>637</v>
      </c>
      <c r="H35" s="801"/>
      <c r="I35" s="801"/>
      <c r="J35" s="804" t="str">
        <f>IF(G32&gt;G31, "Yes", "No")</f>
        <v>No</v>
      </c>
    </row>
    <row r="36" spans="2:10" x14ac:dyDescent="0.2">
      <c r="B36" s="364" t="str">
        <f>CONCATENATE(C93,"     ",D93)</f>
        <v xml:space="preserve">     </v>
      </c>
      <c r="C36" s="787" t="s">
        <v>339</v>
      </c>
      <c r="D36" s="788"/>
      <c r="E36" s="243">
        <f>E32+E35</f>
        <v>0</v>
      </c>
      <c r="G36" s="802"/>
      <c r="H36" s="803"/>
      <c r="I36" s="803"/>
      <c r="J36" s="805"/>
    </row>
    <row r="37" spans="2:10" x14ac:dyDescent="0.2">
      <c r="B37" s="364" t="str">
        <f>CONCATENATE(C94,"     ",D94)</f>
        <v xml:space="preserve">     </v>
      </c>
      <c r="C37" s="255"/>
      <c r="D37" s="161" t="s">
        <v>179</v>
      </c>
      <c r="E37" s="92">
        <f>IF(E36-E22&gt;0,E36-E22,0)</f>
        <v>0</v>
      </c>
      <c r="F37" s="263"/>
      <c r="G37" s="781" t="str">
        <f>IF(J35="Yes", "Follow procedure prescribed by KSA 79-2988 to exceed the Revenue Neutral Rate.", " ")</f>
        <v xml:space="preserve"> </v>
      </c>
      <c r="H37" s="781"/>
      <c r="I37" s="781"/>
      <c r="J37" s="781"/>
    </row>
    <row r="38" spans="2:10" x14ac:dyDescent="0.2">
      <c r="B38" s="161"/>
      <c r="C38" s="333" t="s">
        <v>340</v>
      </c>
      <c r="D38" s="515">
        <f>inputOth!$E$67</f>
        <v>0</v>
      </c>
      <c r="E38" s="243">
        <f>ROUND(IF(D38&gt;0,(E37*D38),0),0)</f>
        <v>0</v>
      </c>
      <c r="F38" s="522" t="str">
        <f>IF(E32/0.95-E32&lt;E35,"Exceeds 5%","")</f>
        <v/>
      </c>
      <c r="G38" s="782"/>
      <c r="H38" s="782"/>
      <c r="I38" s="782"/>
      <c r="J38" s="782"/>
    </row>
    <row r="39" spans="2:10" ht="16.5" thickBot="1" x14ac:dyDescent="0.25">
      <c r="B39" s="161"/>
      <c r="C39" s="783" t="str">
        <f>CONCATENATE("Amount of  ",$E$1-1," Ad Valorem Tax")</f>
        <v>Amount of  2024 Ad Valorem Tax</v>
      </c>
      <c r="D39" s="784"/>
      <c r="E39" s="266">
        <f>E37+E38</f>
        <v>0</v>
      </c>
      <c r="G39" s="782"/>
      <c r="H39" s="782"/>
      <c r="I39" s="782"/>
      <c r="J39" s="782"/>
    </row>
    <row r="40" spans="2:10" ht="16.5" thickTop="1" x14ac:dyDescent="0.2">
      <c r="B40" s="69"/>
      <c r="C40" s="783"/>
      <c r="D40" s="784"/>
      <c r="E40" s="69"/>
    </row>
    <row r="41" spans="2:10" x14ac:dyDescent="0.2">
      <c r="B41" s="72"/>
      <c r="C41" s="196"/>
      <c r="D41" s="196"/>
      <c r="E41" s="196"/>
    </row>
    <row r="42" spans="2:10" x14ac:dyDescent="0.2">
      <c r="B42" s="72" t="s">
        <v>162</v>
      </c>
      <c r="C42" s="392" t="s">
        <v>359</v>
      </c>
      <c r="D42" s="393" t="s">
        <v>362</v>
      </c>
      <c r="E42" s="142" t="s">
        <v>361</v>
      </c>
    </row>
    <row r="43" spans="2:10" x14ac:dyDescent="0.2">
      <c r="B43" s="376">
        <f>(inputPrYr!B27)</f>
        <v>0</v>
      </c>
      <c r="C43" s="318" t="str">
        <f>C5</f>
        <v>Actual for 2023</v>
      </c>
      <c r="D43" s="318" t="str">
        <f>D5</f>
        <v>Estimate for 2024</v>
      </c>
      <c r="E43" s="176" t="str">
        <f>E5</f>
        <v>Year for 2025</v>
      </c>
    </row>
    <row r="44" spans="2:10" x14ac:dyDescent="0.2">
      <c r="B44" s="256" t="s">
        <v>18</v>
      </c>
      <c r="C44" s="311"/>
      <c r="D44" s="316">
        <f>C72</f>
        <v>0</v>
      </c>
      <c r="E44" s="243">
        <f>D72</f>
        <v>0</v>
      </c>
    </row>
    <row r="45" spans="2:10" x14ac:dyDescent="0.2">
      <c r="B45" s="256" t="s">
        <v>20</v>
      </c>
      <c r="C45" s="156"/>
      <c r="D45" s="156"/>
      <c r="E45" s="95"/>
    </row>
    <row r="46" spans="2:10" x14ac:dyDescent="0.2">
      <c r="B46" s="118" t="s">
        <v>163</v>
      </c>
      <c r="C46" s="311"/>
      <c r="D46" s="316">
        <f>IF(inputPrYr!H21&gt;0,inputPrYr!G27,inputPrYr!E27)</f>
        <v>0</v>
      </c>
      <c r="E46" s="262" t="s">
        <v>152</v>
      </c>
    </row>
    <row r="47" spans="2:10" x14ac:dyDescent="0.2">
      <c r="B47" s="118" t="s">
        <v>164</v>
      </c>
      <c r="C47" s="311"/>
      <c r="D47" s="311"/>
      <c r="E47" s="83"/>
    </row>
    <row r="48" spans="2:10" x14ac:dyDescent="0.2">
      <c r="B48" s="118" t="s">
        <v>165</v>
      </c>
      <c r="C48" s="311"/>
      <c r="D48" s="311"/>
      <c r="E48" s="243" t="str">
        <f>Mvalloc!D12</f>
        <v xml:space="preserve">  </v>
      </c>
    </row>
    <row r="49" spans="2:11" x14ac:dyDescent="0.2">
      <c r="B49" s="118" t="s">
        <v>166</v>
      </c>
      <c r="C49" s="311"/>
      <c r="D49" s="311"/>
      <c r="E49" s="243" t="str">
        <f>Mvalloc!E12</f>
        <v xml:space="preserve"> </v>
      </c>
      <c r="G49" s="806" t="str">
        <f>CONCATENATE("Desired Carryover Into ",E1+1,"")</f>
        <v>Desired Carryover Into 2026</v>
      </c>
      <c r="H49" s="792"/>
      <c r="I49" s="792"/>
      <c r="J49" s="793"/>
    </row>
    <row r="50" spans="2:11" x14ac:dyDescent="0.2">
      <c r="B50" s="156" t="s">
        <v>12</v>
      </c>
      <c r="C50" s="311"/>
      <c r="D50" s="311"/>
      <c r="E50" s="243" t="str">
        <f>Mvalloc!F12</f>
        <v xml:space="preserve"> </v>
      </c>
      <c r="G50" s="474"/>
      <c r="H50" s="286"/>
      <c r="I50" s="475"/>
      <c r="J50" s="476"/>
    </row>
    <row r="51" spans="2:11" x14ac:dyDescent="0.2">
      <c r="B51" s="256" t="s">
        <v>503</v>
      </c>
      <c r="C51" s="311"/>
      <c r="D51" s="311"/>
      <c r="E51" s="243" t="str">
        <f>Mvalloc!G12</f>
        <v xml:space="preserve"> </v>
      </c>
      <c r="G51" s="477" t="s">
        <v>341</v>
      </c>
      <c r="H51" s="475"/>
      <c r="I51" s="475"/>
      <c r="J51" s="478">
        <v>0</v>
      </c>
    </row>
    <row r="52" spans="2:11" x14ac:dyDescent="0.2">
      <c r="B52" s="256" t="s">
        <v>504</v>
      </c>
      <c r="C52" s="311"/>
      <c r="D52" s="311"/>
      <c r="E52" s="243" t="str">
        <f>Mvalloc!H12</f>
        <v xml:space="preserve"> </v>
      </c>
      <c r="G52" s="474" t="s">
        <v>342</v>
      </c>
      <c r="H52" s="286"/>
      <c r="I52" s="286"/>
      <c r="J52" s="495" t="str">
        <f>IF(J51=0,"",ROUND((J51+E78-G64)/inputOth!B14*1000,3)-G69)</f>
        <v/>
      </c>
    </row>
    <row r="53" spans="2:11" x14ac:dyDescent="0.2">
      <c r="B53" s="245"/>
      <c r="C53" s="311"/>
      <c r="D53" s="311"/>
      <c r="E53" s="83"/>
      <c r="G53" s="480" t="str">
        <f>CONCATENATE("",E1," Tot Exp/Non-Appr Must Be:")</f>
        <v>2025 Tot Exp/Non-Appr Must Be:</v>
      </c>
      <c r="H53" s="481"/>
      <c r="I53" s="482"/>
      <c r="J53" s="483">
        <f>IF(J51&gt;0,IF(E75&lt;E60,IF(J51=G64,E75,((J51-G64)*(1-D77))+E60),E75+(J51-G64)),0)</f>
        <v>0</v>
      </c>
    </row>
    <row r="54" spans="2:11" x14ac:dyDescent="0.2">
      <c r="B54" s="245"/>
      <c r="C54" s="311"/>
      <c r="D54" s="311"/>
      <c r="E54" s="83"/>
      <c r="G54" s="455" t="s">
        <v>424</v>
      </c>
      <c r="H54" s="484"/>
      <c r="I54" s="484"/>
      <c r="J54" s="457">
        <f>IF(J51&gt;0,J53-E75,0)</f>
        <v>0</v>
      </c>
    </row>
    <row r="55" spans="2:11" x14ac:dyDescent="0.25">
      <c r="B55" s="258" t="s">
        <v>170</v>
      </c>
      <c r="C55" s="311"/>
      <c r="D55" s="311"/>
      <c r="E55" s="83"/>
      <c r="J55" s="3"/>
    </row>
    <row r="56" spans="2:11" x14ac:dyDescent="0.2">
      <c r="B56" s="249" t="s">
        <v>117</v>
      </c>
      <c r="C56" s="311"/>
      <c r="D56" s="311"/>
      <c r="E56" s="275">
        <f>'NR Rebate'!E10*-1</f>
        <v>0</v>
      </c>
      <c r="G56" s="806" t="str">
        <f>CONCATENATE("Projected Carryover Into ",E1+1,"")</f>
        <v>Projected Carryover Into 2026</v>
      </c>
      <c r="H56" s="809"/>
      <c r="I56" s="809"/>
      <c r="J56" s="810"/>
    </row>
    <row r="57" spans="2:11" x14ac:dyDescent="0.2">
      <c r="B57" s="249" t="s">
        <v>118</v>
      </c>
      <c r="C57" s="311"/>
      <c r="D57" s="311"/>
      <c r="E57" s="83"/>
      <c r="G57" s="332"/>
      <c r="H57" s="286"/>
      <c r="I57" s="286"/>
      <c r="J57" s="331"/>
    </row>
    <row r="58" spans="2:11" x14ac:dyDescent="0.2">
      <c r="B58" s="249" t="s">
        <v>334</v>
      </c>
      <c r="C58" s="312" t="str">
        <f>IF(C59*0.1&lt;C57,"Exceed 10% Rule","")</f>
        <v/>
      </c>
      <c r="D58" s="312" t="str">
        <f>IF(D59*0.1&lt;D57,"Exceed 10% Rule","")</f>
        <v/>
      </c>
      <c r="E58" s="272" t="str">
        <f>IF(E59*0.1+E78&lt;E57,"Exceed 10% Rule","")</f>
        <v/>
      </c>
      <c r="G58" s="497">
        <f>D72</f>
        <v>0</v>
      </c>
      <c r="H58" s="469" t="str">
        <f>CONCATENATE("",E1-1," Ending Cash Balance (est.)")</f>
        <v>2024 Ending Cash Balance (est.)</v>
      </c>
      <c r="I58" s="498"/>
      <c r="J58" s="331"/>
    </row>
    <row r="59" spans="2:11" x14ac:dyDescent="0.2">
      <c r="B59" s="251" t="s">
        <v>171</v>
      </c>
      <c r="C59" s="315">
        <f>SUM(C46:C57)</f>
        <v>0</v>
      </c>
      <c r="D59" s="315">
        <f>SUM(D46:D57)</f>
        <v>0</v>
      </c>
      <c r="E59" s="253">
        <f>SUM(E46:E57)</f>
        <v>0</v>
      </c>
      <c r="G59" s="497">
        <f>E59</f>
        <v>0</v>
      </c>
      <c r="H59" s="475" t="str">
        <f>CONCATENATE("",E1," Non-AV Receipts (est.)")</f>
        <v>2025 Non-AV Receipts (est.)</v>
      </c>
      <c r="I59" s="498"/>
      <c r="J59" s="331"/>
    </row>
    <row r="60" spans="2:11" x14ac:dyDescent="0.2">
      <c r="B60" s="251" t="s">
        <v>172</v>
      </c>
      <c r="C60" s="315">
        <f>C44+C59</f>
        <v>0</v>
      </c>
      <c r="D60" s="315">
        <f>D44+D59</f>
        <v>0</v>
      </c>
      <c r="E60" s="253">
        <f>E44+E59</f>
        <v>0</v>
      </c>
      <c r="G60" s="499">
        <f>IF(D77&gt;0,E76,E78)</f>
        <v>0</v>
      </c>
      <c r="H60" s="475" t="str">
        <f>CONCATENATE("",E1," Ad Valorem Tax (est.)")</f>
        <v>2025 Ad Valorem Tax (est.)</v>
      </c>
      <c r="I60" s="498"/>
      <c r="J60" s="331"/>
      <c r="K60" s="490" t="str">
        <f>IF(G60=E78,"","Note: Does not include Delinquent Taxes")</f>
        <v/>
      </c>
    </row>
    <row r="61" spans="2:11" x14ac:dyDescent="0.2">
      <c r="B61" s="118" t="s">
        <v>174</v>
      </c>
      <c r="C61" s="249"/>
      <c r="D61" s="249"/>
      <c r="E61" s="82"/>
      <c r="G61" s="342">
        <f>SUM(G58:G60)</f>
        <v>0</v>
      </c>
      <c r="H61" s="475" t="str">
        <f>CONCATENATE("Total ",E1," Resources Available")</f>
        <v>Total 2025 Resources Available</v>
      </c>
      <c r="I61" s="331"/>
      <c r="J61" s="331"/>
    </row>
    <row r="62" spans="2:11" x14ac:dyDescent="0.2">
      <c r="B62" s="245"/>
      <c r="C62" s="311"/>
      <c r="D62" s="311"/>
      <c r="E62" s="83"/>
      <c r="G62" s="339"/>
      <c r="H62" s="341"/>
      <c r="I62" s="286"/>
      <c r="J62" s="331"/>
    </row>
    <row r="63" spans="2:11" x14ac:dyDescent="0.2">
      <c r="B63" s="245"/>
      <c r="C63" s="311"/>
      <c r="D63" s="311"/>
      <c r="E63" s="83"/>
      <c r="G63" s="340">
        <f>ROUND(C71*0.05+C71,0)</f>
        <v>0</v>
      </c>
      <c r="H63" s="341" t="str">
        <f>CONCATENATE("Less ",E1-2," Expenditures + 5%")</f>
        <v>Less 2023 Expenditures + 5%</v>
      </c>
      <c r="I63" s="331"/>
      <c r="J63" s="331"/>
    </row>
    <row r="64" spans="2:11" x14ac:dyDescent="0.25">
      <c r="B64" s="245"/>
      <c r="C64" s="311"/>
      <c r="D64" s="311"/>
      <c r="E64" s="83"/>
      <c r="G64" s="338">
        <f>G61-G63</f>
        <v>0</v>
      </c>
      <c r="H64" s="337" t="str">
        <f>CONCATENATE("Projected ",E1+1," carryover (est.)")</f>
        <v>Projected 2026 carryover (est.)</v>
      </c>
      <c r="I64" s="330"/>
      <c r="J64" s="505"/>
    </row>
    <row r="65" spans="2:10" x14ac:dyDescent="0.25">
      <c r="B65" s="245"/>
      <c r="C65" s="311"/>
      <c r="D65" s="311"/>
      <c r="E65" s="83"/>
      <c r="G65" s="3"/>
      <c r="H65" s="3"/>
      <c r="I65" s="3"/>
    </row>
    <row r="66" spans="2:10" x14ac:dyDescent="0.2">
      <c r="B66" s="245"/>
      <c r="C66" s="311"/>
      <c r="D66" s="311"/>
      <c r="E66" s="83"/>
      <c r="G66" s="794" t="s">
        <v>635</v>
      </c>
      <c r="H66" s="795"/>
      <c r="I66" s="795"/>
      <c r="J66" s="796"/>
    </row>
    <row r="67" spans="2:10" x14ac:dyDescent="0.2">
      <c r="B67" s="245"/>
      <c r="C67" s="311"/>
      <c r="D67" s="311"/>
      <c r="E67" s="83"/>
      <c r="G67" s="797"/>
      <c r="H67" s="798"/>
      <c r="I67" s="798"/>
      <c r="J67" s="799"/>
    </row>
    <row r="68" spans="2:10" x14ac:dyDescent="0.2">
      <c r="B68" s="249" t="str">
        <f>CONCATENATE("Cash Reserve (",E1," column)")</f>
        <v>Cash Reserve (2025 column)</v>
      </c>
      <c r="C68" s="311"/>
      <c r="D68" s="311"/>
      <c r="E68" s="83"/>
      <c r="G68" s="472" t="str">
        <f>'Budget Hearing Notice'!H23</f>
        <v xml:space="preserve">  </v>
      </c>
      <c r="H68" s="469" t="str">
        <f>CONCATENATE("",E1," Estimated Fund Mill Rate")</f>
        <v>2025 Estimated Fund Mill Rate</v>
      </c>
      <c r="I68" s="470"/>
      <c r="J68" s="471"/>
    </row>
    <row r="69" spans="2:10" x14ac:dyDescent="0.2">
      <c r="B69" s="249" t="s">
        <v>118</v>
      </c>
      <c r="C69" s="311"/>
      <c r="D69" s="311"/>
      <c r="E69" s="83"/>
      <c r="G69" s="633" t="str">
        <f>'Budget Hearing Notice'!E23</f>
        <v xml:space="preserve">  </v>
      </c>
      <c r="H69" s="469" t="str">
        <f>CONCATENATE("",E1-1," Fund Mill Rate")</f>
        <v>2024 Fund Mill Rate</v>
      </c>
      <c r="I69" s="470"/>
      <c r="J69" s="471"/>
    </row>
    <row r="70" spans="2:10" x14ac:dyDescent="0.2">
      <c r="B70" s="249" t="s">
        <v>333</v>
      </c>
      <c r="C70" s="312" t="str">
        <f>IF(C71*0.1&lt;C69,"Exceed 10% Rule","")</f>
        <v/>
      </c>
      <c r="D70" s="312" t="str">
        <f>IF(D71*0.1&lt;D69,"Exceed 10% Rule","")</f>
        <v/>
      </c>
      <c r="E70" s="272" t="str">
        <f>IF(E71*0.1&lt;E69,"Exceed 10% Rule","")</f>
        <v/>
      </c>
      <c r="G70" s="634">
        <f>'Budget Hearing Notice'!H57</f>
        <v>0</v>
      </c>
      <c r="H70" s="635" t="s">
        <v>636</v>
      </c>
      <c r="I70" s="470"/>
      <c r="J70" s="471"/>
    </row>
    <row r="71" spans="2:10" x14ac:dyDescent="0.2">
      <c r="B71" s="265" t="s">
        <v>178</v>
      </c>
      <c r="C71" s="315">
        <f>SUM(C62:C69)</f>
        <v>0</v>
      </c>
      <c r="D71" s="315">
        <f>SUM(D62:D69)</f>
        <v>0</v>
      </c>
      <c r="E71" s="253">
        <f>SUM(E62:E69)</f>
        <v>0</v>
      </c>
      <c r="G71" s="472">
        <f>'Budget Hearing Notice'!H56</f>
        <v>0</v>
      </c>
      <c r="H71" s="469" t="str">
        <f>CONCATENATE(E1," Estimated Total Mill Rate")</f>
        <v>2025 Estimated Total Mill Rate</v>
      </c>
      <c r="I71" s="470"/>
      <c r="J71" s="471"/>
    </row>
    <row r="72" spans="2:10" x14ac:dyDescent="0.2">
      <c r="B72" s="118" t="s">
        <v>19</v>
      </c>
      <c r="C72" s="313">
        <f>C60-C71</f>
        <v>0</v>
      </c>
      <c r="D72" s="313">
        <f>D60-D71</f>
        <v>0</v>
      </c>
      <c r="E72" s="262" t="s">
        <v>152</v>
      </c>
      <c r="G72" s="473">
        <f>'Budget Hearing Notice'!E56</f>
        <v>0</v>
      </c>
      <c r="H72" s="469" t="str">
        <f>CONCATENATE(E1-1," Total Mill Rate")</f>
        <v>2024 Total Mill Rate</v>
      </c>
      <c r="I72" s="470"/>
      <c r="J72" s="471"/>
    </row>
    <row r="73" spans="2:10" x14ac:dyDescent="0.2">
      <c r="B73" s="164" t="str">
        <f>CONCATENATE("",E1-2,"/",E1-1,"/",E1," Budget Authority Amount:")</f>
        <v>2023/2024/2025 Budget Authority Amount:</v>
      </c>
      <c r="C73" s="270">
        <f>inputOth!B86</f>
        <v>0</v>
      </c>
      <c r="D73" s="270">
        <f>inputPrYr!D27</f>
        <v>0</v>
      </c>
      <c r="E73" s="243">
        <f>E71</f>
        <v>0</v>
      </c>
      <c r="G73" s="332"/>
      <c r="H73" s="286"/>
      <c r="I73" s="286"/>
      <c r="J73" s="331"/>
    </row>
    <row r="74" spans="2:10" x14ac:dyDescent="0.2">
      <c r="B74" s="135"/>
      <c r="C74" s="785" t="s">
        <v>338</v>
      </c>
      <c r="D74" s="786"/>
      <c r="E74" s="83"/>
      <c r="G74" s="800" t="s">
        <v>637</v>
      </c>
      <c r="H74" s="801"/>
      <c r="I74" s="801"/>
      <c r="J74" s="804" t="str">
        <f>IF(G71&gt;G70, "Yes", "No")</f>
        <v>No</v>
      </c>
    </row>
    <row r="75" spans="2:10" x14ac:dyDescent="0.2">
      <c r="B75" s="364" t="str">
        <f>CONCATENATE(C95,"     ",D95)</f>
        <v xml:space="preserve">     </v>
      </c>
      <c r="C75" s="787" t="s">
        <v>339</v>
      </c>
      <c r="D75" s="788"/>
      <c r="E75" s="243">
        <f>E71+E74</f>
        <v>0</v>
      </c>
      <c r="G75" s="802"/>
      <c r="H75" s="803"/>
      <c r="I75" s="803"/>
      <c r="J75" s="805"/>
    </row>
    <row r="76" spans="2:10" x14ac:dyDescent="0.2">
      <c r="B76" s="364" t="str">
        <f>CONCATENATE(C96,"     ",D96)</f>
        <v xml:space="preserve">     </v>
      </c>
      <c r="C76" s="255"/>
      <c r="D76" s="161" t="s">
        <v>179</v>
      </c>
      <c r="E76" s="92">
        <f>IF(E75-E60&gt;0,E75-E60,0)</f>
        <v>0</v>
      </c>
      <c r="G76" s="781" t="str">
        <f>IF(J74="Yes", "Follow procedure prescribed by KSA 79-2988 to exceed the Revenue Neutral Rate.", " ")</f>
        <v xml:space="preserve"> </v>
      </c>
      <c r="H76" s="781"/>
      <c r="I76" s="781"/>
      <c r="J76" s="781"/>
    </row>
    <row r="77" spans="2:10" x14ac:dyDescent="0.2">
      <c r="B77" s="161"/>
      <c r="C77" s="333" t="s">
        <v>340</v>
      </c>
      <c r="D77" s="515">
        <f>inputOth!$E$67</f>
        <v>0</v>
      </c>
      <c r="E77" s="243">
        <f>ROUND(IF(D77&gt;0,(E76*D77),0),0)</f>
        <v>0</v>
      </c>
      <c r="G77" s="782"/>
      <c r="H77" s="782"/>
      <c r="I77" s="782"/>
      <c r="J77" s="782"/>
    </row>
    <row r="78" spans="2:10" ht="16.5" thickBot="1" x14ac:dyDescent="0.25">
      <c r="B78" s="69"/>
      <c r="C78" s="783" t="str">
        <f>CONCATENATE("Amount of  ",$E$1-1," Ad Valorem Tax")</f>
        <v>Amount of  2024 Ad Valorem Tax</v>
      </c>
      <c r="D78" s="784"/>
      <c r="E78" s="266">
        <f>E76+E77</f>
        <v>0</v>
      </c>
      <c r="G78" s="782"/>
      <c r="H78" s="782"/>
      <c r="I78" s="782"/>
      <c r="J78" s="782"/>
    </row>
    <row r="79" spans="2:10" ht="16.5" thickTop="1" x14ac:dyDescent="0.2">
      <c r="B79" s="69"/>
      <c r="C79" s="135"/>
      <c r="D79" s="69"/>
      <c r="E79" s="69"/>
      <c r="F79" s="263"/>
    </row>
    <row r="80" spans="2:10" x14ac:dyDescent="0.2">
      <c r="B80" s="602" t="s">
        <v>513</v>
      </c>
      <c r="C80" s="589"/>
      <c r="D80" s="115"/>
      <c r="E80" s="586"/>
      <c r="F80" s="522" t="str">
        <f>IF(E71/0.95-E71&lt;E74,"Exceeds 5%","")</f>
        <v/>
      </c>
    </row>
    <row r="81" spans="2:5" x14ac:dyDescent="0.2">
      <c r="B81" s="332"/>
      <c r="C81" s="135"/>
      <c r="D81" s="69"/>
      <c r="E81" s="331"/>
    </row>
    <row r="82" spans="2:5" x14ac:dyDescent="0.2">
      <c r="B82" s="590"/>
      <c r="C82" s="591"/>
      <c r="D82" s="76"/>
      <c r="E82" s="96"/>
    </row>
    <row r="83" spans="2:5" x14ac:dyDescent="0.2">
      <c r="B83" s="69"/>
      <c r="C83" s="135"/>
      <c r="D83" s="69"/>
      <c r="E83" s="69"/>
    </row>
    <row r="84" spans="2:5" x14ac:dyDescent="0.2">
      <c r="B84" s="135" t="s">
        <v>181</v>
      </c>
      <c r="C84" s="564"/>
      <c r="D84" s="69"/>
      <c r="E84" s="69"/>
    </row>
    <row r="85" spans="2:5" x14ac:dyDescent="0.2">
      <c r="B85" s="63"/>
    </row>
    <row r="93" spans="2:5" x14ac:dyDescent="0.2">
      <c r="C93" s="65" t="str">
        <f>IF(C32&gt;C34,"See Tab A","")</f>
        <v/>
      </c>
      <c r="D93" s="65" t="str">
        <f>IF(D32&gt;D34,"See Tab C","")</f>
        <v/>
      </c>
    </row>
    <row r="94" spans="2:5" x14ac:dyDescent="0.2">
      <c r="C94" s="65" t="str">
        <f>IF(C33&lt;0,"See Tab B","")</f>
        <v/>
      </c>
      <c r="D94" s="65" t="str">
        <f>IF(D33&lt;0,"See Tab D","")</f>
        <v/>
      </c>
    </row>
    <row r="95" spans="2:5" hidden="1" x14ac:dyDescent="0.2">
      <c r="C95" s="65" t="str">
        <f>IF(C71&gt;C73,"See Tab A","")</f>
        <v/>
      </c>
      <c r="D95" s="65" t="str">
        <f>IF(D71&gt;D73,"See Tab C","")</f>
        <v/>
      </c>
    </row>
    <row r="96" spans="2:5" hidden="1" x14ac:dyDescent="0.2">
      <c r="C96" s="65" t="str">
        <f>IF(C72&lt;0,"See Tab B","")</f>
        <v/>
      </c>
      <c r="D96" s="65" t="str">
        <f>IF(D72&lt;0,"See Tab D","")</f>
        <v/>
      </c>
    </row>
    <row r="97" hidden="1" x14ac:dyDescent="0.2"/>
    <row r="98" hidden="1" x14ac:dyDescent="0.2"/>
  </sheetData>
  <sheetProtection sheet="1"/>
  <mergeCells count="19">
    <mergeCell ref="C35:D35"/>
    <mergeCell ref="C36:D36"/>
    <mergeCell ref="C39:D39"/>
    <mergeCell ref="C78:D78"/>
    <mergeCell ref="C40:D40"/>
    <mergeCell ref="C74:D74"/>
    <mergeCell ref="C75:D75"/>
    <mergeCell ref="G66:J67"/>
    <mergeCell ref="G74:I75"/>
    <mergeCell ref="J74:J75"/>
    <mergeCell ref="G76:J78"/>
    <mergeCell ref="G10:J10"/>
    <mergeCell ref="G17:J17"/>
    <mergeCell ref="G49:J49"/>
    <mergeCell ref="G56:J56"/>
    <mergeCell ref="G27:J28"/>
    <mergeCell ref="G35:I36"/>
    <mergeCell ref="J35:J36"/>
    <mergeCell ref="G37:J39"/>
  </mergeCells>
  <phoneticPr fontId="0" type="noConversion"/>
  <conditionalFormatting sqref="C19">
    <cfRule type="cellIs" dxfId="303" priority="21" stopIfTrue="1" operator="greaterThan">
      <formula>$C$21*0.1</formula>
    </cfRule>
  </conditionalFormatting>
  <conditionalFormatting sqref="C30">
    <cfRule type="cellIs" dxfId="302" priority="17" stopIfTrue="1" operator="greaterThan">
      <formula>$C$32*0.1</formula>
    </cfRule>
  </conditionalFormatting>
  <conditionalFormatting sqref="C32">
    <cfRule type="cellIs" dxfId="301" priority="19" stopIfTrue="1" operator="greaterThan">
      <formula>$C$34</formula>
    </cfRule>
  </conditionalFormatting>
  <conditionalFormatting sqref="C33 C72">
    <cfRule type="cellIs" dxfId="300" priority="13" stopIfTrue="1" operator="lessThan">
      <formula>0</formula>
    </cfRule>
  </conditionalFormatting>
  <conditionalFormatting sqref="C57">
    <cfRule type="cellIs" dxfId="299" priority="15" stopIfTrue="1" operator="greaterThan">
      <formula>$C$59*0.1</formula>
    </cfRule>
  </conditionalFormatting>
  <conditionalFormatting sqref="C69">
    <cfRule type="cellIs" dxfId="298" priority="10" stopIfTrue="1" operator="greaterThan">
      <formula>$C$71*0.1</formula>
    </cfRule>
  </conditionalFormatting>
  <conditionalFormatting sqref="C71">
    <cfRule type="cellIs" dxfId="297" priority="12" stopIfTrue="1" operator="greaterThan">
      <formula>$C$73</formula>
    </cfRule>
  </conditionalFormatting>
  <conditionalFormatting sqref="D19">
    <cfRule type="cellIs" dxfId="296" priority="20" stopIfTrue="1" operator="greaterThan">
      <formula>$D$21*0.1</formula>
    </cfRule>
  </conditionalFormatting>
  <conditionalFormatting sqref="D30">
    <cfRule type="cellIs" dxfId="295" priority="16" stopIfTrue="1" operator="greaterThan">
      <formula>$D$32*0.1</formula>
    </cfRule>
  </conditionalFormatting>
  <conditionalFormatting sqref="D32">
    <cfRule type="cellIs" dxfId="294" priority="18" stopIfTrue="1" operator="greaterThan">
      <formula>$D$34</formula>
    </cfRule>
  </conditionalFormatting>
  <conditionalFormatting sqref="D33 D72">
    <cfRule type="cellIs" dxfId="293" priority="4" stopIfTrue="1" operator="lessThan">
      <formula>0</formula>
    </cfRule>
  </conditionalFormatting>
  <conditionalFormatting sqref="D57">
    <cfRule type="cellIs" dxfId="292" priority="14" stopIfTrue="1" operator="greaterThan">
      <formula>$D$59*0.1</formula>
    </cfRule>
  </conditionalFormatting>
  <conditionalFormatting sqref="D69">
    <cfRule type="cellIs" dxfId="291" priority="9" stopIfTrue="1" operator="greaterThan">
      <formula>$D$71*0.1</formula>
    </cfRule>
  </conditionalFormatting>
  <conditionalFormatting sqref="D71">
    <cfRule type="cellIs" dxfId="290" priority="11" stopIfTrue="1" operator="greaterThan">
      <formula>$D$73</formula>
    </cfRule>
  </conditionalFormatting>
  <conditionalFormatting sqref="E19">
    <cfRule type="cellIs" dxfId="289" priority="72" stopIfTrue="1" operator="greaterThan">
      <formula>$E$21*0.1+$E$39</formula>
    </cfRule>
  </conditionalFormatting>
  <conditionalFormatting sqref="E30">
    <cfRule type="cellIs" dxfId="288" priority="6" stopIfTrue="1" operator="greaterThan">
      <formula>$E$32*0.1</formula>
    </cfRule>
  </conditionalFormatting>
  <conditionalFormatting sqref="E35">
    <cfRule type="cellIs" dxfId="287" priority="7" stopIfTrue="1" operator="greaterThan">
      <formula>$E$32/0.95-$E$32</formula>
    </cfRule>
  </conditionalFormatting>
  <conditionalFormatting sqref="E57">
    <cfRule type="cellIs" dxfId="286" priority="62" stopIfTrue="1" operator="greaterThan">
      <formula>$E$59*0.1+$E$78</formula>
    </cfRule>
  </conditionalFormatting>
  <conditionalFormatting sqref="E69">
    <cfRule type="cellIs" dxfId="285" priority="5" stopIfTrue="1" operator="greaterThan">
      <formula>$E$71*0.1</formula>
    </cfRule>
  </conditionalFormatting>
  <conditionalFormatting sqref="E74">
    <cfRule type="cellIs" dxfId="284" priority="8" stopIfTrue="1" operator="greaterThan">
      <formula>$E$71/0.95-$E$71</formula>
    </cfRule>
  </conditionalFormatting>
  <conditionalFormatting sqref="J35">
    <cfRule type="containsText" dxfId="283" priority="2" operator="containsText" text="Yes">
      <formula>NOT(ISERROR(SEARCH("Yes",J35)))</formula>
    </cfRule>
  </conditionalFormatting>
  <conditionalFormatting sqref="J74">
    <cfRule type="containsText" dxfId="282" priority="1" operator="containsText" text="Yes">
      <formula>NOT(ISERROR(SEARCH("Yes",J74)))</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F0"/>
    <pageSetUpPr fitToPage="1"/>
  </sheetPr>
  <dimension ref="B1:K97"/>
  <sheetViews>
    <sheetView zoomScaleNormal="100" workbookViewId="0">
      <selection activeCell="B9" sqref="B9"/>
    </sheetView>
  </sheetViews>
  <sheetFormatPr defaultColWidth="8.88671875" defaultRowHeight="15.75" x14ac:dyDescent="0.2"/>
  <cols>
    <col min="1" max="1" width="2.44140625" style="65" customWidth="1"/>
    <col min="2" max="2" width="31.109375" style="65" customWidth="1"/>
    <col min="3" max="4" width="15.77734375" style="65" customWidth="1"/>
    <col min="5" max="5" width="16.44140625" style="65" customWidth="1"/>
    <col min="6" max="6" width="8.109375" style="65" customWidth="1"/>
    <col min="7" max="7" width="10.21875" style="65" customWidth="1"/>
    <col min="8" max="8" width="8.88671875" style="65"/>
    <col min="9" max="9" width="5.44140625" style="65" customWidth="1"/>
    <col min="10" max="10" width="10" style="65" customWidth="1"/>
    <col min="11" max="16384" width="8.88671875" style="65"/>
  </cols>
  <sheetData>
    <row r="1" spans="2:10" x14ac:dyDescent="0.2">
      <c r="B1" s="89">
        <f>(inputPrYr!D3)</f>
        <v>0</v>
      </c>
      <c r="C1" s="69"/>
      <c r="D1" s="69"/>
      <c r="E1" s="135">
        <f>inputPrYr!C10</f>
        <v>2025</v>
      </c>
    </row>
    <row r="2" spans="2:10" x14ac:dyDescent="0.2">
      <c r="B2" s="69"/>
      <c r="C2" s="69"/>
      <c r="D2" s="69"/>
      <c r="E2" s="161"/>
    </row>
    <row r="3" spans="2:10" x14ac:dyDescent="0.2">
      <c r="B3" s="239" t="s">
        <v>5</v>
      </c>
      <c r="C3" s="169"/>
      <c r="D3" s="169"/>
      <c r="E3" s="238"/>
    </row>
    <row r="4" spans="2:10" x14ac:dyDescent="0.2">
      <c r="B4" s="72" t="s">
        <v>162</v>
      </c>
      <c r="C4" s="392" t="s">
        <v>359</v>
      </c>
      <c r="D4" s="393" t="s">
        <v>360</v>
      </c>
      <c r="E4" s="142" t="s">
        <v>361</v>
      </c>
    </row>
    <row r="5" spans="2:10" x14ac:dyDescent="0.2">
      <c r="B5" s="377">
        <f>inputPrYr!B28</f>
        <v>0</v>
      </c>
      <c r="C5" s="318" t="str">
        <f>CONCATENATE("Actual for ",E1-2,"")</f>
        <v>Actual for 2023</v>
      </c>
      <c r="D5" s="318" t="str">
        <f>CONCATENATE("Estimate for ",E1-1,"")</f>
        <v>Estimate for 2024</v>
      </c>
      <c r="E5" s="176" t="str">
        <f>CONCATENATE("Year for ",E1,"")</f>
        <v>Year for 2025</v>
      </c>
    </row>
    <row r="6" spans="2:10" x14ac:dyDescent="0.2">
      <c r="B6" s="256" t="s">
        <v>18</v>
      </c>
      <c r="C6" s="311"/>
      <c r="D6" s="316">
        <f>C34</f>
        <v>0</v>
      </c>
      <c r="E6" s="243">
        <f>D34</f>
        <v>0</v>
      </c>
    </row>
    <row r="7" spans="2:10" x14ac:dyDescent="0.2">
      <c r="B7" s="257" t="s">
        <v>20</v>
      </c>
      <c r="C7" s="316"/>
      <c r="D7" s="316"/>
      <c r="E7" s="243"/>
    </row>
    <row r="8" spans="2:10" x14ac:dyDescent="0.2">
      <c r="B8" s="118" t="s">
        <v>163</v>
      </c>
      <c r="C8" s="311"/>
      <c r="D8" s="316">
        <f>IF(inputPrYr!H21&gt;0,inputPrYr!G28,inputPrYr!E28)</f>
        <v>0</v>
      </c>
      <c r="E8" s="262" t="s">
        <v>152</v>
      </c>
    </row>
    <row r="9" spans="2:10" x14ac:dyDescent="0.2">
      <c r="B9" s="118" t="s">
        <v>164</v>
      </c>
      <c r="C9" s="311"/>
      <c r="D9" s="311"/>
      <c r="E9" s="83"/>
    </row>
    <row r="10" spans="2:10" x14ac:dyDescent="0.2">
      <c r="B10" s="118" t="s">
        <v>165</v>
      </c>
      <c r="C10" s="311"/>
      <c r="D10" s="311"/>
      <c r="E10" s="243" t="str">
        <f>Mvalloc!D13</f>
        <v xml:space="preserve">  </v>
      </c>
    </row>
    <row r="11" spans="2:10" x14ac:dyDescent="0.2">
      <c r="B11" s="118" t="s">
        <v>166</v>
      </c>
      <c r="C11" s="311"/>
      <c r="D11" s="311"/>
      <c r="E11" s="243" t="str">
        <f>Mvalloc!E13</f>
        <v xml:space="preserve"> </v>
      </c>
      <c r="G11" s="806" t="str">
        <f>CONCATENATE("Desired Carryover Into ",E1+1,"")</f>
        <v>Desired Carryover Into 2026</v>
      </c>
      <c r="H11" s="792"/>
      <c r="I11" s="792"/>
      <c r="J11" s="793"/>
    </row>
    <row r="12" spans="2:10" x14ac:dyDescent="0.2">
      <c r="B12" s="156" t="s">
        <v>12</v>
      </c>
      <c r="C12" s="311"/>
      <c r="D12" s="311"/>
      <c r="E12" s="243" t="str">
        <f>Mvalloc!F13</f>
        <v xml:space="preserve"> </v>
      </c>
      <c r="G12" s="474"/>
      <c r="H12" s="286"/>
      <c r="I12" s="475"/>
      <c r="J12" s="476"/>
    </row>
    <row r="13" spans="2:10" x14ac:dyDescent="0.2">
      <c r="B13" s="256" t="s">
        <v>503</v>
      </c>
      <c r="C13" s="311"/>
      <c r="D13" s="311"/>
      <c r="E13" s="243" t="str">
        <f>Mvalloc!G13</f>
        <v xml:space="preserve"> </v>
      </c>
      <c r="G13" s="477" t="s">
        <v>341</v>
      </c>
      <c r="H13" s="475"/>
      <c r="I13" s="475"/>
      <c r="J13" s="478">
        <v>0</v>
      </c>
    </row>
    <row r="14" spans="2:10" x14ac:dyDescent="0.2">
      <c r="B14" s="256" t="s">
        <v>504</v>
      </c>
      <c r="C14" s="311"/>
      <c r="D14" s="311"/>
      <c r="E14" s="243" t="str">
        <f>Mvalloc!H13</f>
        <v xml:space="preserve"> </v>
      </c>
      <c r="G14" s="474" t="s">
        <v>342</v>
      </c>
      <c r="H14" s="286"/>
      <c r="I14" s="286"/>
      <c r="J14" s="495" t="str">
        <f>IF(J13=0,"",ROUND((J13+E40-G26)/inputOth!B14*1000,3)-G31)</f>
        <v/>
      </c>
    </row>
    <row r="15" spans="2:10" x14ac:dyDescent="0.2">
      <c r="B15" s="245"/>
      <c r="C15" s="311"/>
      <c r="D15" s="311"/>
      <c r="E15" s="83"/>
      <c r="G15" s="480" t="str">
        <f>CONCATENATE("",E1," Tot Exp/Non-Appr Must Be:")</f>
        <v>2025 Tot Exp/Non-Appr Must Be:</v>
      </c>
      <c r="H15" s="481"/>
      <c r="I15" s="482"/>
      <c r="J15" s="483">
        <f>IF(J13&gt;0,IF(E37&lt;E22,IF(J13=G26,E37,((J13-G26)*(1-D39))+E22),E37+(J13-G26)),0)</f>
        <v>0</v>
      </c>
    </row>
    <row r="16" spans="2:10" x14ac:dyDescent="0.2">
      <c r="B16" s="245"/>
      <c r="C16" s="311"/>
      <c r="D16" s="311"/>
      <c r="E16" s="83"/>
      <c r="G16" s="455" t="s">
        <v>424</v>
      </c>
      <c r="H16" s="484"/>
      <c r="I16" s="484"/>
      <c r="J16" s="457">
        <f>IF(J13&gt;0,J15-E37,0)</f>
        <v>0</v>
      </c>
    </row>
    <row r="17" spans="2:11" x14ac:dyDescent="0.25">
      <c r="B17" s="258" t="s">
        <v>170</v>
      </c>
      <c r="C17" s="311"/>
      <c r="D17" s="311"/>
      <c r="E17" s="83"/>
      <c r="J17" s="3"/>
    </row>
    <row r="18" spans="2:11" x14ac:dyDescent="0.2">
      <c r="B18" s="249" t="s">
        <v>117</v>
      </c>
      <c r="C18" s="311"/>
      <c r="D18" s="311"/>
      <c r="E18" s="275">
        <f>'NR Rebate'!E11*-1</f>
        <v>0</v>
      </c>
      <c r="G18" s="806" t="str">
        <f>CONCATENATE("Projected Carryover Into ",E1+1,"")</f>
        <v>Projected Carryover Into 2026</v>
      </c>
      <c r="H18" s="808"/>
      <c r="I18" s="808"/>
      <c r="J18" s="810"/>
    </row>
    <row r="19" spans="2:11" x14ac:dyDescent="0.25">
      <c r="B19" s="249" t="s">
        <v>118</v>
      </c>
      <c r="C19" s="311"/>
      <c r="D19" s="311"/>
      <c r="E19" s="83"/>
      <c r="G19" s="474"/>
      <c r="H19" s="475"/>
      <c r="I19" s="475"/>
      <c r="J19" s="496"/>
    </row>
    <row r="20" spans="2:11" x14ac:dyDescent="0.25">
      <c r="B20" s="249" t="s">
        <v>120</v>
      </c>
      <c r="C20" s="312" t="str">
        <f>IF(C21*0.1&lt;C19,"Exceed 10% Rule","")</f>
        <v/>
      </c>
      <c r="D20" s="312" t="str">
        <f>IF(D21*0.1&lt;D19,"Exceed 10% Rule","")</f>
        <v/>
      </c>
      <c r="E20" s="272" t="str">
        <f>IF(E21*0.1+E40&lt;E19,"Exceed 10% Rule","")</f>
        <v/>
      </c>
      <c r="G20" s="497">
        <f>D34</f>
        <v>0</v>
      </c>
      <c r="H20" s="469" t="str">
        <f>CONCATENATE("",E1-1," Ending Cash Balance (est.)")</f>
        <v>2024 Ending Cash Balance (est.)</v>
      </c>
      <c r="I20" s="498"/>
      <c r="J20" s="496"/>
    </row>
    <row r="21" spans="2:11" x14ac:dyDescent="0.25">
      <c r="B21" s="251" t="s">
        <v>171</v>
      </c>
      <c r="C21" s="315">
        <f>SUM(C8:C19)</f>
        <v>0</v>
      </c>
      <c r="D21" s="315">
        <f>SUM(D8:D19)</f>
        <v>0</v>
      </c>
      <c r="E21" s="253">
        <f>SUM(E8:E19)</f>
        <v>0</v>
      </c>
      <c r="G21" s="497">
        <f>E21</f>
        <v>0</v>
      </c>
      <c r="H21" s="475" t="str">
        <f>CONCATENATE("",E1," Non-AV Receipts (est.)")</f>
        <v>2025 Non-AV Receipts (est.)</v>
      </c>
      <c r="I21" s="498"/>
      <c r="J21" s="496"/>
    </row>
    <row r="22" spans="2:11" x14ac:dyDescent="0.2">
      <c r="B22" s="251" t="s">
        <v>172</v>
      </c>
      <c r="C22" s="315">
        <f>C6+C21</f>
        <v>0</v>
      </c>
      <c r="D22" s="315">
        <f>D6+D21</f>
        <v>0</v>
      </c>
      <c r="E22" s="253">
        <f>E6+E21</f>
        <v>0</v>
      </c>
      <c r="G22" s="499">
        <f>IF(E39&gt;0,E38,E40)</f>
        <v>0</v>
      </c>
      <c r="H22" s="475" t="str">
        <f>CONCATENATE("",E1," Ad Valorem Tax (est.)")</f>
        <v>2025 Ad Valorem Tax (est.)</v>
      </c>
      <c r="I22" s="498"/>
      <c r="J22" s="500"/>
      <c r="K22" s="490" t="str">
        <f>IF(G22=E40,"","Note: Does not include Delinquent Taxes")</f>
        <v/>
      </c>
    </row>
    <row r="23" spans="2:11" x14ac:dyDescent="0.25">
      <c r="B23" s="118" t="s">
        <v>174</v>
      </c>
      <c r="C23" s="249"/>
      <c r="D23" s="249"/>
      <c r="E23" s="82"/>
      <c r="G23" s="497">
        <f>SUM(G20:G22)</f>
        <v>0</v>
      </c>
      <c r="H23" s="475" t="str">
        <f>CONCATENATE("Total ",E1," Resources Available")</f>
        <v>Total 2025 Resources Available</v>
      </c>
      <c r="I23" s="498"/>
      <c r="J23" s="496"/>
    </row>
    <row r="24" spans="2:11" x14ac:dyDescent="0.25">
      <c r="B24" s="247"/>
      <c r="C24" s="311"/>
      <c r="D24" s="311"/>
      <c r="E24" s="90"/>
      <c r="F24" s="264"/>
      <c r="G24" s="501"/>
      <c r="H24" s="475"/>
      <c r="I24" s="475"/>
      <c r="J24" s="496"/>
    </row>
    <row r="25" spans="2:11" x14ac:dyDescent="0.25">
      <c r="B25" s="245"/>
      <c r="C25" s="311"/>
      <c r="D25" s="311"/>
      <c r="E25" s="83"/>
      <c r="G25" s="499">
        <f>ROUND(C33*0.05+C33,0)</f>
        <v>0</v>
      </c>
      <c r="H25" s="475" t="str">
        <f>CONCATENATE("Less ",E1-2," Expenditures + 5%")</f>
        <v>Less 2023 Expenditures + 5%</v>
      </c>
      <c r="I25" s="498"/>
      <c r="J25" s="496"/>
    </row>
    <row r="26" spans="2:11" x14ac:dyDescent="0.25">
      <c r="B26" s="245"/>
      <c r="C26" s="311"/>
      <c r="D26" s="311"/>
      <c r="E26" s="83"/>
      <c r="G26" s="502">
        <f>G23-G25</f>
        <v>0</v>
      </c>
      <c r="H26" s="503" t="str">
        <f>CONCATENATE("Projected ",E1+1," carryover (est.)")</f>
        <v>Projected 2026 carryover (est.)</v>
      </c>
      <c r="I26" s="504"/>
      <c r="J26" s="505"/>
    </row>
    <row r="27" spans="2:11" x14ac:dyDescent="0.25">
      <c r="B27" s="245"/>
      <c r="C27" s="311"/>
      <c r="D27" s="311"/>
      <c r="E27" s="83"/>
      <c r="G27" s="3"/>
      <c r="H27" s="3"/>
      <c r="I27" s="3"/>
      <c r="J27" s="3"/>
    </row>
    <row r="28" spans="2:11" x14ac:dyDescent="0.2">
      <c r="B28" s="245"/>
      <c r="C28" s="311"/>
      <c r="D28" s="311"/>
      <c r="E28" s="83"/>
      <c r="G28" s="794" t="s">
        <v>635</v>
      </c>
      <c r="H28" s="795"/>
      <c r="I28" s="795"/>
      <c r="J28" s="796"/>
    </row>
    <row r="29" spans="2:11" x14ac:dyDescent="0.2">
      <c r="B29" s="245"/>
      <c r="C29" s="311"/>
      <c r="D29" s="311"/>
      <c r="E29" s="83"/>
      <c r="G29" s="797"/>
      <c r="H29" s="798"/>
      <c r="I29" s="798"/>
      <c r="J29" s="799"/>
    </row>
    <row r="30" spans="2:11" x14ac:dyDescent="0.2">
      <c r="B30" s="249" t="str">
        <f>CONCATENATE("Cash Reserve (",E1," column)")</f>
        <v>Cash Reserve (2025 column)</v>
      </c>
      <c r="C30" s="311"/>
      <c r="D30" s="311"/>
      <c r="E30" s="83"/>
      <c r="G30" s="472" t="str">
        <f>'Budget Hearing Notice'!H24</f>
        <v xml:space="preserve">  </v>
      </c>
      <c r="H30" s="469" t="str">
        <f>CONCATENATE("",E1," Estimated Fund Mill Rate")</f>
        <v>2025 Estimated Fund Mill Rate</v>
      </c>
      <c r="I30" s="470"/>
      <c r="J30" s="471"/>
    </row>
    <row r="31" spans="2:11" x14ac:dyDescent="0.2">
      <c r="B31" s="249" t="s">
        <v>118</v>
      </c>
      <c r="C31" s="311"/>
      <c r="D31" s="311"/>
      <c r="E31" s="83"/>
      <c r="G31" s="633" t="str">
        <f>'Budget Hearing Notice'!E24</f>
        <v xml:space="preserve">  </v>
      </c>
      <c r="H31" s="469" t="str">
        <f>CONCATENATE("",E1-1," Fund Mill Rate")</f>
        <v>2024 Fund Mill Rate</v>
      </c>
      <c r="I31" s="470"/>
      <c r="J31" s="471"/>
    </row>
    <row r="32" spans="2:11" x14ac:dyDescent="0.2">
      <c r="B32" s="249" t="s">
        <v>119</v>
      </c>
      <c r="C32" s="312" t="str">
        <f>IF(C33*0.1&lt;C31,"Exceed 10% Rule","")</f>
        <v/>
      </c>
      <c r="D32" s="312" t="str">
        <f>IF(D33*0.1&lt;D31,"Exceed 10% Rule","")</f>
        <v/>
      </c>
      <c r="E32" s="272" t="str">
        <f>IF(E33*0.1&lt;E31,"Exceed 10% Rule","")</f>
        <v/>
      </c>
      <c r="G32" s="634">
        <f>'Budget Hearing Notice'!H57</f>
        <v>0</v>
      </c>
      <c r="H32" s="635" t="s">
        <v>636</v>
      </c>
      <c r="I32" s="470"/>
      <c r="J32" s="471"/>
    </row>
    <row r="33" spans="2:10" x14ac:dyDescent="0.2">
      <c r="B33" s="251" t="s">
        <v>178</v>
      </c>
      <c r="C33" s="315">
        <f>SUM(C24:C31)</f>
        <v>0</v>
      </c>
      <c r="D33" s="315">
        <f>SUM(D24:D31)</f>
        <v>0</v>
      </c>
      <c r="E33" s="253">
        <f>SUM(E24:E31)</f>
        <v>0</v>
      </c>
      <c r="G33" s="472">
        <f>'Budget Hearing Notice'!H56</f>
        <v>0</v>
      </c>
      <c r="H33" s="469" t="str">
        <f>CONCATENATE(E1," Estimated Total Mill Rate")</f>
        <v>2025 Estimated Total Mill Rate</v>
      </c>
      <c r="I33" s="470"/>
      <c r="J33" s="471"/>
    </row>
    <row r="34" spans="2:10" x14ac:dyDescent="0.2">
      <c r="B34" s="118" t="s">
        <v>19</v>
      </c>
      <c r="C34" s="313">
        <f>C22-C33</f>
        <v>0</v>
      </c>
      <c r="D34" s="313">
        <f>D22-D33</f>
        <v>0</v>
      </c>
      <c r="E34" s="262" t="s">
        <v>152</v>
      </c>
      <c r="G34" s="473">
        <f>'Budget Hearing Notice'!E56</f>
        <v>0</v>
      </c>
      <c r="H34" s="469" t="str">
        <f>CONCATENATE(E1-1," Total Mill Rate")</f>
        <v>2024 Total Mill Rate</v>
      </c>
      <c r="I34" s="470"/>
      <c r="J34" s="471"/>
    </row>
    <row r="35" spans="2:10" x14ac:dyDescent="0.2">
      <c r="B35" s="164" t="str">
        <f>CONCATENATE("",E1-2,"/",E1-1,"/",E1," Budget Authority Amount:")</f>
        <v>2023/2024/2025 Budget Authority Amount:</v>
      </c>
      <c r="C35" s="270">
        <f>inputOth!B87</f>
        <v>0</v>
      </c>
      <c r="D35" s="270">
        <f>inputPrYr!D28</f>
        <v>0</v>
      </c>
      <c r="E35" s="243">
        <f>E33</f>
        <v>0</v>
      </c>
      <c r="G35" s="332"/>
      <c r="H35" s="286"/>
      <c r="I35" s="286"/>
      <c r="J35" s="331"/>
    </row>
    <row r="36" spans="2:10" x14ac:dyDescent="0.2">
      <c r="B36" s="135"/>
      <c r="C36" s="785" t="s">
        <v>338</v>
      </c>
      <c r="D36" s="786"/>
      <c r="E36" s="83"/>
      <c r="G36" s="800" t="s">
        <v>637</v>
      </c>
      <c r="H36" s="801"/>
      <c r="I36" s="801"/>
      <c r="J36" s="804" t="str">
        <f>IF(G33&gt;G32, "Yes", "No")</f>
        <v>No</v>
      </c>
    </row>
    <row r="37" spans="2:10" x14ac:dyDescent="0.2">
      <c r="B37" s="364" t="str">
        <f>CONCATENATE(C93,"     ",D93)</f>
        <v xml:space="preserve">     </v>
      </c>
      <c r="C37" s="787" t="s">
        <v>339</v>
      </c>
      <c r="D37" s="788"/>
      <c r="E37" s="243">
        <f>E33+E36</f>
        <v>0</v>
      </c>
      <c r="F37" s="263"/>
      <c r="G37" s="802"/>
      <c r="H37" s="803"/>
      <c r="I37" s="803"/>
      <c r="J37" s="805"/>
    </row>
    <row r="38" spans="2:10" x14ac:dyDescent="0.2">
      <c r="B38" s="364" t="str">
        <f>CONCATENATE(C94,"     ",D94)</f>
        <v xml:space="preserve">     </v>
      </c>
      <c r="C38" s="255"/>
      <c r="D38" s="161" t="s">
        <v>179</v>
      </c>
      <c r="E38" s="92">
        <f>IF(E37-E22&gt;0,E37-E22,0)</f>
        <v>0</v>
      </c>
      <c r="F38" s="522" t="str">
        <f>IF(E33/0.95-E33&lt;E36,"Exceeds 5%","")</f>
        <v/>
      </c>
      <c r="G38" s="781" t="str">
        <f>IF(J36="Yes", "Follow procedure prescribed by KSA 79-2988 to exceed the Revenue Neutral Rate.", " ")</f>
        <v xml:space="preserve"> </v>
      </c>
      <c r="H38" s="781"/>
      <c r="I38" s="781"/>
      <c r="J38" s="781"/>
    </row>
    <row r="39" spans="2:10" x14ac:dyDescent="0.2">
      <c r="B39" s="161"/>
      <c r="C39" s="333" t="s">
        <v>340</v>
      </c>
      <c r="D39" s="515">
        <f>inputOth!$E$67</f>
        <v>0</v>
      </c>
      <c r="E39" s="243">
        <f>ROUND(IF(D39&gt;0,(E38*D39),0),0)</f>
        <v>0</v>
      </c>
      <c r="G39" s="782"/>
      <c r="H39" s="782"/>
      <c r="I39" s="782"/>
      <c r="J39" s="782"/>
    </row>
    <row r="40" spans="2:10" ht="16.5" thickBot="1" x14ac:dyDescent="0.25">
      <c r="B40" s="161"/>
      <c r="C40" s="783" t="str">
        <f>CONCATENATE("Amount of  ",$E$1-1," Ad Valorem Tax")</f>
        <v>Amount of  2024 Ad Valorem Tax</v>
      </c>
      <c r="D40" s="784"/>
      <c r="E40" s="266">
        <f>E38+E39</f>
        <v>0</v>
      </c>
      <c r="G40" s="782"/>
      <c r="H40" s="782"/>
      <c r="I40" s="782"/>
      <c r="J40" s="782"/>
    </row>
    <row r="41" spans="2:10" ht="16.5" thickTop="1" x14ac:dyDescent="0.2">
      <c r="B41" s="69"/>
      <c r="C41" s="783"/>
      <c r="D41" s="784"/>
      <c r="E41" s="69"/>
    </row>
    <row r="42" spans="2:10" x14ac:dyDescent="0.2">
      <c r="B42" s="72"/>
      <c r="C42" s="196"/>
      <c r="D42" s="196"/>
      <c r="E42" s="196"/>
    </row>
    <row r="43" spans="2:10" x14ac:dyDescent="0.2">
      <c r="B43" s="72" t="s">
        <v>162</v>
      </c>
      <c r="C43" s="392" t="s">
        <v>359</v>
      </c>
      <c r="D43" s="393" t="s">
        <v>362</v>
      </c>
      <c r="E43" s="142" t="s">
        <v>361</v>
      </c>
    </row>
    <row r="44" spans="2:10" x14ac:dyDescent="0.2">
      <c r="B44" s="376">
        <f>inputPrYr!B29</f>
        <v>0</v>
      </c>
      <c r="C44" s="318" t="str">
        <f>C5</f>
        <v>Actual for 2023</v>
      </c>
      <c r="D44" s="318" t="str">
        <f>D5</f>
        <v>Estimate for 2024</v>
      </c>
      <c r="E44" s="176" t="str">
        <f>E5</f>
        <v>Year for 2025</v>
      </c>
    </row>
    <row r="45" spans="2:10" x14ac:dyDescent="0.2">
      <c r="B45" s="256" t="s">
        <v>18</v>
      </c>
      <c r="C45" s="311"/>
      <c r="D45" s="316">
        <f>C73</f>
        <v>0</v>
      </c>
      <c r="E45" s="243">
        <f>D73</f>
        <v>0</v>
      </c>
    </row>
    <row r="46" spans="2:10" x14ac:dyDescent="0.2">
      <c r="B46" s="256" t="s">
        <v>20</v>
      </c>
      <c r="C46" s="156"/>
      <c r="D46" s="156"/>
      <c r="E46" s="95"/>
    </row>
    <row r="47" spans="2:10" x14ac:dyDescent="0.2">
      <c r="B47" s="118" t="s">
        <v>163</v>
      </c>
      <c r="C47" s="311"/>
      <c r="D47" s="316">
        <f>IF(inputPrYr!H21&gt;0,inputPrYr!G29,inputPrYr!E29)</f>
        <v>0</v>
      </c>
      <c r="E47" s="262" t="s">
        <v>152</v>
      </c>
    </row>
    <row r="48" spans="2:10" x14ac:dyDescent="0.2">
      <c r="B48" s="118" t="s">
        <v>164</v>
      </c>
      <c r="C48" s="311"/>
      <c r="D48" s="311"/>
      <c r="E48" s="83"/>
    </row>
    <row r="49" spans="2:11" x14ac:dyDescent="0.2">
      <c r="B49" s="118" t="s">
        <v>165</v>
      </c>
      <c r="C49" s="311"/>
      <c r="D49" s="311"/>
      <c r="E49" s="243" t="str">
        <f>Mvalloc!D14</f>
        <v xml:space="preserve">  </v>
      </c>
    </row>
    <row r="50" spans="2:11" x14ac:dyDescent="0.2">
      <c r="B50" s="118" t="s">
        <v>166</v>
      </c>
      <c r="C50" s="311"/>
      <c r="D50" s="311"/>
      <c r="E50" s="243" t="str">
        <f>Mvalloc!E14</f>
        <v xml:space="preserve"> </v>
      </c>
      <c r="G50" s="806" t="str">
        <f>CONCATENATE("Desired Carryover Into ",E1+1,"")</f>
        <v>Desired Carryover Into 2026</v>
      </c>
      <c r="H50" s="792"/>
      <c r="I50" s="792"/>
      <c r="J50" s="793"/>
    </row>
    <row r="51" spans="2:11" x14ac:dyDescent="0.2">
      <c r="B51" s="156" t="s">
        <v>12</v>
      </c>
      <c r="C51" s="311"/>
      <c r="D51" s="311"/>
      <c r="E51" s="243" t="str">
        <f>Mvalloc!F14</f>
        <v xml:space="preserve"> </v>
      </c>
      <c r="G51" s="474"/>
      <c r="H51" s="286"/>
      <c r="I51" s="475"/>
      <c r="J51" s="476"/>
    </row>
    <row r="52" spans="2:11" x14ac:dyDescent="0.2">
      <c r="B52" s="256" t="s">
        <v>503</v>
      </c>
      <c r="C52" s="311"/>
      <c r="D52" s="311"/>
      <c r="E52" s="243" t="str">
        <f>Mvalloc!G14</f>
        <v xml:space="preserve"> </v>
      </c>
      <c r="G52" s="477" t="s">
        <v>341</v>
      </c>
      <c r="H52" s="475"/>
      <c r="I52" s="475"/>
      <c r="J52" s="478">
        <v>0</v>
      </c>
    </row>
    <row r="53" spans="2:11" x14ac:dyDescent="0.2">
      <c r="B53" s="256" t="s">
        <v>504</v>
      </c>
      <c r="C53" s="311"/>
      <c r="D53" s="311"/>
      <c r="E53" s="243" t="str">
        <f>Mvalloc!H14</f>
        <v xml:space="preserve"> </v>
      </c>
      <c r="G53" s="474" t="s">
        <v>342</v>
      </c>
      <c r="H53" s="286"/>
      <c r="I53" s="286"/>
      <c r="J53" s="495" t="str">
        <f>IF(J52=0,"",ROUND((J52+E79-G65)/inputOth!B14*1000,3)-G70)</f>
        <v/>
      </c>
    </row>
    <row r="54" spans="2:11" x14ac:dyDescent="0.2">
      <c r="B54" s="245"/>
      <c r="C54" s="311"/>
      <c r="D54" s="311"/>
      <c r="E54" s="83"/>
      <c r="G54" s="480" t="str">
        <f>CONCATENATE("",E1," Tot Exp/Non-Appr Must Be:")</f>
        <v>2025 Tot Exp/Non-Appr Must Be:</v>
      </c>
      <c r="H54" s="481"/>
      <c r="I54" s="482"/>
      <c r="J54" s="483">
        <f>IF(J52&gt;0,IF(E76&lt;E62,IF(J52=G65,E76,((J52-G65)*(1-D78))+E62),E76+(J52-G65)),0)</f>
        <v>0</v>
      </c>
    </row>
    <row r="55" spans="2:11" x14ac:dyDescent="0.2">
      <c r="B55" s="245"/>
      <c r="C55" s="311"/>
      <c r="D55" s="311"/>
      <c r="E55" s="83"/>
      <c r="G55" s="455" t="s">
        <v>424</v>
      </c>
      <c r="H55" s="484"/>
      <c r="I55" s="484"/>
      <c r="J55" s="457">
        <f>IF(J52&gt;0,J54-E76,0)</f>
        <v>0</v>
      </c>
    </row>
    <row r="56" spans="2:11" x14ac:dyDescent="0.25">
      <c r="B56" s="245"/>
      <c r="C56" s="311"/>
      <c r="D56" s="311"/>
      <c r="E56" s="83"/>
      <c r="J56" s="3"/>
    </row>
    <row r="57" spans="2:11" x14ac:dyDescent="0.2">
      <c r="B57" s="258" t="s">
        <v>170</v>
      </c>
      <c r="C57" s="311"/>
      <c r="D57" s="311"/>
      <c r="E57" s="83"/>
      <c r="G57" s="806" t="str">
        <f>CONCATENATE("Projected Carryover Into ",E1+1,"")</f>
        <v>Projected Carryover Into 2026</v>
      </c>
      <c r="H57" s="809"/>
      <c r="I57" s="809"/>
      <c r="J57" s="810"/>
    </row>
    <row r="58" spans="2:11" x14ac:dyDescent="0.2">
      <c r="B58" s="249" t="s">
        <v>117</v>
      </c>
      <c r="C58" s="311"/>
      <c r="D58" s="311"/>
      <c r="E58" s="275">
        <f>'NR Rebate'!E12*-1</f>
        <v>0</v>
      </c>
      <c r="G58" s="332"/>
      <c r="H58" s="286"/>
      <c r="I58" s="286"/>
      <c r="J58" s="331"/>
    </row>
    <row r="59" spans="2:11" x14ac:dyDescent="0.2">
      <c r="B59" s="249" t="s">
        <v>118</v>
      </c>
      <c r="C59" s="311"/>
      <c r="D59" s="311"/>
      <c r="E59" s="83"/>
      <c r="G59" s="497">
        <f>D73</f>
        <v>0</v>
      </c>
      <c r="H59" s="469" t="str">
        <f>CONCATENATE("",E1-1," Ending Cash Balance (est.)")</f>
        <v>2024 Ending Cash Balance (est.)</v>
      </c>
      <c r="I59" s="498"/>
      <c r="J59" s="331"/>
    </row>
    <row r="60" spans="2:11" x14ac:dyDescent="0.2">
      <c r="B60" s="249" t="s">
        <v>120</v>
      </c>
      <c r="C60" s="312" t="str">
        <f>IF(C61*0.1&lt;C59,"Exceed 10% Rule","")</f>
        <v/>
      </c>
      <c r="D60" s="312" t="str">
        <f>IF(D61*0.1&lt;D59,"Exceed 10% Rule","")</f>
        <v/>
      </c>
      <c r="E60" s="272" t="str">
        <f>IF(E61*0.1+E79&lt;E59,"Exceed 10% Rule","")</f>
        <v/>
      </c>
      <c r="G60" s="497">
        <f>E61</f>
        <v>0</v>
      </c>
      <c r="H60" s="475" t="str">
        <f>CONCATENATE("",E1," Non-AV Receipts (est.)")</f>
        <v>2025 Non-AV Receipts (est.)</v>
      </c>
      <c r="I60" s="498"/>
      <c r="J60" s="331"/>
    </row>
    <row r="61" spans="2:11" x14ac:dyDescent="0.2">
      <c r="B61" s="251" t="s">
        <v>171</v>
      </c>
      <c r="C61" s="315">
        <f>SUM(C47:C59)</f>
        <v>0</v>
      </c>
      <c r="D61" s="315">
        <f>SUM(D47:D59)</f>
        <v>0</v>
      </c>
      <c r="E61" s="253">
        <f>SUM(E48:E59)</f>
        <v>0</v>
      </c>
      <c r="G61" s="499">
        <f>IF(D78&gt;0,E77,E79)</f>
        <v>0</v>
      </c>
      <c r="H61" s="475" t="str">
        <f>CONCATENATE("",E1," Ad Valorem Tax (est.)")</f>
        <v>2025 Ad Valorem Tax (est.)</v>
      </c>
      <c r="I61" s="498"/>
      <c r="J61" s="331"/>
      <c r="K61" s="490" t="str">
        <f>IF(G61=E79,"","Note: Does not include Delinquent Taxes")</f>
        <v/>
      </c>
    </row>
    <row r="62" spans="2:11" x14ac:dyDescent="0.2">
      <c r="B62" s="251" t="s">
        <v>172</v>
      </c>
      <c r="C62" s="315">
        <f>C45+C61</f>
        <v>0</v>
      </c>
      <c r="D62" s="315">
        <f>D45+D61</f>
        <v>0</v>
      </c>
      <c r="E62" s="253">
        <f>E45+E61</f>
        <v>0</v>
      </c>
      <c r="G62" s="342">
        <f>SUM(G59:G61)</f>
        <v>0</v>
      </c>
      <c r="H62" s="475" t="str">
        <f>CONCATENATE("Total ",E1," Resources Available")</f>
        <v>Total 2025 Resources Available</v>
      </c>
      <c r="I62" s="331"/>
      <c r="J62" s="331"/>
    </row>
    <row r="63" spans="2:11" x14ac:dyDescent="0.2">
      <c r="B63" s="118" t="s">
        <v>174</v>
      </c>
      <c r="C63" s="249"/>
      <c r="D63" s="249"/>
      <c r="E63" s="82"/>
      <c r="G63" s="339"/>
      <c r="H63" s="341"/>
      <c r="I63" s="286"/>
      <c r="J63" s="331"/>
    </row>
    <row r="64" spans="2:11" x14ac:dyDescent="0.2">
      <c r="B64" s="245"/>
      <c r="C64" s="311"/>
      <c r="D64" s="311"/>
      <c r="E64" s="83"/>
      <c r="G64" s="340">
        <f>ROUND(C72*0.05+C72,0)</f>
        <v>0</v>
      </c>
      <c r="H64" s="475" t="str">
        <f>CONCATENATE("Less ",E1-2," Expenditures + 5%")</f>
        <v>Less 2023 Expenditures + 5%</v>
      </c>
      <c r="I64" s="331"/>
      <c r="J64" s="331"/>
    </row>
    <row r="65" spans="2:10" x14ac:dyDescent="0.25">
      <c r="B65" s="245"/>
      <c r="C65" s="311"/>
      <c r="D65" s="311"/>
      <c r="E65" s="83"/>
      <c r="G65" s="338">
        <f>G62-G64</f>
        <v>0</v>
      </c>
      <c r="H65" s="503" t="str">
        <f>CONCATENATE("Projected ",E1+1," carryover (est.)")</f>
        <v>Projected 2026 carryover (est.)</v>
      </c>
      <c r="I65" s="330"/>
      <c r="J65" s="505"/>
    </row>
    <row r="66" spans="2:10" x14ac:dyDescent="0.25">
      <c r="B66" s="245"/>
      <c r="C66" s="311"/>
      <c r="D66" s="311"/>
      <c r="E66" s="83"/>
      <c r="G66" s="3"/>
      <c r="H66" s="3"/>
      <c r="I66" s="3"/>
    </row>
    <row r="67" spans="2:10" x14ac:dyDescent="0.2">
      <c r="B67" s="245"/>
      <c r="C67" s="311"/>
      <c r="D67" s="311"/>
      <c r="E67" s="83"/>
      <c r="G67" s="794" t="s">
        <v>635</v>
      </c>
      <c r="H67" s="795"/>
      <c r="I67" s="795"/>
      <c r="J67" s="796"/>
    </row>
    <row r="68" spans="2:10" x14ac:dyDescent="0.2">
      <c r="B68" s="245"/>
      <c r="C68" s="311"/>
      <c r="D68" s="311"/>
      <c r="E68" s="83"/>
      <c r="G68" s="797"/>
      <c r="H68" s="798"/>
      <c r="I68" s="798"/>
      <c r="J68" s="799"/>
    </row>
    <row r="69" spans="2:10" x14ac:dyDescent="0.2">
      <c r="B69" s="249" t="str">
        <f>CONCATENATE("Cash Reserve (",E1," column)")</f>
        <v>Cash Reserve (2025 column)</v>
      </c>
      <c r="C69" s="311"/>
      <c r="D69" s="311"/>
      <c r="E69" s="83"/>
      <c r="G69" s="472" t="str">
        <f>'Budget Hearing Notice'!H25</f>
        <v xml:space="preserve">  </v>
      </c>
      <c r="H69" s="469" t="str">
        <f>CONCATENATE("",E1," Estimated Fund Mill Rate")</f>
        <v>2025 Estimated Fund Mill Rate</v>
      </c>
      <c r="I69" s="470"/>
      <c r="J69" s="471"/>
    </row>
    <row r="70" spans="2:10" x14ac:dyDescent="0.2">
      <c r="B70" s="249" t="s">
        <v>118</v>
      </c>
      <c r="C70" s="311"/>
      <c r="D70" s="311"/>
      <c r="E70" s="83"/>
      <c r="G70" s="633" t="str">
        <f>'Budget Hearing Notice'!E25</f>
        <v xml:space="preserve">  </v>
      </c>
      <c r="H70" s="469" t="str">
        <f>CONCATENATE("",E1-1," Fund Mill Rate")</f>
        <v>2024 Fund Mill Rate</v>
      </c>
      <c r="I70" s="470"/>
      <c r="J70" s="471"/>
    </row>
    <row r="71" spans="2:10" x14ac:dyDescent="0.2">
      <c r="B71" s="249" t="s">
        <v>119</v>
      </c>
      <c r="C71" s="312" t="str">
        <f>IF(C72*0.1&lt;C70,"Exceed 10% Rule","")</f>
        <v/>
      </c>
      <c r="D71" s="312" t="str">
        <f>IF(D72*0.1&lt;D70,"Exceed 10% Rule","")</f>
        <v/>
      </c>
      <c r="E71" s="272" t="str">
        <f>IF(E72*0.1&lt;E70,"Exceed 10% Rule","")</f>
        <v/>
      </c>
      <c r="G71" s="634">
        <f>'Budget Hearing Notice'!H57</f>
        <v>0</v>
      </c>
      <c r="H71" s="635" t="s">
        <v>636</v>
      </c>
      <c r="I71" s="470"/>
      <c r="J71" s="471"/>
    </row>
    <row r="72" spans="2:10" x14ac:dyDescent="0.2">
      <c r="B72" s="251" t="s">
        <v>178</v>
      </c>
      <c r="C72" s="315">
        <f>SUM(C64:C70)</f>
        <v>0</v>
      </c>
      <c r="D72" s="315">
        <f>SUM(D64:D70)</f>
        <v>0</v>
      </c>
      <c r="E72" s="253">
        <f>SUM(E64:E70)</f>
        <v>0</v>
      </c>
      <c r="G72" s="472">
        <f>'Budget Hearing Notice'!H56</f>
        <v>0</v>
      </c>
      <c r="H72" s="469" t="str">
        <f>CONCATENATE(E1," Estimated Total Mill Rate")</f>
        <v>2025 Estimated Total Mill Rate</v>
      </c>
      <c r="I72" s="470"/>
      <c r="J72" s="471"/>
    </row>
    <row r="73" spans="2:10" x14ac:dyDescent="0.2">
      <c r="B73" s="118" t="s">
        <v>19</v>
      </c>
      <c r="C73" s="313">
        <f>C62-C72</f>
        <v>0</v>
      </c>
      <c r="D73" s="313">
        <f>D62-D72</f>
        <v>0</v>
      </c>
      <c r="E73" s="262" t="s">
        <v>152</v>
      </c>
      <c r="G73" s="473">
        <f>'Budget Hearing Notice'!E56</f>
        <v>0</v>
      </c>
      <c r="H73" s="469" t="str">
        <f>CONCATENATE(E1-1," Total Mill Rate")</f>
        <v>2024 Total Mill Rate</v>
      </c>
      <c r="I73" s="470"/>
      <c r="J73" s="471"/>
    </row>
    <row r="74" spans="2:10" x14ac:dyDescent="0.2">
      <c r="B74" s="164" t="str">
        <f>CONCATENATE("",E1-2,"/",E1-1,"/",E1," Budget Authority Amount:")</f>
        <v>2023/2024/2025 Budget Authority Amount:</v>
      </c>
      <c r="C74" s="270">
        <f>inputOth!B88</f>
        <v>0</v>
      </c>
      <c r="D74" s="270">
        <f>inputPrYr!D29</f>
        <v>0</v>
      </c>
      <c r="E74" s="243">
        <f>E72</f>
        <v>0</v>
      </c>
      <c r="G74" s="332"/>
      <c r="H74" s="286"/>
      <c r="I74" s="286"/>
      <c r="J74" s="331"/>
    </row>
    <row r="75" spans="2:10" x14ac:dyDescent="0.2">
      <c r="B75" s="135"/>
      <c r="C75" s="785" t="s">
        <v>338</v>
      </c>
      <c r="D75" s="786"/>
      <c r="E75" s="83"/>
      <c r="G75" s="800" t="s">
        <v>637</v>
      </c>
      <c r="H75" s="801"/>
      <c r="I75" s="801"/>
      <c r="J75" s="804" t="str">
        <f>IF(G72&gt;G71, "Yes", "No")</f>
        <v>No</v>
      </c>
    </row>
    <row r="76" spans="2:10" x14ac:dyDescent="0.2">
      <c r="B76" s="364" t="str">
        <f>CONCATENATE(C95,"     ",D95)</f>
        <v xml:space="preserve">     </v>
      </c>
      <c r="C76" s="787" t="s">
        <v>339</v>
      </c>
      <c r="D76" s="788"/>
      <c r="E76" s="243">
        <f>E72+E75</f>
        <v>0</v>
      </c>
      <c r="G76" s="802"/>
      <c r="H76" s="803"/>
      <c r="I76" s="803"/>
      <c r="J76" s="805"/>
    </row>
    <row r="77" spans="2:10" x14ac:dyDescent="0.2">
      <c r="B77" s="364" t="str">
        <f>CONCATENATE(C96,"     ",D96)</f>
        <v xml:space="preserve">     </v>
      </c>
      <c r="C77" s="255"/>
      <c r="D77" s="161" t="s">
        <v>179</v>
      </c>
      <c r="E77" s="92">
        <f>IF(E76-E62&gt;0,E76-E62,0)</f>
        <v>0</v>
      </c>
      <c r="G77" s="781" t="str">
        <f>IF(J75="Yes", "Follow procedure prescribed by KSA 79-2988 to exceed the Revenue Neutral Rate.", " ")</f>
        <v xml:space="preserve"> </v>
      </c>
      <c r="H77" s="781"/>
      <c r="I77" s="781"/>
      <c r="J77" s="781"/>
    </row>
    <row r="78" spans="2:10" x14ac:dyDescent="0.2">
      <c r="B78" s="161"/>
      <c r="C78" s="333" t="s">
        <v>340</v>
      </c>
      <c r="D78" s="515">
        <f>inputOth!$E$67</f>
        <v>0</v>
      </c>
      <c r="E78" s="243">
        <f>ROUND(IF(D78&gt;0,(E77*D78),0),0)</f>
        <v>0</v>
      </c>
      <c r="G78" s="782"/>
      <c r="H78" s="782"/>
      <c r="I78" s="782"/>
      <c r="J78" s="782"/>
    </row>
    <row r="79" spans="2:10" ht="16.5" thickBot="1" x14ac:dyDescent="0.25">
      <c r="B79" s="69"/>
      <c r="C79" s="783" t="str">
        <f>CONCATENATE("Amount of  ",$E$1-1," Ad Valorem Tax")</f>
        <v>Amount of  2024 Ad Valorem Tax</v>
      </c>
      <c r="D79" s="784"/>
      <c r="E79" s="266">
        <f>E77+E78</f>
        <v>0</v>
      </c>
      <c r="F79" s="263"/>
      <c r="G79" s="782"/>
      <c r="H79" s="782"/>
      <c r="I79" s="782"/>
      <c r="J79" s="782"/>
    </row>
    <row r="80" spans="2:10" ht="16.5" thickTop="1" x14ac:dyDescent="0.2">
      <c r="B80" s="69"/>
      <c r="C80" s="135"/>
      <c r="D80" s="69"/>
      <c r="E80" s="69"/>
      <c r="F80" s="522" t="str">
        <f>IF(E72/0.95-E72&lt;E75,"Exceeds 5%","")</f>
        <v/>
      </c>
    </row>
    <row r="81" spans="2:5" x14ac:dyDescent="0.2">
      <c r="B81" s="602" t="s">
        <v>513</v>
      </c>
      <c r="C81" s="589"/>
      <c r="D81" s="115"/>
      <c r="E81" s="586"/>
    </row>
    <row r="82" spans="2:5" x14ac:dyDescent="0.2">
      <c r="B82" s="332"/>
      <c r="C82" s="135"/>
      <c r="D82" s="69"/>
      <c r="E82" s="331"/>
    </row>
    <row r="83" spans="2:5" x14ac:dyDescent="0.2">
      <c r="B83" s="590"/>
      <c r="C83" s="76"/>
      <c r="D83" s="76"/>
      <c r="E83" s="96"/>
    </row>
    <row r="84" spans="2:5" x14ac:dyDescent="0.2">
      <c r="B84" s="69"/>
      <c r="C84" s="69"/>
      <c r="D84" s="69"/>
      <c r="E84" s="69"/>
    </row>
    <row r="85" spans="2:5" x14ac:dyDescent="0.2">
      <c r="B85" s="135" t="s">
        <v>181</v>
      </c>
      <c r="C85" s="564"/>
      <c r="D85" s="69"/>
      <c r="E85" s="69"/>
    </row>
    <row r="93" spans="2:5" x14ac:dyDescent="0.2">
      <c r="C93" s="65" t="str">
        <f>IF(C33&gt;C35,"See Tab A","")</f>
        <v/>
      </c>
      <c r="D93" s="65" t="str">
        <f>IF(D33&gt;D35,"See Tab C","")</f>
        <v/>
      </c>
    </row>
    <row r="94" spans="2:5" hidden="1" x14ac:dyDescent="0.2">
      <c r="C94" s="65" t="str">
        <f>IF(C34&lt;0,"See Tab B","")</f>
        <v/>
      </c>
      <c r="D94" s="65" t="str">
        <f>IF(D34&lt;0,"See Tab D","")</f>
        <v/>
      </c>
    </row>
    <row r="95" spans="2:5" hidden="1" x14ac:dyDescent="0.2">
      <c r="C95" s="65" t="str">
        <f>IF(C72&gt;C74,"See Tab A","")</f>
        <v/>
      </c>
      <c r="D95" s="65" t="str">
        <f>IF(D72&gt;D74,"See Tab C","")</f>
        <v/>
      </c>
    </row>
    <row r="96" spans="2:5" hidden="1" x14ac:dyDescent="0.2">
      <c r="C96" s="65" t="str">
        <f>IF(C73&lt;0,"See Tab B","")</f>
        <v/>
      </c>
      <c r="D96" s="65" t="str">
        <f>IF(D73&lt;0,"See Tab D","")</f>
        <v/>
      </c>
    </row>
    <row r="97" hidden="1" x14ac:dyDescent="0.2"/>
  </sheetData>
  <sheetProtection sheet="1"/>
  <mergeCells count="19">
    <mergeCell ref="C36:D36"/>
    <mergeCell ref="C37:D37"/>
    <mergeCell ref="C79:D79"/>
    <mergeCell ref="C40:D40"/>
    <mergeCell ref="C41:D41"/>
    <mergeCell ref="C75:D75"/>
    <mergeCell ref="C76:D76"/>
    <mergeCell ref="G67:J68"/>
    <mergeCell ref="G75:I76"/>
    <mergeCell ref="J75:J76"/>
    <mergeCell ref="G77:J79"/>
    <mergeCell ref="G11:J11"/>
    <mergeCell ref="G18:J18"/>
    <mergeCell ref="G50:J50"/>
    <mergeCell ref="G57:J57"/>
    <mergeCell ref="G28:J29"/>
    <mergeCell ref="G36:I37"/>
    <mergeCell ref="J36:J37"/>
    <mergeCell ref="G38:J40"/>
  </mergeCells>
  <phoneticPr fontId="0" type="noConversion"/>
  <conditionalFormatting sqref="C19">
    <cfRule type="cellIs" dxfId="281" priority="21" stopIfTrue="1" operator="greaterThan">
      <formula>$C$21*0.1</formula>
    </cfRule>
  </conditionalFormatting>
  <conditionalFormatting sqref="C31">
    <cfRule type="cellIs" dxfId="280" priority="17" stopIfTrue="1" operator="greaterThan">
      <formula>$C$33*0.1</formula>
    </cfRule>
  </conditionalFormatting>
  <conditionalFormatting sqref="C33">
    <cfRule type="cellIs" dxfId="279" priority="19" stopIfTrue="1" operator="greaterThan">
      <formula>$C$35</formula>
    </cfRule>
  </conditionalFormatting>
  <conditionalFormatting sqref="C34 C73">
    <cfRule type="cellIs" dxfId="278" priority="13" stopIfTrue="1" operator="lessThan">
      <formula>0</formula>
    </cfRule>
  </conditionalFormatting>
  <conditionalFormatting sqref="C59">
    <cfRule type="cellIs" dxfId="277" priority="15" stopIfTrue="1" operator="greaterThan">
      <formula>$C$61*0.1</formula>
    </cfRule>
  </conditionalFormatting>
  <conditionalFormatting sqref="C70">
    <cfRule type="cellIs" dxfId="276" priority="10" stopIfTrue="1" operator="greaterThan">
      <formula>$C$72*0.1</formula>
    </cfRule>
  </conditionalFormatting>
  <conditionalFormatting sqref="C72">
    <cfRule type="cellIs" dxfId="275" priority="12" stopIfTrue="1" operator="greaterThan">
      <formula>$C$74</formula>
    </cfRule>
  </conditionalFormatting>
  <conditionalFormatting sqref="D19">
    <cfRule type="cellIs" dxfId="274" priority="20" stopIfTrue="1" operator="greaterThan">
      <formula>$D$21*0.1</formula>
    </cfRule>
  </conditionalFormatting>
  <conditionalFormatting sqref="D31">
    <cfRule type="cellIs" dxfId="273" priority="16" stopIfTrue="1" operator="greaterThan">
      <formula>$D$33*0.1</formula>
    </cfRule>
  </conditionalFormatting>
  <conditionalFormatting sqref="D33">
    <cfRule type="cellIs" dxfId="272" priority="18" stopIfTrue="1" operator="greaterThan">
      <formula>$D$35</formula>
    </cfRule>
  </conditionalFormatting>
  <conditionalFormatting sqref="D34 D73">
    <cfRule type="cellIs" dxfId="271" priority="4" stopIfTrue="1" operator="lessThan">
      <formula>0</formula>
    </cfRule>
  </conditionalFormatting>
  <conditionalFormatting sqref="D59">
    <cfRule type="cellIs" dxfId="270" priority="14" stopIfTrue="1" operator="greaterThan">
      <formula>$D$61*0.1</formula>
    </cfRule>
  </conditionalFormatting>
  <conditionalFormatting sqref="D70">
    <cfRule type="cellIs" dxfId="269" priority="9" stopIfTrue="1" operator="greaterThan">
      <formula>$D$72*0.1</formula>
    </cfRule>
  </conditionalFormatting>
  <conditionalFormatting sqref="D72">
    <cfRule type="cellIs" dxfId="268" priority="11" stopIfTrue="1" operator="greaterThan">
      <formula>$D$74</formula>
    </cfRule>
  </conditionalFormatting>
  <conditionalFormatting sqref="E19">
    <cfRule type="cellIs" dxfId="267" priority="63" stopIfTrue="1" operator="greaterThan">
      <formula>$E$21*0.1+$E$40</formula>
    </cfRule>
  </conditionalFormatting>
  <conditionalFormatting sqref="E31">
    <cfRule type="cellIs" dxfId="266" priority="6" stopIfTrue="1" operator="greaterThan">
      <formula>$E$33*0.1</formula>
    </cfRule>
  </conditionalFormatting>
  <conditionalFormatting sqref="E36">
    <cfRule type="cellIs" dxfId="265" priority="7" stopIfTrue="1" operator="greaterThan">
      <formula>$E$33/0.95-$E$33</formula>
    </cfRule>
  </conditionalFormatting>
  <conditionalFormatting sqref="E59">
    <cfRule type="cellIs" dxfId="264" priority="73" stopIfTrue="1" operator="greaterThan">
      <formula>$E$61*0.1+$E$79</formula>
    </cfRule>
  </conditionalFormatting>
  <conditionalFormatting sqref="E70">
    <cfRule type="cellIs" dxfId="263" priority="5" stopIfTrue="1" operator="greaterThan">
      <formula>$E$72*0.1</formula>
    </cfRule>
  </conditionalFormatting>
  <conditionalFormatting sqref="E75">
    <cfRule type="cellIs" dxfId="262" priority="8" stopIfTrue="1" operator="greaterThan">
      <formula>$E$72/0.95-$E$72</formula>
    </cfRule>
  </conditionalFormatting>
  <conditionalFormatting sqref="J36">
    <cfRule type="containsText" dxfId="261" priority="2" operator="containsText" text="Yes">
      <formula>NOT(ISERROR(SEARCH("Yes",J36)))</formula>
    </cfRule>
  </conditionalFormatting>
  <conditionalFormatting sqref="J75">
    <cfRule type="containsText" dxfId="260" priority="1" operator="containsText" text="Yes">
      <formula>NOT(ISERROR(SEARCH("Yes",J75)))</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F0"/>
    <pageSetUpPr fitToPage="1"/>
  </sheetPr>
  <dimension ref="B1:K97"/>
  <sheetViews>
    <sheetView zoomScaleNormal="100" workbookViewId="0">
      <selection activeCell="B8" sqref="B8"/>
    </sheetView>
  </sheetViews>
  <sheetFormatPr defaultColWidth="8.88671875" defaultRowHeight="15.75" x14ac:dyDescent="0.2"/>
  <cols>
    <col min="1" max="1" width="2.44140625" style="65" customWidth="1"/>
    <col min="2" max="2" width="31.109375" style="65" customWidth="1"/>
    <col min="3" max="4" width="15.77734375" style="65" customWidth="1"/>
    <col min="5" max="5" width="16.33203125" style="65" customWidth="1"/>
    <col min="6" max="6" width="8.109375" style="65" customWidth="1"/>
    <col min="7" max="7" width="10.21875" style="65" customWidth="1"/>
    <col min="8" max="8" width="8.88671875" style="65"/>
    <col min="9" max="9" width="5.5546875" style="65" customWidth="1"/>
    <col min="10" max="10" width="10" style="65" customWidth="1"/>
    <col min="11" max="16384" width="8.88671875" style="65"/>
  </cols>
  <sheetData>
    <row r="1" spans="2:10" x14ac:dyDescent="0.2">
      <c r="B1" s="89">
        <f>(inputPrYr!D3)</f>
        <v>0</v>
      </c>
      <c r="C1" s="69"/>
      <c r="D1" s="69"/>
      <c r="E1" s="135">
        <f>inputPrYr!C10</f>
        <v>2025</v>
      </c>
    </row>
    <row r="2" spans="2:10" x14ac:dyDescent="0.2">
      <c r="B2" s="69"/>
      <c r="C2" s="69"/>
      <c r="D2" s="69"/>
      <c r="E2" s="161"/>
    </row>
    <row r="3" spans="2:10" x14ac:dyDescent="0.2">
      <c r="B3" s="239" t="s">
        <v>5</v>
      </c>
      <c r="C3" s="169"/>
      <c r="D3" s="169"/>
      <c r="E3" s="238"/>
    </row>
    <row r="4" spans="2:10" x14ac:dyDescent="0.2">
      <c r="B4" s="72" t="s">
        <v>162</v>
      </c>
      <c r="C4" s="392" t="s">
        <v>359</v>
      </c>
      <c r="D4" s="393" t="s">
        <v>360</v>
      </c>
      <c r="E4" s="142" t="s">
        <v>361</v>
      </c>
    </row>
    <row r="5" spans="2:10" x14ac:dyDescent="0.2">
      <c r="B5" s="377">
        <f>inputPrYr!B30</f>
        <v>0</v>
      </c>
      <c r="C5" s="318" t="str">
        <f>CONCATENATE("Actual for ",E1-2,"")</f>
        <v>Actual for 2023</v>
      </c>
      <c r="D5" s="318" t="str">
        <f>CONCATENATE("Estimate for ",E1-1,"")</f>
        <v>Estimate for 2024</v>
      </c>
      <c r="E5" s="176" t="str">
        <f>CONCATENATE("Year for ",E1,"")</f>
        <v>Year for 2025</v>
      </c>
    </row>
    <row r="6" spans="2:10" x14ac:dyDescent="0.2">
      <c r="B6" s="256" t="s">
        <v>18</v>
      </c>
      <c r="C6" s="311"/>
      <c r="D6" s="316">
        <f>C33</f>
        <v>0</v>
      </c>
      <c r="E6" s="243">
        <f>D33</f>
        <v>0</v>
      </c>
    </row>
    <row r="7" spans="2:10" x14ac:dyDescent="0.2">
      <c r="B7" s="257" t="s">
        <v>20</v>
      </c>
      <c r="C7" s="156"/>
      <c r="D7" s="156"/>
      <c r="E7" s="95"/>
    </row>
    <row r="8" spans="2:10" x14ac:dyDescent="0.2">
      <c r="B8" s="118" t="s">
        <v>163</v>
      </c>
      <c r="C8" s="311"/>
      <c r="D8" s="316">
        <f>IF(inputPrYr!H21&gt;0,inputPrYr!G30,inputPrYr!E30)</f>
        <v>0</v>
      </c>
      <c r="E8" s="262" t="s">
        <v>152</v>
      </c>
    </row>
    <row r="9" spans="2:10" x14ac:dyDescent="0.2">
      <c r="B9" s="118" t="s">
        <v>164</v>
      </c>
      <c r="C9" s="311"/>
      <c r="D9" s="311"/>
      <c r="E9" s="83"/>
    </row>
    <row r="10" spans="2:10" x14ac:dyDescent="0.2">
      <c r="B10" s="118" t="s">
        <v>165</v>
      </c>
      <c r="C10" s="311"/>
      <c r="D10" s="311"/>
      <c r="E10" s="243" t="str">
        <f>Mvalloc!D15</f>
        <v xml:space="preserve">  </v>
      </c>
      <c r="G10" s="806" t="str">
        <f>CONCATENATE("Desired Carryover Into ",E1+1,"")</f>
        <v>Desired Carryover Into 2026</v>
      </c>
      <c r="H10" s="792"/>
      <c r="I10" s="792"/>
      <c r="J10" s="793"/>
    </row>
    <row r="11" spans="2:10" x14ac:dyDescent="0.2">
      <c r="B11" s="118" t="s">
        <v>166</v>
      </c>
      <c r="C11" s="311"/>
      <c r="D11" s="311"/>
      <c r="E11" s="243" t="str">
        <f>Mvalloc!E15</f>
        <v xml:space="preserve"> </v>
      </c>
      <c r="G11" s="474"/>
      <c r="H11" s="286"/>
      <c r="I11" s="475"/>
      <c r="J11" s="476"/>
    </row>
    <row r="12" spans="2:10" x14ac:dyDescent="0.2">
      <c r="B12" s="156" t="s">
        <v>12</v>
      </c>
      <c r="C12" s="311"/>
      <c r="D12" s="311"/>
      <c r="E12" s="243" t="str">
        <f>Mvalloc!F15</f>
        <v xml:space="preserve"> </v>
      </c>
      <c r="G12" s="477" t="s">
        <v>341</v>
      </c>
      <c r="H12" s="475"/>
      <c r="I12" s="475"/>
      <c r="J12" s="478">
        <v>0</v>
      </c>
    </row>
    <row r="13" spans="2:10" x14ac:dyDescent="0.2">
      <c r="B13" s="256" t="s">
        <v>503</v>
      </c>
      <c r="C13" s="311"/>
      <c r="D13" s="311"/>
      <c r="E13" s="243" t="str">
        <f>Mvalloc!G15</f>
        <v xml:space="preserve"> </v>
      </c>
      <c r="G13" s="474" t="s">
        <v>342</v>
      </c>
      <c r="H13" s="286"/>
      <c r="I13" s="286"/>
      <c r="J13" s="495" t="str">
        <f>IF(J12=0,"",ROUND((J12+E39-G25)/inputOth!B14*1000,3)-G30)</f>
        <v/>
      </c>
    </row>
    <row r="14" spans="2:10" x14ac:dyDescent="0.2">
      <c r="B14" s="256" t="s">
        <v>504</v>
      </c>
      <c r="C14" s="311"/>
      <c r="D14" s="311"/>
      <c r="E14" s="243" t="str">
        <f>Mvalloc!H15</f>
        <v xml:space="preserve"> </v>
      </c>
      <c r="G14" s="480" t="str">
        <f>CONCATENATE("",E1," Tot Exp/Non-Appr Must Be:")</f>
        <v>2025 Tot Exp/Non-Appr Must Be:</v>
      </c>
      <c r="H14" s="481"/>
      <c r="I14" s="482"/>
      <c r="J14" s="483">
        <f>IF(J12&gt;0,IF(E36&lt;E22,IF(J12=G25,E36,((J12-G25)*(1-D38))+E22),E36+(J12-G25)),0)</f>
        <v>0</v>
      </c>
    </row>
    <row r="15" spans="2:10" x14ac:dyDescent="0.2">
      <c r="B15" s="245"/>
      <c r="C15" s="311"/>
      <c r="D15" s="311"/>
      <c r="E15" s="83"/>
      <c r="G15" s="455" t="s">
        <v>424</v>
      </c>
      <c r="H15" s="484"/>
      <c r="I15" s="484"/>
      <c r="J15" s="457">
        <f>IF(J12&gt;0,J14-E36,0)</f>
        <v>0</v>
      </c>
    </row>
    <row r="16" spans="2:10" x14ac:dyDescent="0.25">
      <c r="B16" s="245"/>
      <c r="C16" s="311"/>
      <c r="D16" s="311"/>
      <c r="E16" s="83"/>
      <c r="J16" s="3"/>
    </row>
    <row r="17" spans="2:11" x14ac:dyDescent="0.2">
      <c r="B17" s="258" t="s">
        <v>170</v>
      </c>
      <c r="C17" s="311"/>
      <c r="D17" s="311"/>
      <c r="E17" s="83"/>
      <c r="G17" s="806" t="str">
        <f>CONCATENATE("Projected Carryover Into ",E1+1,"")</f>
        <v>Projected Carryover Into 2026</v>
      </c>
      <c r="H17" s="808"/>
      <c r="I17" s="808"/>
      <c r="J17" s="810"/>
    </row>
    <row r="18" spans="2:11" x14ac:dyDescent="0.25">
      <c r="B18" s="249" t="s">
        <v>117</v>
      </c>
      <c r="C18" s="311"/>
      <c r="D18" s="311"/>
      <c r="E18" s="275">
        <f>'NR Rebate'!E13*-1</f>
        <v>0</v>
      </c>
      <c r="G18" s="474"/>
      <c r="H18" s="475"/>
      <c r="I18" s="475"/>
      <c r="J18" s="496"/>
    </row>
    <row r="19" spans="2:11" x14ac:dyDescent="0.25">
      <c r="B19" s="249" t="s">
        <v>118</v>
      </c>
      <c r="C19" s="311"/>
      <c r="D19" s="311"/>
      <c r="E19" s="83"/>
      <c r="G19" s="497">
        <f>D33</f>
        <v>0</v>
      </c>
      <c r="H19" s="469" t="str">
        <f>CONCATENATE("",E1-1," Ending Cash Balance (est.)")</f>
        <v>2024 Ending Cash Balance (est.)</v>
      </c>
      <c r="I19" s="498"/>
      <c r="J19" s="496"/>
    </row>
    <row r="20" spans="2:11" x14ac:dyDescent="0.25">
      <c r="B20" s="249" t="s">
        <v>120</v>
      </c>
      <c r="C20" s="312" t="str">
        <f>IF(C21*0.1&lt;C19,"Exceed 10% Rule","")</f>
        <v/>
      </c>
      <c r="D20" s="312" t="str">
        <f>IF(D21*0.1&lt;D19,"Exceed 10% Rule","")</f>
        <v/>
      </c>
      <c r="E20" s="272" t="str">
        <f>IF(E21*0.1+E39&lt;E19,"Exceed 10% Rule","")</f>
        <v/>
      </c>
      <c r="G20" s="497">
        <f>E21</f>
        <v>0</v>
      </c>
      <c r="H20" s="475" t="str">
        <f>CONCATENATE("",E1," Non-AV Receipts (est.)")</f>
        <v>2025 Non-AV Receipts (est.)</v>
      </c>
      <c r="I20" s="498"/>
      <c r="J20" s="496"/>
    </row>
    <row r="21" spans="2:11" x14ac:dyDescent="0.2">
      <c r="B21" s="251" t="s">
        <v>171</v>
      </c>
      <c r="C21" s="315">
        <f>SUM(C8:C19)</f>
        <v>0</v>
      </c>
      <c r="D21" s="315">
        <f>SUM(D8:D19)</f>
        <v>0</v>
      </c>
      <c r="E21" s="253">
        <f>SUM(E8:E19)</f>
        <v>0</v>
      </c>
      <c r="G21" s="499">
        <f>IF(E38&gt;0,E37,E39)</f>
        <v>0</v>
      </c>
      <c r="H21" s="475" t="str">
        <f>CONCATENATE("",E1," Ad Valorem Tax (est.)")</f>
        <v>2025 Ad Valorem Tax (est.)</v>
      </c>
      <c r="I21" s="498"/>
      <c r="J21" s="500"/>
      <c r="K21" s="490" t="str">
        <f>IF(G21=E39,"","Note: Does not include Delinquent Taxes")</f>
        <v/>
      </c>
    </row>
    <row r="22" spans="2:11" x14ac:dyDescent="0.25">
      <c r="B22" s="251" t="s">
        <v>172</v>
      </c>
      <c r="C22" s="315">
        <f>C6+C21</f>
        <v>0</v>
      </c>
      <c r="D22" s="315">
        <f>D6+D21</f>
        <v>0</v>
      </c>
      <c r="E22" s="253">
        <f>E6+E21</f>
        <v>0</v>
      </c>
      <c r="G22" s="497">
        <f>SUM(G19:G21)</f>
        <v>0</v>
      </c>
      <c r="H22" s="475" t="str">
        <f>CONCATENATE("Total ",E1," Resources Available")</f>
        <v>Total 2025 Resources Available</v>
      </c>
      <c r="I22" s="498"/>
      <c r="J22" s="496"/>
    </row>
    <row r="23" spans="2:11" x14ac:dyDescent="0.25">
      <c r="B23" s="118" t="s">
        <v>174</v>
      </c>
      <c r="C23" s="249"/>
      <c r="D23" s="249"/>
      <c r="E23" s="82"/>
      <c r="G23" s="501"/>
      <c r="H23" s="475"/>
      <c r="I23" s="475"/>
      <c r="J23" s="496"/>
    </row>
    <row r="24" spans="2:11" x14ac:dyDescent="0.25">
      <c r="B24" s="245"/>
      <c r="C24" s="311"/>
      <c r="D24" s="311"/>
      <c r="E24" s="83"/>
      <c r="G24" s="499">
        <f>ROUND(C32*0.05+C32,0)</f>
        <v>0</v>
      </c>
      <c r="H24" s="475" t="str">
        <f>CONCATENATE("Less ",E1-2," Expenditures + 5%")</f>
        <v>Less 2023 Expenditures + 5%</v>
      </c>
      <c r="I24" s="498"/>
      <c r="J24" s="496"/>
    </row>
    <row r="25" spans="2:11" x14ac:dyDescent="0.25">
      <c r="B25" s="245"/>
      <c r="C25" s="311"/>
      <c r="D25" s="311"/>
      <c r="E25" s="83"/>
      <c r="G25" s="502">
        <f>G22-G24</f>
        <v>0</v>
      </c>
      <c r="H25" s="503" t="str">
        <f>CONCATENATE("Projected ",E1+1," carryover (est.)")</f>
        <v>Projected 2026 carryover (est.)</v>
      </c>
      <c r="I25" s="504"/>
      <c r="J25" s="505"/>
    </row>
    <row r="26" spans="2:11" x14ac:dyDescent="0.25">
      <c r="B26" s="245"/>
      <c r="C26" s="311"/>
      <c r="D26" s="311"/>
      <c r="E26" s="83"/>
      <c r="G26" s="3"/>
      <c r="H26" s="3"/>
      <c r="I26" s="3"/>
      <c r="J26" s="3"/>
    </row>
    <row r="27" spans="2:11" x14ac:dyDescent="0.2">
      <c r="B27" s="245"/>
      <c r="C27" s="311"/>
      <c r="D27" s="311"/>
      <c r="E27" s="83"/>
      <c r="G27" s="794" t="s">
        <v>635</v>
      </c>
      <c r="H27" s="795"/>
      <c r="I27" s="795"/>
      <c r="J27" s="796"/>
    </row>
    <row r="28" spans="2:11" x14ac:dyDescent="0.2">
      <c r="B28" s="245"/>
      <c r="C28" s="311"/>
      <c r="D28" s="311"/>
      <c r="E28" s="83"/>
      <c r="G28" s="797"/>
      <c r="H28" s="798"/>
      <c r="I28" s="798"/>
      <c r="J28" s="799"/>
    </row>
    <row r="29" spans="2:11" x14ac:dyDescent="0.2">
      <c r="B29" s="249" t="str">
        <f>CONCATENATE("Cash Reserve (",E1," column)")</f>
        <v>Cash Reserve (2025 column)</v>
      </c>
      <c r="C29" s="311"/>
      <c r="D29" s="311"/>
      <c r="E29" s="83"/>
      <c r="G29" s="472" t="str">
        <f>'Budget Hearing Notice'!H26</f>
        <v xml:space="preserve">  </v>
      </c>
      <c r="H29" s="469" t="str">
        <f>CONCATENATE("",E1," Estimated Fund Mill Rate")</f>
        <v>2025 Estimated Fund Mill Rate</v>
      </c>
      <c r="I29" s="470"/>
      <c r="J29" s="471"/>
    </row>
    <row r="30" spans="2:11" x14ac:dyDescent="0.2">
      <c r="B30" s="249" t="s">
        <v>118</v>
      </c>
      <c r="C30" s="311"/>
      <c r="D30" s="311"/>
      <c r="E30" s="83"/>
      <c r="G30" s="633" t="str">
        <f>'Budget Hearing Notice'!E26</f>
        <v xml:space="preserve">  </v>
      </c>
      <c r="H30" s="469" t="str">
        <f>CONCATENATE("",E1-1," Fund Mill Rate")</f>
        <v>2024 Fund Mill Rate</v>
      </c>
      <c r="I30" s="470"/>
      <c r="J30" s="471"/>
    </row>
    <row r="31" spans="2:11" x14ac:dyDescent="0.2">
      <c r="B31" s="249" t="s">
        <v>119</v>
      </c>
      <c r="C31" s="312" t="str">
        <f>IF(C32*0.1&lt;C30,"Exceed 10% Rule","")</f>
        <v/>
      </c>
      <c r="D31" s="312" t="str">
        <f>IF(D32*0.1&lt;D30,"Exceed 10% Rule","")</f>
        <v/>
      </c>
      <c r="E31" s="272" t="str">
        <f>IF(E32*0.1&lt;E30,"Exceed 10% Rule","")</f>
        <v/>
      </c>
      <c r="G31" s="634">
        <f>'Budget Hearing Notice'!H57</f>
        <v>0</v>
      </c>
      <c r="H31" s="635" t="s">
        <v>636</v>
      </c>
      <c r="I31" s="470"/>
      <c r="J31" s="471"/>
    </row>
    <row r="32" spans="2:11" x14ac:dyDescent="0.2">
      <c r="B32" s="251" t="s">
        <v>178</v>
      </c>
      <c r="C32" s="315">
        <f>SUM(C24:C30)</f>
        <v>0</v>
      </c>
      <c r="D32" s="315">
        <f>SUM(D24:D30)</f>
        <v>0</v>
      </c>
      <c r="E32" s="253">
        <f>SUM(E24:E30)</f>
        <v>0</v>
      </c>
      <c r="G32" s="472">
        <f>'Budget Hearing Notice'!H56</f>
        <v>0</v>
      </c>
      <c r="H32" s="469" t="str">
        <f>CONCATENATE(E1," Estimated Total Mill Rate")</f>
        <v>2025 Estimated Total Mill Rate</v>
      </c>
      <c r="I32" s="470"/>
      <c r="J32" s="471"/>
    </row>
    <row r="33" spans="2:10" x14ac:dyDescent="0.2">
      <c r="B33" s="118" t="s">
        <v>19</v>
      </c>
      <c r="C33" s="313">
        <f>C22-C32</f>
        <v>0</v>
      </c>
      <c r="D33" s="313">
        <f>D22-D32</f>
        <v>0</v>
      </c>
      <c r="E33" s="262" t="s">
        <v>152</v>
      </c>
      <c r="G33" s="473">
        <f>'Budget Hearing Notice'!E56</f>
        <v>0</v>
      </c>
      <c r="H33" s="469" t="str">
        <f>CONCATENATE(E1-1," Total Mill Rate")</f>
        <v>2024 Total Mill Rate</v>
      </c>
      <c r="I33" s="470"/>
      <c r="J33" s="471"/>
    </row>
    <row r="34" spans="2:10" x14ac:dyDescent="0.2">
      <c r="B34" s="164" t="str">
        <f>CONCATENATE("",E1-2,"/",E1-1,"/",E1," Budget Authority Amount:")</f>
        <v>2023/2024/2025 Budget Authority Amount:</v>
      </c>
      <c r="C34" s="270">
        <f>inputOth!B89</f>
        <v>0</v>
      </c>
      <c r="D34" s="270">
        <f>inputPrYr!D30</f>
        <v>0</v>
      </c>
      <c r="E34" s="243">
        <f>E32</f>
        <v>0</v>
      </c>
      <c r="G34" s="332"/>
      <c r="H34" s="286"/>
      <c r="I34" s="286"/>
      <c r="J34" s="331"/>
    </row>
    <row r="35" spans="2:10" x14ac:dyDescent="0.2">
      <c r="B35" s="135"/>
      <c r="C35" s="785" t="s">
        <v>338</v>
      </c>
      <c r="D35" s="786"/>
      <c r="E35" s="83"/>
      <c r="G35" s="800" t="s">
        <v>637</v>
      </c>
      <c r="H35" s="801"/>
      <c r="I35" s="801"/>
      <c r="J35" s="804" t="str">
        <f>IF(G32&gt;G31, "Yes", "No")</f>
        <v>No</v>
      </c>
    </row>
    <row r="36" spans="2:10" x14ac:dyDescent="0.2">
      <c r="B36" s="364" t="str">
        <f>CONCATENATE(C93,"     ",D93)</f>
        <v xml:space="preserve">     </v>
      </c>
      <c r="C36" s="787" t="s">
        <v>339</v>
      </c>
      <c r="D36" s="788"/>
      <c r="E36" s="243">
        <f>E32+E35</f>
        <v>0</v>
      </c>
      <c r="G36" s="802"/>
      <c r="H36" s="803"/>
      <c r="I36" s="803"/>
      <c r="J36" s="805"/>
    </row>
    <row r="37" spans="2:10" x14ac:dyDescent="0.2">
      <c r="B37" s="364" t="str">
        <f>CONCATENATE(C94,"     ",D94)</f>
        <v xml:space="preserve">     </v>
      </c>
      <c r="C37" s="255"/>
      <c r="D37" s="161" t="s">
        <v>179</v>
      </c>
      <c r="E37" s="92">
        <f>IF(E36-E22&gt;0,E36-E22,0)</f>
        <v>0</v>
      </c>
      <c r="F37" s="263"/>
      <c r="G37" s="781" t="str">
        <f>IF(J35="Yes", "Follow procedure prescribed by KSA 79-2988 to exceed the Revenue Neutral Rate.", " ")</f>
        <v xml:space="preserve"> </v>
      </c>
      <c r="H37" s="781"/>
      <c r="I37" s="781"/>
      <c r="J37" s="781"/>
    </row>
    <row r="38" spans="2:10" x14ac:dyDescent="0.2">
      <c r="B38" s="161"/>
      <c r="C38" s="333" t="s">
        <v>340</v>
      </c>
      <c r="D38" s="515">
        <f>inputOth!$E$67</f>
        <v>0</v>
      </c>
      <c r="E38" s="243">
        <f>ROUND(IF(D38&gt;0,(E37*D38),0),0)</f>
        <v>0</v>
      </c>
      <c r="F38" s="522" t="str">
        <f>IF(E32/0.95-E32&lt;E35,"Exceeds 5%","")</f>
        <v/>
      </c>
      <c r="G38" s="782"/>
      <c r="H38" s="782"/>
      <c r="I38" s="782"/>
      <c r="J38" s="782"/>
    </row>
    <row r="39" spans="2:10" ht="16.5" thickBot="1" x14ac:dyDescent="0.25">
      <c r="B39" s="102"/>
      <c r="C39" s="783" t="str">
        <f>CONCATENATE("Amount of  ",$E$1-1," Ad Valorem Tax")</f>
        <v>Amount of  2024 Ad Valorem Tax</v>
      </c>
      <c r="D39" s="784"/>
      <c r="E39" s="266">
        <f>E37+E38</f>
        <v>0</v>
      </c>
      <c r="G39" s="782"/>
      <c r="H39" s="782"/>
      <c r="I39" s="782"/>
      <c r="J39" s="782"/>
    </row>
    <row r="40" spans="2:10" ht="16.5" thickTop="1" x14ac:dyDescent="0.2">
      <c r="B40" s="69"/>
      <c r="C40" s="102"/>
      <c r="D40" s="102"/>
      <c r="E40" s="69"/>
    </row>
    <row r="41" spans="2:10" x14ac:dyDescent="0.2">
      <c r="B41" s="72"/>
      <c r="C41" s="196"/>
      <c r="D41" s="196"/>
      <c r="E41" s="196"/>
    </row>
    <row r="42" spans="2:10" x14ac:dyDescent="0.2">
      <c r="B42" s="72" t="s">
        <v>162</v>
      </c>
      <c r="C42" s="392" t="s">
        <v>359</v>
      </c>
      <c r="D42" s="393" t="s">
        <v>362</v>
      </c>
      <c r="E42" s="142" t="s">
        <v>361</v>
      </c>
    </row>
    <row r="43" spans="2:10" x14ac:dyDescent="0.2">
      <c r="B43" s="376">
        <f>inputPrYr!B31</f>
        <v>0</v>
      </c>
      <c r="C43" s="318" t="str">
        <f>C5</f>
        <v>Actual for 2023</v>
      </c>
      <c r="D43" s="318" t="str">
        <f>D5</f>
        <v>Estimate for 2024</v>
      </c>
      <c r="E43" s="176" t="str">
        <f>E5</f>
        <v>Year for 2025</v>
      </c>
    </row>
    <row r="44" spans="2:10" x14ac:dyDescent="0.2">
      <c r="B44" s="256" t="s">
        <v>18</v>
      </c>
      <c r="C44" s="311"/>
      <c r="D44" s="316">
        <f>C73</f>
        <v>0</v>
      </c>
      <c r="E44" s="243">
        <f>D73</f>
        <v>0</v>
      </c>
    </row>
    <row r="45" spans="2:10" x14ac:dyDescent="0.2">
      <c r="B45" s="256" t="s">
        <v>20</v>
      </c>
      <c r="C45" s="156"/>
      <c r="D45" s="156"/>
      <c r="E45" s="95"/>
    </row>
    <row r="46" spans="2:10" x14ac:dyDescent="0.2">
      <c r="B46" s="118" t="s">
        <v>163</v>
      </c>
      <c r="C46" s="311"/>
      <c r="D46" s="316">
        <f>IF(inputPrYr!H21&gt;0,inputPrYr!G31,inputPrYr!E31)</f>
        <v>0</v>
      </c>
      <c r="E46" s="262" t="s">
        <v>152</v>
      </c>
    </row>
    <row r="47" spans="2:10" x14ac:dyDescent="0.2">
      <c r="B47" s="118" t="s">
        <v>164</v>
      </c>
      <c r="C47" s="311"/>
      <c r="D47" s="311"/>
      <c r="E47" s="83"/>
    </row>
    <row r="48" spans="2:10" x14ac:dyDescent="0.2">
      <c r="B48" s="118" t="s">
        <v>165</v>
      </c>
      <c r="C48" s="311"/>
      <c r="D48" s="311"/>
      <c r="E48" s="243" t="str">
        <f>Mvalloc!D16</f>
        <v xml:space="preserve">  </v>
      </c>
    </row>
    <row r="49" spans="2:11" x14ac:dyDescent="0.2">
      <c r="B49" s="118" t="s">
        <v>166</v>
      </c>
      <c r="C49" s="311"/>
      <c r="D49" s="311"/>
      <c r="E49" s="243" t="str">
        <f>Mvalloc!E16</f>
        <v xml:space="preserve"> </v>
      </c>
    </row>
    <row r="50" spans="2:11" x14ac:dyDescent="0.2">
      <c r="B50" s="156" t="s">
        <v>12</v>
      </c>
      <c r="C50" s="311"/>
      <c r="D50" s="311"/>
      <c r="E50" s="243" t="str">
        <f>Mvalloc!F16</f>
        <v xml:space="preserve"> </v>
      </c>
      <c r="G50" s="806" t="str">
        <f>CONCATENATE("Desired Carryover Into ",E1+1,"")</f>
        <v>Desired Carryover Into 2026</v>
      </c>
      <c r="H50" s="792"/>
      <c r="I50" s="792"/>
      <c r="J50" s="793"/>
    </row>
    <row r="51" spans="2:11" x14ac:dyDescent="0.2">
      <c r="B51" s="256" t="s">
        <v>503</v>
      </c>
      <c r="C51" s="311"/>
      <c r="D51" s="311"/>
      <c r="E51" s="243" t="str">
        <f>Mvalloc!G16</f>
        <v xml:space="preserve"> </v>
      </c>
      <c r="G51" s="474"/>
      <c r="H51" s="286"/>
      <c r="I51" s="475"/>
      <c r="J51" s="476"/>
    </row>
    <row r="52" spans="2:11" x14ac:dyDescent="0.2">
      <c r="B52" s="256" t="s">
        <v>504</v>
      </c>
      <c r="C52" s="311"/>
      <c r="D52" s="311"/>
      <c r="E52" s="243" t="str">
        <f>Mvalloc!H16</f>
        <v xml:space="preserve"> </v>
      </c>
      <c r="G52" s="477" t="s">
        <v>341</v>
      </c>
      <c r="H52" s="475"/>
      <c r="I52" s="475"/>
      <c r="J52" s="478">
        <v>0</v>
      </c>
    </row>
    <row r="53" spans="2:11" x14ac:dyDescent="0.2">
      <c r="B53" s="245"/>
      <c r="C53" s="311"/>
      <c r="D53" s="311"/>
      <c r="E53" s="83"/>
      <c r="G53" s="474" t="s">
        <v>342</v>
      </c>
      <c r="H53" s="286"/>
      <c r="I53" s="286"/>
      <c r="J53" s="495" t="str">
        <f>IF(J52=0,"",ROUND((J52+E79-G65)/inputOth!B14*1000,3)-G70)</f>
        <v/>
      </c>
    </row>
    <row r="54" spans="2:11" x14ac:dyDescent="0.2">
      <c r="B54" s="245"/>
      <c r="C54" s="311"/>
      <c r="D54" s="311"/>
      <c r="E54" s="83"/>
      <c r="G54" s="480" t="str">
        <f>CONCATENATE("",E1," Tot Exp/Non-Appr Must Be:")</f>
        <v>2025 Tot Exp/Non-Appr Must Be:</v>
      </c>
      <c r="H54" s="481"/>
      <c r="I54" s="482"/>
      <c r="J54" s="483">
        <f>IF(J52&gt;0,IF(E76&lt;E62,IF(J52=G65,E76,((J52-G65)*(1-D78))+E62),E76+(J52-G65)),0)</f>
        <v>0</v>
      </c>
    </row>
    <row r="55" spans="2:11" x14ac:dyDescent="0.2">
      <c r="B55" s="245"/>
      <c r="C55" s="311"/>
      <c r="D55" s="311"/>
      <c r="E55" s="83"/>
      <c r="G55" s="455" t="s">
        <v>424</v>
      </c>
      <c r="H55" s="484"/>
      <c r="I55" s="484"/>
      <c r="J55" s="457">
        <f>IF(J52&gt;0,J54-E76,0)</f>
        <v>0</v>
      </c>
    </row>
    <row r="56" spans="2:11" x14ac:dyDescent="0.25">
      <c r="B56" s="245"/>
      <c r="C56" s="311"/>
      <c r="D56" s="311"/>
      <c r="E56" s="83"/>
      <c r="J56" s="3"/>
    </row>
    <row r="57" spans="2:11" x14ac:dyDescent="0.2">
      <c r="B57" s="258" t="s">
        <v>170</v>
      </c>
      <c r="C57" s="311"/>
      <c r="D57" s="311"/>
      <c r="E57" s="83"/>
      <c r="G57" s="806" t="str">
        <f>CONCATENATE("Projected Carryover Into ",E1+1,"")</f>
        <v>Projected Carryover Into 2026</v>
      </c>
      <c r="H57" s="809"/>
      <c r="I57" s="809"/>
      <c r="J57" s="810"/>
    </row>
    <row r="58" spans="2:11" x14ac:dyDescent="0.2">
      <c r="B58" s="249" t="s">
        <v>117</v>
      </c>
      <c r="C58" s="311"/>
      <c r="D58" s="311"/>
      <c r="E58" s="275">
        <f>'NR Rebate'!E14*-1</f>
        <v>0</v>
      </c>
      <c r="G58" s="332"/>
      <c r="H58" s="286"/>
      <c r="I58" s="286"/>
      <c r="J58" s="331"/>
    </row>
    <row r="59" spans="2:11" x14ac:dyDescent="0.2">
      <c r="B59" s="249" t="s">
        <v>118</v>
      </c>
      <c r="C59" s="311"/>
      <c r="D59" s="311"/>
      <c r="E59" s="83"/>
      <c r="G59" s="497">
        <f>D73</f>
        <v>0</v>
      </c>
      <c r="H59" s="469" t="str">
        <f>CONCATENATE("",E1-1," Ending Cash Balance (est.)")</f>
        <v>2024 Ending Cash Balance (est.)</v>
      </c>
      <c r="I59" s="498"/>
      <c r="J59" s="331"/>
    </row>
    <row r="60" spans="2:11" x14ac:dyDescent="0.2">
      <c r="B60" s="249" t="s">
        <v>334</v>
      </c>
      <c r="C60" s="312" t="str">
        <f>IF(C61*0.1&lt;C59,"Exceed 10% Rule","")</f>
        <v/>
      </c>
      <c r="D60" s="312" t="str">
        <f>IF(D61*0.1&lt;D59,"Exceed 10% Rule","")</f>
        <v/>
      </c>
      <c r="E60" s="272" t="str">
        <f>IF(E61*0.1+E79&lt;E59,"Exceed 10% Rule","")</f>
        <v/>
      </c>
      <c r="G60" s="497">
        <f>E61</f>
        <v>0</v>
      </c>
      <c r="H60" s="475" t="str">
        <f>CONCATENATE("",E1," Non-AV Receipts (est.)")</f>
        <v>2025 Non-AV Receipts (est.)</v>
      </c>
      <c r="I60" s="498"/>
      <c r="J60" s="331"/>
    </row>
    <row r="61" spans="2:11" x14ac:dyDescent="0.2">
      <c r="B61" s="251" t="s">
        <v>171</v>
      </c>
      <c r="C61" s="315">
        <f>SUM(C46:C59)</f>
        <v>0</v>
      </c>
      <c r="D61" s="315">
        <f>SUM(D46:D59)</f>
        <v>0</v>
      </c>
      <c r="E61" s="253">
        <f>SUM(E46:E59)</f>
        <v>0</v>
      </c>
      <c r="G61" s="499">
        <f>IF(D78&gt;0,E77,E79)</f>
        <v>0</v>
      </c>
      <c r="H61" s="475" t="str">
        <f>CONCATENATE("",E1," Ad Valorem Tax (est.)")</f>
        <v>2025 Ad Valorem Tax (est.)</v>
      </c>
      <c r="I61" s="498"/>
      <c r="J61" s="331"/>
      <c r="K61" s="490" t="str">
        <f>IF(G61=E79,"","Note: Does not include Delinquent Taxes")</f>
        <v/>
      </c>
    </row>
    <row r="62" spans="2:11" x14ac:dyDescent="0.2">
      <c r="B62" s="251" t="s">
        <v>172</v>
      </c>
      <c r="C62" s="315">
        <f>C44+C61</f>
        <v>0</v>
      </c>
      <c r="D62" s="315">
        <f>D44+D61</f>
        <v>0</v>
      </c>
      <c r="E62" s="253">
        <f>E44+E61</f>
        <v>0</v>
      </c>
      <c r="G62" s="342">
        <f>SUM(G59:G61)</f>
        <v>0</v>
      </c>
      <c r="H62" s="475" t="str">
        <f>CONCATENATE("Total ",E1," Resources Available")</f>
        <v>Total 2025 Resources Available</v>
      </c>
      <c r="I62" s="331"/>
      <c r="J62" s="331"/>
    </row>
    <row r="63" spans="2:11" x14ac:dyDescent="0.2">
      <c r="B63" s="118" t="s">
        <v>174</v>
      </c>
      <c r="C63" s="249"/>
      <c r="D63" s="249"/>
      <c r="E63" s="82"/>
      <c r="G63" s="339"/>
      <c r="H63" s="341"/>
      <c r="I63" s="286"/>
      <c r="J63" s="331"/>
    </row>
    <row r="64" spans="2:11" x14ac:dyDescent="0.2">
      <c r="B64" s="245"/>
      <c r="C64" s="311"/>
      <c r="D64" s="311"/>
      <c r="E64" s="83"/>
      <c r="G64" s="340">
        <f>ROUND(C72*0.05+C72,0)</f>
        <v>0</v>
      </c>
      <c r="H64" s="475" t="str">
        <f>CONCATENATE("Less ",E1-2," Expenditures + 5%")</f>
        <v>Less 2023 Expenditures + 5%</v>
      </c>
      <c r="I64" s="331"/>
      <c r="J64" s="331"/>
    </row>
    <row r="65" spans="2:10" x14ac:dyDescent="0.25">
      <c r="B65" s="245"/>
      <c r="C65" s="311"/>
      <c r="D65" s="311"/>
      <c r="E65" s="83"/>
      <c r="G65" s="338">
        <f>G62-G64</f>
        <v>0</v>
      </c>
      <c r="H65" s="503" t="str">
        <f>CONCATENATE("Projected ",E1+1," carryover (est.)")</f>
        <v>Projected 2026 carryover (est.)</v>
      </c>
      <c r="I65" s="330"/>
      <c r="J65" s="505"/>
    </row>
    <row r="66" spans="2:10" x14ac:dyDescent="0.25">
      <c r="B66" s="245"/>
      <c r="C66" s="311"/>
      <c r="D66" s="311"/>
      <c r="E66" s="83"/>
      <c r="G66" s="3"/>
      <c r="H66" s="3"/>
      <c r="I66" s="3"/>
    </row>
    <row r="67" spans="2:10" x14ac:dyDescent="0.2">
      <c r="B67" s="245"/>
      <c r="C67" s="311"/>
      <c r="D67" s="311"/>
      <c r="E67" s="83"/>
      <c r="G67" s="794" t="s">
        <v>635</v>
      </c>
      <c r="H67" s="795"/>
      <c r="I67" s="795"/>
      <c r="J67" s="796"/>
    </row>
    <row r="68" spans="2:10" x14ac:dyDescent="0.2">
      <c r="B68" s="245"/>
      <c r="C68" s="311"/>
      <c r="D68" s="311"/>
      <c r="E68" s="83"/>
      <c r="G68" s="797"/>
      <c r="H68" s="798"/>
      <c r="I68" s="798"/>
      <c r="J68" s="799"/>
    </row>
    <row r="69" spans="2:10" x14ac:dyDescent="0.2">
      <c r="B69" s="249" t="str">
        <f>CONCATENATE("Cash Reserve (",E1," column)")</f>
        <v>Cash Reserve (2025 column)</v>
      </c>
      <c r="C69" s="311"/>
      <c r="D69" s="311"/>
      <c r="E69" s="83"/>
      <c r="G69" s="472" t="str">
        <f>'Budget Hearing Notice'!H27</f>
        <v xml:space="preserve">  </v>
      </c>
      <c r="H69" s="469" t="str">
        <f>CONCATENATE("",E1," Estimated Fund Mill Rate")</f>
        <v>2025 Estimated Fund Mill Rate</v>
      </c>
      <c r="I69" s="470"/>
      <c r="J69" s="471"/>
    </row>
    <row r="70" spans="2:10" x14ac:dyDescent="0.2">
      <c r="B70" s="249" t="s">
        <v>118</v>
      </c>
      <c r="C70" s="311"/>
      <c r="D70" s="311"/>
      <c r="E70" s="83"/>
      <c r="G70" s="633" t="str">
        <f>'Budget Hearing Notice'!E27</f>
        <v xml:space="preserve">  </v>
      </c>
      <c r="H70" s="469" t="str">
        <f>CONCATENATE("",E1-1," Fund Mill Rate")</f>
        <v>2024 Fund Mill Rate</v>
      </c>
      <c r="I70" s="470"/>
      <c r="J70" s="471"/>
    </row>
    <row r="71" spans="2:10" x14ac:dyDescent="0.2">
      <c r="B71" s="249" t="s">
        <v>333</v>
      </c>
      <c r="C71" s="312" t="str">
        <f>IF(C72*0.1&lt;C70,"Exceed 10% Rule","")</f>
        <v/>
      </c>
      <c r="D71" s="312" t="str">
        <f>IF(D72*0.1&lt;D70,"Exceed 10% Rule","")</f>
        <v/>
      </c>
      <c r="E71" s="272" t="str">
        <f>IF(E72*0.1&lt;E70,"Exceed 10% Rule","")</f>
        <v/>
      </c>
      <c r="G71" s="634">
        <f>'Budget Hearing Notice'!H57</f>
        <v>0</v>
      </c>
      <c r="H71" s="635" t="s">
        <v>636</v>
      </c>
      <c r="I71" s="470"/>
      <c r="J71" s="471"/>
    </row>
    <row r="72" spans="2:10" x14ac:dyDescent="0.2">
      <c r="B72" s="251" t="s">
        <v>178</v>
      </c>
      <c r="C72" s="315">
        <f>SUM(C64:C70)</f>
        <v>0</v>
      </c>
      <c r="D72" s="315">
        <f>SUM(D64:D70)</f>
        <v>0</v>
      </c>
      <c r="E72" s="253">
        <f>SUM(E64:E70)</f>
        <v>0</v>
      </c>
      <c r="G72" s="472">
        <f>'Budget Hearing Notice'!H56</f>
        <v>0</v>
      </c>
      <c r="H72" s="469" t="str">
        <f>CONCATENATE(E1," Estimated Total Mill Rate")</f>
        <v>2025 Estimated Total Mill Rate</v>
      </c>
      <c r="I72" s="470"/>
      <c r="J72" s="471"/>
    </row>
    <row r="73" spans="2:10" x14ac:dyDescent="0.2">
      <c r="B73" s="118" t="s">
        <v>19</v>
      </c>
      <c r="C73" s="313">
        <f>C62-C72</f>
        <v>0</v>
      </c>
      <c r="D73" s="313">
        <f>D62-D72</f>
        <v>0</v>
      </c>
      <c r="E73" s="262" t="s">
        <v>152</v>
      </c>
      <c r="G73" s="473">
        <f>'Budget Hearing Notice'!E56</f>
        <v>0</v>
      </c>
      <c r="H73" s="469" t="str">
        <f>CONCATENATE(E1-1," Total Mill Rate")</f>
        <v>2024 Total Mill Rate</v>
      </c>
      <c r="I73" s="470"/>
      <c r="J73" s="471"/>
    </row>
    <row r="74" spans="2:10" x14ac:dyDescent="0.2">
      <c r="B74" s="164" t="str">
        <f>CONCATENATE("",E1-2,"/",E1-1,"/",E1," Budget Authority Amount:")</f>
        <v>2023/2024/2025 Budget Authority Amount:</v>
      </c>
      <c r="C74" s="270">
        <f>inputOth!B90</f>
        <v>0</v>
      </c>
      <c r="D74" s="270">
        <f>inputPrYr!D31</f>
        <v>0</v>
      </c>
      <c r="E74" s="243">
        <f>E72</f>
        <v>0</v>
      </c>
      <c r="G74" s="332"/>
      <c r="H74" s="286"/>
      <c r="I74" s="286"/>
      <c r="J74" s="331"/>
    </row>
    <row r="75" spans="2:10" x14ac:dyDescent="0.2">
      <c r="B75" s="135"/>
      <c r="C75" s="785" t="s">
        <v>338</v>
      </c>
      <c r="D75" s="786"/>
      <c r="E75" s="83"/>
      <c r="G75" s="800" t="s">
        <v>637</v>
      </c>
      <c r="H75" s="801"/>
      <c r="I75" s="801"/>
      <c r="J75" s="804" t="str">
        <f>IF(G72&gt;G71, "Yes", "No")</f>
        <v>No</v>
      </c>
    </row>
    <row r="76" spans="2:10" x14ac:dyDescent="0.2">
      <c r="B76" s="364" t="str">
        <f>CONCATENATE(C95,"     ",D95)</f>
        <v xml:space="preserve">     </v>
      </c>
      <c r="C76" s="787" t="s">
        <v>339</v>
      </c>
      <c r="D76" s="788"/>
      <c r="E76" s="243">
        <f>E72+E75</f>
        <v>0</v>
      </c>
      <c r="G76" s="802"/>
      <c r="H76" s="803"/>
      <c r="I76" s="803"/>
      <c r="J76" s="805"/>
    </row>
    <row r="77" spans="2:10" x14ac:dyDescent="0.2">
      <c r="B77" s="364" t="str">
        <f>CONCATENATE(C96,"     ",D96)</f>
        <v xml:space="preserve">     </v>
      </c>
      <c r="C77" s="255"/>
      <c r="D77" s="161" t="s">
        <v>179</v>
      </c>
      <c r="E77" s="92">
        <f>IF(E76-E62&gt;0,E76-E62,0)</f>
        <v>0</v>
      </c>
      <c r="G77" s="781" t="str">
        <f>IF(J75="Yes", "Follow procedure prescribed by KSA 79-2988 to exceed the Revenue Neutral Rate.", " ")</f>
        <v xml:space="preserve"> </v>
      </c>
      <c r="H77" s="781"/>
      <c r="I77" s="781"/>
      <c r="J77" s="781"/>
    </row>
    <row r="78" spans="2:10" x14ac:dyDescent="0.2">
      <c r="B78" s="161"/>
      <c r="C78" s="333" t="s">
        <v>340</v>
      </c>
      <c r="D78" s="515">
        <f>inputOth!$E$67</f>
        <v>0</v>
      </c>
      <c r="E78" s="243">
        <f>ROUND(IF(D78&gt;0,(E77*D78),0),0)</f>
        <v>0</v>
      </c>
      <c r="G78" s="782"/>
      <c r="H78" s="782"/>
      <c r="I78" s="782"/>
      <c r="J78" s="782"/>
    </row>
    <row r="79" spans="2:10" ht="16.5" thickBot="1" x14ac:dyDescent="0.25">
      <c r="B79" s="69"/>
      <c r="C79" s="783" t="str">
        <f>CONCATENATE("Amount of  ",$E$1-1," Ad Valorem Tax")</f>
        <v>Amount of  2024 Ad Valorem Tax</v>
      </c>
      <c r="D79" s="784"/>
      <c r="E79" s="266">
        <f>E77+E78</f>
        <v>0</v>
      </c>
      <c r="F79" s="263"/>
      <c r="G79" s="782"/>
      <c r="H79" s="782"/>
      <c r="I79" s="782"/>
      <c r="J79" s="782"/>
    </row>
    <row r="80" spans="2:10" ht="16.5" thickTop="1" x14ac:dyDescent="0.2">
      <c r="B80" s="69"/>
      <c r="C80" s="135"/>
      <c r="D80" s="69"/>
      <c r="E80" s="69"/>
      <c r="F80" s="522" t="str">
        <f>IF(E72/0.95-E72&lt;E75,"Exceeds 5%","")</f>
        <v/>
      </c>
    </row>
    <row r="81" spans="2:5" x14ac:dyDescent="0.2">
      <c r="B81" s="602" t="s">
        <v>513</v>
      </c>
      <c r="C81" s="589"/>
      <c r="D81" s="115"/>
      <c r="E81" s="586"/>
    </row>
    <row r="82" spans="2:5" x14ac:dyDescent="0.2">
      <c r="B82" s="332"/>
      <c r="C82" s="135"/>
      <c r="D82" s="69"/>
      <c r="E82" s="331"/>
    </row>
    <row r="83" spans="2:5" x14ac:dyDescent="0.2">
      <c r="B83" s="590"/>
      <c r="C83" s="76"/>
      <c r="D83" s="76"/>
      <c r="E83" s="96"/>
    </row>
    <row r="84" spans="2:5" x14ac:dyDescent="0.2">
      <c r="B84" s="69"/>
      <c r="C84" s="69"/>
      <c r="D84" s="69"/>
      <c r="E84" s="69"/>
    </row>
    <row r="85" spans="2:5" x14ac:dyDescent="0.2">
      <c r="B85" s="135" t="s">
        <v>181</v>
      </c>
      <c r="C85" s="564"/>
      <c r="D85" s="69"/>
      <c r="E85" s="69"/>
    </row>
    <row r="93" spans="2:5" x14ac:dyDescent="0.2">
      <c r="C93" s="65" t="str">
        <f>IF(C32&gt;C34,"See Tab A","")</f>
        <v/>
      </c>
      <c r="D93" s="65" t="str">
        <f>IF(D32&gt;D34,"See Tab C","")</f>
        <v/>
      </c>
    </row>
    <row r="94" spans="2:5" hidden="1" x14ac:dyDescent="0.2">
      <c r="C94" s="65" t="str">
        <f>IF(C33&lt;0,"See Tab B","")</f>
        <v/>
      </c>
      <c r="D94" s="65" t="str">
        <f>IF(D33&lt;0,"See Tab D","")</f>
        <v/>
      </c>
    </row>
    <row r="95" spans="2:5" hidden="1" x14ac:dyDescent="0.2">
      <c r="C95" s="65" t="str">
        <f>IF(C72&gt;C74,"See Tab A","")</f>
        <v/>
      </c>
      <c r="D95" s="65" t="str">
        <f>IF(D72&gt;D74,"See Tab C","")</f>
        <v/>
      </c>
    </row>
    <row r="96" spans="2:5" hidden="1" x14ac:dyDescent="0.2">
      <c r="C96" s="65" t="str">
        <f>IF(C73&lt;0,"See Tab B","")</f>
        <v/>
      </c>
      <c r="D96" s="65" t="str">
        <f>IF(D73&lt;0,"See Tab D","")</f>
        <v/>
      </c>
    </row>
    <row r="97" hidden="1" x14ac:dyDescent="0.2"/>
  </sheetData>
  <sheetProtection sheet="1"/>
  <mergeCells count="18">
    <mergeCell ref="C35:D35"/>
    <mergeCell ref="C36:D36"/>
    <mergeCell ref="C79:D79"/>
    <mergeCell ref="C39:D39"/>
    <mergeCell ref="C75:D75"/>
    <mergeCell ref="C76:D76"/>
    <mergeCell ref="G67:J68"/>
    <mergeCell ref="G75:I76"/>
    <mergeCell ref="J75:J76"/>
    <mergeCell ref="G77:J79"/>
    <mergeCell ref="G10:J10"/>
    <mergeCell ref="G17:J17"/>
    <mergeCell ref="G50:J50"/>
    <mergeCell ref="G57:J57"/>
    <mergeCell ref="G27:J28"/>
    <mergeCell ref="G35:I36"/>
    <mergeCell ref="J35:J36"/>
    <mergeCell ref="G37:J39"/>
  </mergeCells>
  <phoneticPr fontId="0" type="noConversion"/>
  <conditionalFormatting sqref="C19">
    <cfRule type="cellIs" dxfId="259" priority="22" stopIfTrue="1" operator="greaterThan">
      <formula>$C$21*0.1</formula>
    </cfRule>
  </conditionalFormatting>
  <conditionalFormatting sqref="C30">
    <cfRule type="cellIs" dxfId="258" priority="3" stopIfTrue="1" operator="greaterThan">
      <formula>$C$32*0.1</formula>
    </cfRule>
  </conditionalFormatting>
  <conditionalFormatting sqref="C32">
    <cfRule type="cellIs" dxfId="257" priority="20" stopIfTrue="1" operator="greaterThan">
      <formula>$C$34</formula>
    </cfRule>
  </conditionalFormatting>
  <conditionalFormatting sqref="C33 C73">
    <cfRule type="cellIs" dxfId="256" priority="14" stopIfTrue="1" operator="lessThan">
      <formula>0</formula>
    </cfRule>
  </conditionalFormatting>
  <conditionalFormatting sqref="C59">
    <cfRule type="cellIs" dxfId="255" priority="16" stopIfTrue="1" operator="greaterThan">
      <formula>$C$61*0.1</formula>
    </cfRule>
  </conditionalFormatting>
  <conditionalFormatting sqref="C70">
    <cfRule type="cellIs" dxfId="254" priority="11" stopIfTrue="1" operator="greaterThan">
      <formula>$C$72*0.1</formula>
    </cfRule>
  </conditionalFormatting>
  <conditionalFormatting sqref="C72">
    <cfRule type="cellIs" dxfId="253" priority="13" stopIfTrue="1" operator="greaterThan">
      <formula>$C$74</formula>
    </cfRule>
  </conditionalFormatting>
  <conditionalFormatting sqref="D19">
    <cfRule type="cellIs" dxfId="252" priority="21" stopIfTrue="1" operator="greaterThan">
      <formula>$D$21*0.1</formula>
    </cfRule>
  </conditionalFormatting>
  <conditionalFormatting sqref="D30">
    <cfRule type="cellIs" dxfId="251" priority="17" stopIfTrue="1" operator="greaterThan">
      <formula>$D$32*0.1</formula>
    </cfRule>
  </conditionalFormatting>
  <conditionalFormatting sqref="D32">
    <cfRule type="cellIs" dxfId="250" priority="19" stopIfTrue="1" operator="greaterThan">
      <formula>$D$34</formula>
    </cfRule>
  </conditionalFormatting>
  <conditionalFormatting sqref="D33 D73">
    <cfRule type="cellIs" dxfId="249" priority="5" stopIfTrue="1" operator="lessThan">
      <formula>0</formula>
    </cfRule>
  </conditionalFormatting>
  <conditionalFormatting sqref="D59">
    <cfRule type="cellIs" dxfId="248" priority="15" stopIfTrue="1" operator="greaterThan">
      <formula>$D$61*0.1</formula>
    </cfRule>
  </conditionalFormatting>
  <conditionalFormatting sqref="D70">
    <cfRule type="cellIs" dxfId="247" priority="10" stopIfTrue="1" operator="greaterThan">
      <formula>$D$72*0.1</formula>
    </cfRule>
  </conditionalFormatting>
  <conditionalFormatting sqref="D72">
    <cfRule type="cellIs" dxfId="246" priority="12" stopIfTrue="1" operator="greaterThan">
      <formula>$D$74</formula>
    </cfRule>
  </conditionalFormatting>
  <conditionalFormatting sqref="E19">
    <cfRule type="cellIs" dxfId="245" priority="74" stopIfTrue="1" operator="greaterThan">
      <formula>$E$21*0.1+$E$39</formula>
    </cfRule>
  </conditionalFormatting>
  <conditionalFormatting sqref="E30">
    <cfRule type="cellIs" dxfId="244" priority="7" stopIfTrue="1" operator="greaterThan">
      <formula>$E$32*0.1</formula>
    </cfRule>
  </conditionalFormatting>
  <conditionalFormatting sqref="E35">
    <cfRule type="cellIs" dxfId="243" priority="8" stopIfTrue="1" operator="greaterThan">
      <formula>$E$32/0.95-$E$32</formula>
    </cfRule>
  </conditionalFormatting>
  <conditionalFormatting sqref="E59">
    <cfRule type="cellIs" dxfId="242" priority="75" stopIfTrue="1" operator="greaterThan">
      <formula>$E$61*0.1+$E$79</formula>
    </cfRule>
  </conditionalFormatting>
  <conditionalFormatting sqref="E70">
    <cfRule type="cellIs" dxfId="241" priority="6" stopIfTrue="1" operator="greaterThan">
      <formula>$E$72*0.1</formula>
    </cfRule>
  </conditionalFormatting>
  <conditionalFormatting sqref="E75">
    <cfRule type="cellIs" dxfId="240" priority="9" stopIfTrue="1" operator="greaterThan">
      <formula>$E$72/0.95-$E$72</formula>
    </cfRule>
  </conditionalFormatting>
  <conditionalFormatting sqref="J35">
    <cfRule type="containsText" dxfId="239" priority="2" operator="containsText" text="Yes">
      <formula>NOT(ISERROR(SEARCH("Yes",J35)))</formula>
    </cfRule>
  </conditionalFormatting>
  <conditionalFormatting sqref="J75">
    <cfRule type="containsText" dxfId="238" priority="1" operator="containsText" text="Yes">
      <formula>NOT(ISERROR(SEARCH("Yes",J75)))</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F0"/>
    <pageSetUpPr fitToPage="1"/>
  </sheetPr>
  <dimension ref="B1:K97"/>
  <sheetViews>
    <sheetView zoomScaleNormal="100" workbookViewId="0">
      <selection activeCell="B9" sqref="B9"/>
    </sheetView>
  </sheetViews>
  <sheetFormatPr defaultColWidth="8.88671875" defaultRowHeight="15.75" x14ac:dyDescent="0.2"/>
  <cols>
    <col min="1" max="1" width="2.44140625" style="65" customWidth="1"/>
    <col min="2" max="2" width="31.44140625" style="65" customWidth="1"/>
    <col min="3" max="4" width="15.77734375" style="65" customWidth="1"/>
    <col min="5" max="5" width="16.21875" style="65" customWidth="1"/>
    <col min="6" max="6" width="8.109375" style="65" customWidth="1"/>
    <col min="7" max="7" width="10.21875" style="65" customWidth="1"/>
    <col min="8" max="8" width="8.88671875" style="65"/>
    <col min="9" max="9" width="5.5546875" style="65" customWidth="1"/>
    <col min="10" max="10" width="10" style="65" customWidth="1"/>
    <col min="11" max="16384" width="8.88671875" style="65"/>
  </cols>
  <sheetData>
    <row r="1" spans="2:10" x14ac:dyDescent="0.2">
      <c r="B1" s="89">
        <f>(inputPrYr!D3)</f>
        <v>0</v>
      </c>
      <c r="C1" s="69"/>
      <c r="D1" s="69"/>
      <c r="E1" s="135">
        <f>inputPrYr!C10</f>
        <v>2025</v>
      </c>
    </row>
    <row r="2" spans="2:10" x14ac:dyDescent="0.2">
      <c r="B2" s="69"/>
      <c r="C2" s="69"/>
      <c r="D2" s="69"/>
      <c r="E2" s="161"/>
    </row>
    <row r="3" spans="2:10" x14ac:dyDescent="0.2">
      <c r="B3" s="239" t="s">
        <v>5</v>
      </c>
      <c r="C3" s="169"/>
      <c r="D3" s="169"/>
      <c r="E3" s="238"/>
    </row>
    <row r="4" spans="2:10" x14ac:dyDescent="0.2">
      <c r="B4" s="72" t="s">
        <v>162</v>
      </c>
      <c r="C4" s="392" t="s">
        <v>359</v>
      </c>
      <c r="D4" s="393" t="s">
        <v>360</v>
      </c>
      <c r="E4" s="142" t="s">
        <v>361</v>
      </c>
    </row>
    <row r="5" spans="2:10" x14ac:dyDescent="0.2">
      <c r="B5" s="377">
        <f>inputPrYr!B32</f>
        <v>0</v>
      </c>
      <c r="C5" s="318" t="str">
        <f>CONCATENATE("Actual for ",E1-2,"")</f>
        <v>Actual for 2023</v>
      </c>
      <c r="D5" s="318" t="str">
        <f>CONCATENATE("Estimate for ",E1-1,"")</f>
        <v>Estimate for 2024</v>
      </c>
      <c r="E5" s="176" t="str">
        <f>CONCATENATE("Year for ",E1,"")</f>
        <v>Year for 2025</v>
      </c>
    </row>
    <row r="6" spans="2:10" x14ac:dyDescent="0.2">
      <c r="B6" s="256" t="s">
        <v>18</v>
      </c>
      <c r="C6" s="311"/>
      <c r="D6" s="316">
        <f>C34</f>
        <v>0</v>
      </c>
      <c r="E6" s="243">
        <f>D34</f>
        <v>0</v>
      </c>
    </row>
    <row r="7" spans="2:10" x14ac:dyDescent="0.2">
      <c r="B7" s="257" t="s">
        <v>20</v>
      </c>
      <c r="C7" s="156"/>
      <c r="D7" s="156"/>
      <c r="E7" s="95"/>
    </row>
    <row r="8" spans="2:10" x14ac:dyDescent="0.2">
      <c r="B8" s="118" t="s">
        <v>163</v>
      </c>
      <c r="C8" s="311"/>
      <c r="D8" s="316">
        <f>IF(inputPrYr!H21&gt;0,inputPrYr!G32,inputPrYr!E32)</f>
        <v>0</v>
      </c>
      <c r="E8" s="262" t="s">
        <v>152</v>
      </c>
    </row>
    <row r="9" spans="2:10" x14ac:dyDescent="0.2">
      <c r="B9" s="118" t="s">
        <v>164</v>
      </c>
      <c r="C9" s="311"/>
      <c r="D9" s="311"/>
      <c r="E9" s="83"/>
    </row>
    <row r="10" spans="2:10" x14ac:dyDescent="0.2">
      <c r="B10" s="118" t="s">
        <v>165</v>
      </c>
      <c r="C10" s="311"/>
      <c r="D10" s="311"/>
      <c r="E10" s="243" t="str">
        <f>Mvalloc!D17</f>
        <v xml:space="preserve">  </v>
      </c>
    </row>
    <row r="11" spans="2:10" x14ac:dyDescent="0.2">
      <c r="B11" s="118" t="s">
        <v>166</v>
      </c>
      <c r="C11" s="311"/>
      <c r="D11" s="311"/>
      <c r="E11" s="243" t="str">
        <f>Mvalloc!E17</f>
        <v xml:space="preserve"> </v>
      </c>
      <c r="G11" s="806" t="str">
        <f>CONCATENATE("Desired Carryover Into ",E1+1,"")</f>
        <v>Desired Carryover Into 2026</v>
      </c>
      <c r="H11" s="792"/>
      <c r="I11" s="792"/>
      <c r="J11" s="793"/>
    </row>
    <row r="12" spans="2:10" x14ac:dyDescent="0.2">
      <c r="B12" s="156" t="s">
        <v>12</v>
      </c>
      <c r="C12" s="311"/>
      <c r="D12" s="311"/>
      <c r="E12" s="243" t="str">
        <f>Mvalloc!F17</f>
        <v xml:space="preserve"> </v>
      </c>
      <c r="G12" s="474"/>
      <c r="H12" s="286"/>
      <c r="I12" s="475"/>
      <c r="J12" s="476"/>
    </row>
    <row r="13" spans="2:10" x14ac:dyDescent="0.2">
      <c r="B13" s="256" t="s">
        <v>503</v>
      </c>
      <c r="C13" s="311"/>
      <c r="D13" s="311"/>
      <c r="E13" s="243" t="str">
        <f>Mvalloc!G17</f>
        <v xml:space="preserve"> </v>
      </c>
      <c r="G13" s="477" t="s">
        <v>341</v>
      </c>
      <c r="H13" s="475"/>
      <c r="I13" s="475"/>
      <c r="J13" s="478">
        <v>0</v>
      </c>
    </row>
    <row r="14" spans="2:10" x14ac:dyDescent="0.2">
      <c r="B14" s="256" t="s">
        <v>504</v>
      </c>
      <c r="C14" s="311"/>
      <c r="D14" s="311"/>
      <c r="E14" s="243" t="str">
        <f>Mvalloc!H17</f>
        <v xml:space="preserve"> </v>
      </c>
      <c r="G14" s="474" t="s">
        <v>342</v>
      </c>
      <c r="H14" s="286"/>
      <c r="I14" s="286"/>
      <c r="J14" s="495" t="str">
        <f>IF(J13=0,"",ROUND((J13+E40-G26)/inputOth!B14*1000,3)-G31)</f>
        <v/>
      </c>
    </row>
    <row r="15" spans="2:10" x14ac:dyDescent="0.2">
      <c r="B15" s="245"/>
      <c r="C15" s="311"/>
      <c r="D15" s="311"/>
      <c r="E15" s="83"/>
      <c r="G15" s="480" t="str">
        <f>CONCATENATE("",E1," Tot Exp/Non-Appr Must Be:")</f>
        <v>2025 Tot Exp/Non-Appr Must Be:</v>
      </c>
      <c r="H15" s="481"/>
      <c r="I15" s="482"/>
      <c r="J15" s="483">
        <f>IF(J13&gt;0,IF(E37&lt;E23,IF(J13=G26,E37,((J13-G26)*(1-D39))+E23),E37+(J13-G26)),0)</f>
        <v>0</v>
      </c>
    </row>
    <row r="16" spans="2:10" x14ac:dyDescent="0.2">
      <c r="B16" s="245"/>
      <c r="C16" s="311"/>
      <c r="D16" s="311"/>
      <c r="E16" s="83"/>
      <c r="G16" s="455" t="s">
        <v>424</v>
      </c>
      <c r="H16" s="484"/>
      <c r="I16" s="484"/>
      <c r="J16" s="457">
        <f>IF(J13&gt;0,J15-E37,0)</f>
        <v>0</v>
      </c>
    </row>
    <row r="17" spans="2:11" x14ac:dyDescent="0.25">
      <c r="B17" s="245"/>
      <c r="C17" s="311"/>
      <c r="D17" s="311"/>
      <c r="E17" s="83"/>
      <c r="J17" s="3"/>
    </row>
    <row r="18" spans="2:11" x14ac:dyDescent="0.2">
      <c r="B18" s="258" t="s">
        <v>170</v>
      </c>
      <c r="C18" s="311"/>
      <c r="D18" s="311"/>
      <c r="E18" s="83"/>
      <c r="G18" s="806" t="str">
        <f>CONCATENATE("Projected Carryover Into ",E1+1,"")</f>
        <v>Projected Carryover Into 2026</v>
      </c>
      <c r="H18" s="808"/>
      <c r="I18" s="808"/>
      <c r="J18" s="810"/>
    </row>
    <row r="19" spans="2:11" x14ac:dyDescent="0.25">
      <c r="B19" s="249" t="s">
        <v>117</v>
      </c>
      <c r="C19" s="311"/>
      <c r="D19" s="311"/>
      <c r="E19" s="275">
        <f>'NR Rebate'!E15*-1</f>
        <v>0</v>
      </c>
      <c r="G19" s="474"/>
      <c r="H19" s="475"/>
      <c r="I19" s="475"/>
      <c r="J19" s="496"/>
    </row>
    <row r="20" spans="2:11" x14ac:dyDescent="0.25">
      <c r="B20" s="249" t="s">
        <v>118</v>
      </c>
      <c r="C20" s="311"/>
      <c r="D20" s="311"/>
      <c r="E20" s="83"/>
      <c r="G20" s="497">
        <f>D34</f>
        <v>0</v>
      </c>
      <c r="H20" s="469" t="str">
        <f>CONCATENATE("",E1-1," Ending Cash Balance (est.)")</f>
        <v>2024 Ending Cash Balance (est.)</v>
      </c>
      <c r="I20" s="498"/>
      <c r="J20" s="496"/>
    </row>
    <row r="21" spans="2:11" x14ac:dyDescent="0.25">
      <c r="B21" s="249" t="s">
        <v>120</v>
      </c>
      <c r="C21" s="312" t="str">
        <f>IF(C22*0.1&lt;C20,"Exceed 10% Rule","")</f>
        <v/>
      </c>
      <c r="D21" s="312" t="str">
        <f>IF(D22*0.1&lt;D20,"Exceed 10% Rule","")</f>
        <v/>
      </c>
      <c r="E21" s="272" t="str">
        <f>IF(E22*0.1+E40&lt;E20,"Exceed 10% Rule","")</f>
        <v/>
      </c>
      <c r="G21" s="497">
        <f>E22</f>
        <v>0</v>
      </c>
      <c r="H21" s="475" t="str">
        <f>CONCATENATE("",E1," Non-AV Receipts (est.)")</f>
        <v>2025 Non-AV Receipts (est.)</v>
      </c>
      <c r="I21" s="498"/>
      <c r="J21" s="496"/>
    </row>
    <row r="22" spans="2:11" x14ac:dyDescent="0.2">
      <c r="B22" s="251" t="s">
        <v>171</v>
      </c>
      <c r="C22" s="315">
        <f>SUM(C8:C20)</f>
        <v>0</v>
      </c>
      <c r="D22" s="315">
        <f>SUM(D8:D20)</f>
        <v>0</v>
      </c>
      <c r="E22" s="253">
        <f>SUM(E8:E20)</f>
        <v>0</v>
      </c>
      <c r="G22" s="499">
        <f>IF(E39&gt;0,E38,E40)</f>
        <v>0</v>
      </c>
      <c r="H22" s="475" t="str">
        <f>CONCATENATE("",E1," Ad Valorem Tax (est.)")</f>
        <v>2025 Ad Valorem Tax (est.)</v>
      </c>
      <c r="I22" s="498"/>
      <c r="J22" s="500"/>
      <c r="K22" s="490" t="str">
        <f>IF(G22=E40,"","Note: Does not include Delinquent Taxes")</f>
        <v/>
      </c>
    </row>
    <row r="23" spans="2:11" x14ac:dyDescent="0.25">
      <c r="B23" s="251" t="s">
        <v>172</v>
      </c>
      <c r="C23" s="315">
        <f>C6+C22</f>
        <v>0</v>
      </c>
      <c r="D23" s="315">
        <f>D6+D22</f>
        <v>0</v>
      </c>
      <c r="E23" s="253">
        <f>E6+E22</f>
        <v>0</v>
      </c>
      <c r="G23" s="497">
        <f>SUM(G20:G22)</f>
        <v>0</v>
      </c>
      <c r="H23" s="475" t="str">
        <f>CONCATENATE("Total ",E1," Resources Available")</f>
        <v>Total 2025 Resources Available</v>
      </c>
      <c r="I23" s="498"/>
      <c r="J23" s="496"/>
    </row>
    <row r="24" spans="2:11" x14ac:dyDescent="0.25">
      <c r="B24" s="118" t="s">
        <v>174</v>
      </c>
      <c r="C24" s="249"/>
      <c r="D24" s="249"/>
      <c r="E24" s="82"/>
      <c r="G24" s="501"/>
      <c r="H24" s="475"/>
      <c r="I24" s="475"/>
      <c r="J24" s="496"/>
    </row>
    <row r="25" spans="2:11" x14ac:dyDescent="0.25">
      <c r="B25" s="245"/>
      <c r="C25" s="311"/>
      <c r="D25" s="311"/>
      <c r="E25" s="83"/>
      <c r="G25" s="499">
        <f>ROUND(C33*0.05+C33,0)</f>
        <v>0</v>
      </c>
      <c r="H25" s="475" t="str">
        <f>CONCATENATE("Less ",E1-2," Expenditures + 5%")</f>
        <v>Less 2023 Expenditures + 5%</v>
      </c>
      <c r="I25" s="498"/>
      <c r="J25" s="496"/>
    </row>
    <row r="26" spans="2:11" x14ac:dyDescent="0.25">
      <c r="B26" s="245"/>
      <c r="C26" s="311"/>
      <c r="D26" s="311"/>
      <c r="E26" s="83"/>
      <c r="G26" s="502">
        <f>G23-G25</f>
        <v>0</v>
      </c>
      <c r="H26" s="503" t="str">
        <f>CONCATENATE("Projected ",E1+1," carryover (est.)")</f>
        <v>Projected 2026 carryover (est.)</v>
      </c>
      <c r="I26" s="504"/>
      <c r="J26" s="505"/>
    </row>
    <row r="27" spans="2:11" x14ac:dyDescent="0.25">
      <c r="B27" s="245"/>
      <c r="C27" s="311"/>
      <c r="D27" s="311"/>
      <c r="E27" s="83"/>
      <c r="G27" s="3"/>
      <c r="H27" s="3"/>
      <c r="I27" s="3"/>
      <c r="J27" s="3"/>
    </row>
    <row r="28" spans="2:11" x14ac:dyDescent="0.2">
      <c r="B28" s="245"/>
      <c r="C28" s="311"/>
      <c r="D28" s="311"/>
      <c r="E28" s="83"/>
      <c r="G28" s="794" t="s">
        <v>635</v>
      </c>
      <c r="H28" s="795"/>
      <c r="I28" s="795"/>
      <c r="J28" s="796"/>
    </row>
    <row r="29" spans="2:11" x14ac:dyDescent="0.2">
      <c r="B29" s="245"/>
      <c r="C29" s="311"/>
      <c r="D29" s="311"/>
      <c r="E29" s="83"/>
      <c r="G29" s="797"/>
      <c r="H29" s="798"/>
      <c r="I29" s="798"/>
      <c r="J29" s="799"/>
    </row>
    <row r="30" spans="2:11" x14ac:dyDescent="0.2">
      <c r="B30" s="249" t="str">
        <f>CONCATENATE("Cash Reserve (",E1," column)")</f>
        <v>Cash Reserve (2025 column)</v>
      </c>
      <c r="C30" s="311"/>
      <c r="D30" s="311"/>
      <c r="E30" s="83"/>
      <c r="G30" s="472" t="str">
        <f>'Budget Hearing Notice'!H28</f>
        <v xml:space="preserve">  </v>
      </c>
      <c r="H30" s="469" t="str">
        <f>CONCATENATE("",E1," Estimated Fund Mill Rate")</f>
        <v>2025 Estimated Fund Mill Rate</v>
      </c>
      <c r="I30" s="470"/>
      <c r="J30" s="471"/>
    </row>
    <row r="31" spans="2:11" x14ac:dyDescent="0.2">
      <c r="B31" s="249" t="s">
        <v>118</v>
      </c>
      <c r="C31" s="311"/>
      <c r="D31" s="311"/>
      <c r="E31" s="83"/>
      <c r="G31" s="633" t="str">
        <f>'Budget Hearing Notice'!E28</f>
        <v xml:space="preserve">  </v>
      </c>
      <c r="H31" s="469" t="str">
        <f>CONCATENATE("",E1-1," Fund Mill Rate")</f>
        <v>2024 Fund Mill Rate</v>
      </c>
      <c r="I31" s="470"/>
      <c r="J31" s="471"/>
    </row>
    <row r="32" spans="2:11" x14ac:dyDescent="0.2">
      <c r="B32" s="249" t="s">
        <v>119</v>
      </c>
      <c r="C32" s="312" t="str">
        <f>IF(C33*0.1&lt;C31,"Exceed 10% Rule","")</f>
        <v/>
      </c>
      <c r="D32" s="312" t="str">
        <f>IF(D33*0.1&lt;D31,"Exceed 10% Rule","")</f>
        <v/>
      </c>
      <c r="E32" s="272" t="str">
        <f>IF(E33*0.1&lt;E31,"Exceed 10% Rule","")</f>
        <v/>
      </c>
      <c r="G32" s="634">
        <f>'Budget Hearing Notice'!H57</f>
        <v>0</v>
      </c>
      <c r="H32" s="635" t="s">
        <v>636</v>
      </c>
      <c r="I32" s="470"/>
      <c r="J32" s="471"/>
    </row>
    <row r="33" spans="2:10" x14ac:dyDescent="0.2">
      <c r="B33" s="251" t="s">
        <v>178</v>
      </c>
      <c r="C33" s="315">
        <f>SUM(C25:C31)</f>
        <v>0</v>
      </c>
      <c r="D33" s="315">
        <f>SUM(D25:D31)</f>
        <v>0</v>
      </c>
      <c r="E33" s="253">
        <f>SUM(E25:E31)</f>
        <v>0</v>
      </c>
      <c r="G33" s="472">
        <f>'Budget Hearing Notice'!H56</f>
        <v>0</v>
      </c>
      <c r="H33" s="469" t="str">
        <f>CONCATENATE(E1," Estimated Total Mill Rate")</f>
        <v>2025 Estimated Total Mill Rate</v>
      </c>
      <c r="I33" s="470"/>
      <c r="J33" s="471"/>
    </row>
    <row r="34" spans="2:10" x14ac:dyDescent="0.2">
      <c r="B34" s="118" t="s">
        <v>19</v>
      </c>
      <c r="C34" s="313">
        <f>C23-C33</f>
        <v>0</v>
      </c>
      <c r="D34" s="313">
        <f>D23-D33</f>
        <v>0</v>
      </c>
      <c r="E34" s="262" t="s">
        <v>152</v>
      </c>
      <c r="G34" s="473">
        <f>'Budget Hearing Notice'!E56</f>
        <v>0</v>
      </c>
      <c r="H34" s="469" t="str">
        <f>CONCATENATE(E1-1," Total Mill Rate")</f>
        <v>2024 Total Mill Rate</v>
      </c>
      <c r="I34" s="470"/>
      <c r="J34" s="471"/>
    </row>
    <row r="35" spans="2:10" x14ac:dyDescent="0.2">
      <c r="B35" s="164" t="str">
        <f>CONCATENATE("",E1-2,"/",E1-1,"/",E1," Budget Authority Amount:")</f>
        <v>2023/2024/2025 Budget Authority Amount:</v>
      </c>
      <c r="C35" s="270">
        <f>inputOth!B91</f>
        <v>0</v>
      </c>
      <c r="D35" s="270">
        <f>inputPrYr!D32</f>
        <v>0</v>
      </c>
      <c r="E35" s="243">
        <f>E33</f>
        <v>0</v>
      </c>
      <c r="G35" s="332"/>
      <c r="H35" s="286"/>
      <c r="I35" s="286"/>
      <c r="J35" s="331"/>
    </row>
    <row r="36" spans="2:10" x14ac:dyDescent="0.2">
      <c r="B36" s="135"/>
      <c r="C36" s="785" t="s">
        <v>338</v>
      </c>
      <c r="D36" s="786"/>
      <c r="E36" s="83"/>
      <c r="G36" s="800" t="s">
        <v>637</v>
      </c>
      <c r="H36" s="801"/>
      <c r="I36" s="801"/>
      <c r="J36" s="804" t="str">
        <f>IF(G33&gt;G32, "Yes", "No")</f>
        <v>No</v>
      </c>
    </row>
    <row r="37" spans="2:10" x14ac:dyDescent="0.2">
      <c r="B37" s="364" t="str">
        <f>CONCATENATE(C93,"     ",D93)</f>
        <v xml:space="preserve">     </v>
      </c>
      <c r="C37" s="787" t="s">
        <v>339</v>
      </c>
      <c r="D37" s="788"/>
      <c r="E37" s="243">
        <f>E33+E36</f>
        <v>0</v>
      </c>
      <c r="F37" s="263"/>
      <c r="G37" s="802"/>
      <c r="H37" s="803"/>
      <c r="I37" s="803"/>
      <c r="J37" s="805"/>
    </row>
    <row r="38" spans="2:10" x14ac:dyDescent="0.2">
      <c r="B38" s="364" t="str">
        <f>CONCATENATE(C94,"     ",D94)</f>
        <v xml:space="preserve">     </v>
      </c>
      <c r="C38" s="255"/>
      <c r="D38" s="161" t="s">
        <v>179</v>
      </c>
      <c r="E38" s="92">
        <f>IF(E37-E23&gt;0,E37-E23,0)</f>
        <v>0</v>
      </c>
      <c r="F38" s="522" t="str">
        <f>IF(E33/0.95-E33&lt;E36,"Exceeds 5%","")</f>
        <v/>
      </c>
      <c r="G38" s="781" t="str">
        <f>IF(J36="Yes", "Follow procedure prescribed by KSA 79-2988 to exceed the Revenue Neutral Rate.", " ")</f>
        <v xml:space="preserve"> </v>
      </c>
      <c r="H38" s="781"/>
      <c r="I38" s="781"/>
      <c r="J38" s="781"/>
    </row>
    <row r="39" spans="2:10" x14ac:dyDescent="0.2">
      <c r="B39" s="135"/>
      <c r="C39" s="333" t="s">
        <v>340</v>
      </c>
      <c r="D39" s="515">
        <f>inputOth!$E$67</f>
        <v>0</v>
      </c>
      <c r="E39" s="243">
        <f>ROUND(IF(D39&gt;0,(E38*D39),0),0)</f>
        <v>0</v>
      </c>
      <c r="G39" s="782"/>
      <c r="H39" s="782"/>
      <c r="I39" s="782"/>
      <c r="J39" s="782"/>
    </row>
    <row r="40" spans="2:10" ht="16.5" thickBot="1" x14ac:dyDescent="0.25">
      <c r="B40" s="161"/>
      <c r="C40" s="783" t="str">
        <f>CONCATENATE("Amount of  ",$E$1-1," Ad Valorem Tax")</f>
        <v>Amount of  2024 Ad Valorem Tax</v>
      </c>
      <c r="D40" s="784"/>
      <c r="E40" s="266">
        <f>E38+E39</f>
        <v>0</v>
      </c>
      <c r="G40" s="782"/>
      <c r="H40" s="782"/>
      <c r="I40" s="782"/>
      <c r="J40" s="782"/>
    </row>
    <row r="41" spans="2:10" ht="16.5" thickTop="1" x14ac:dyDescent="0.2">
      <c r="B41" s="161"/>
      <c r="C41" s="135"/>
      <c r="D41" s="161"/>
      <c r="E41" s="161"/>
    </row>
    <row r="42" spans="2:10" x14ac:dyDescent="0.2">
      <c r="B42" s="72"/>
      <c r="C42" s="140"/>
      <c r="D42" s="140"/>
      <c r="E42" s="140"/>
    </row>
    <row r="43" spans="2:10" x14ac:dyDescent="0.2">
      <c r="B43" s="72" t="s">
        <v>162</v>
      </c>
      <c r="C43" s="392" t="s">
        <v>359</v>
      </c>
      <c r="D43" s="393" t="s">
        <v>362</v>
      </c>
      <c r="E43" s="142" t="s">
        <v>361</v>
      </c>
    </row>
    <row r="44" spans="2:10" x14ac:dyDescent="0.2">
      <c r="B44" s="377">
        <f>inputPrYr!B33</f>
        <v>0</v>
      </c>
      <c r="C44" s="318" t="str">
        <f>C5</f>
        <v>Actual for 2023</v>
      </c>
      <c r="D44" s="318" t="str">
        <f>D5</f>
        <v>Estimate for 2024</v>
      </c>
      <c r="E44" s="176" t="str">
        <f>E5</f>
        <v>Year for 2025</v>
      </c>
    </row>
    <row r="45" spans="2:10" x14ac:dyDescent="0.2">
      <c r="B45" s="256" t="s">
        <v>18</v>
      </c>
      <c r="C45" s="311"/>
      <c r="D45" s="316">
        <f>C73</f>
        <v>0</v>
      </c>
      <c r="E45" s="243">
        <f>D73</f>
        <v>0</v>
      </c>
    </row>
    <row r="46" spans="2:10" x14ac:dyDescent="0.2">
      <c r="B46" s="257" t="s">
        <v>20</v>
      </c>
      <c r="C46" s="156"/>
      <c r="D46" s="156"/>
      <c r="E46" s="95"/>
    </row>
    <row r="47" spans="2:10" x14ac:dyDescent="0.2">
      <c r="B47" s="118" t="s">
        <v>163</v>
      </c>
      <c r="C47" s="311"/>
      <c r="D47" s="316">
        <f>IF(inputPrYr!H21&gt;0,inputPrYr!G33,inputPrYr!E33)</f>
        <v>0</v>
      </c>
      <c r="E47" s="262" t="s">
        <v>152</v>
      </c>
    </row>
    <row r="48" spans="2:10" x14ac:dyDescent="0.2">
      <c r="B48" s="118" t="s">
        <v>164</v>
      </c>
      <c r="C48" s="311"/>
      <c r="D48" s="311"/>
      <c r="E48" s="83"/>
    </row>
    <row r="49" spans="2:11" x14ac:dyDescent="0.2">
      <c r="B49" s="118" t="s">
        <v>165</v>
      </c>
      <c r="C49" s="311"/>
      <c r="D49" s="311"/>
      <c r="E49" s="243" t="str">
        <f>Mvalloc!D18</f>
        <v xml:space="preserve">  </v>
      </c>
    </row>
    <row r="50" spans="2:11" x14ac:dyDescent="0.2">
      <c r="B50" s="118" t="s">
        <v>166</v>
      </c>
      <c r="C50" s="311"/>
      <c r="D50" s="311"/>
      <c r="E50" s="243" t="str">
        <f>Mvalloc!E18</f>
        <v xml:space="preserve"> </v>
      </c>
      <c r="G50" s="806" t="str">
        <f>CONCATENATE("Desired Carryover Into ",E1+1,"")</f>
        <v>Desired Carryover Into 2026</v>
      </c>
      <c r="H50" s="792"/>
      <c r="I50" s="792"/>
      <c r="J50" s="793"/>
    </row>
    <row r="51" spans="2:11" x14ac:dyDescent="0.2">
      <c r="B51" s="156" t="s">
        <v>12</v>
      </c>
      <c r="C51" s="311"/>
      <c r="D51" s="311"/>
      <c r="E51" s="243" t="str">
        <f>Mvalloc!F18</f>
        <v xml:space="preserve"> </v>
      </c>
      <c r="G51" s="474"/>
      <c r="H51" s="286"/>
      <c r="I51" s="475"/>
      <c r="J51" s="476"/>
    </row>
    <row r="52" spans="2:11" x14ac:dyDescent="0.2">
      <c r="B52" s="256" t="s">
        <v>503</v>
      </c>
      <c r="C52" s="311"/>
      <c r="D52" s="311"/>
      <c r="E52" s="243" t="str">
        <f>Mvalloc!G18</f>
        <v xml:space="preserve"> </v>
      </c>
      <c r="G52" s="477" t="s">
        <v>341</v>
      </c>
      <c r="H52" s="475"/>
      <c r="I52" s="475"/>
      <c r="J52" s="478">
        <v>0</v>
      </c>
    </row>
    <row r="53" spans="2:11" x14ac:dyDescent="0.2">
      <c r="B53" s="256" t="s">
        <v>504</v>
      </c>
      <c r="C53" s="311"/>
      <c r="D53" s="311"/>
      <c r="E53" s="243" t="str">
        <f>Mvalloc!H18</f>
        <v xml:space="preserve"> </v>
      </c>
      <c r="G53" s="474" t="s">
        <v>342</v>
      </c>
      <c r="H53" s="286"/>
      <c r="I53" s="286"/>
      <c r="J53" s="495" t="str">
        <f>IF(J52=0,"",ROUND((J52+E79-G65)/inputOth!B14*1000,3)-G70)</f>
        <v/>
      </c>
    </row>
    <row r="54" spans="2:11" x14ac:dyDescent="0.2">
      <c r="B54" s="362"/>
      <c r="C54" s="311"/>
      <c r="D54" s="311"/>
      <c r="E54" s="83"/>
      <c r="G54" s="480" t="str">
        <f>CONCATENATE("",E1," Tot Exp/Non-Appr Must Be:")</f>
        <v>2025 Tot Exp/Non-Appr Must Be:</v>
      </c>
      <c r="H54" s="481"/>
      <c r="I54" s="482"/>
      <c r="J54" s="483">
        <f>IF(J52&gt;0,IF(E76&lt;E62,IF(J52=G65,E76,((J52-G65)*(1-D78))+E62),E76+(J52-G65)),0)</f>
        <v>0</v>
      </c>
    </row>
    <row r="55" spans="2:11" x14ac:dyDescent="0.2">
      <c r="B55" s="362"/>
      <c r="C55" s="311"/>
      <c r="D55" s="311"/>
      <c r="E55" s="83"/>
      <c r="G55" s="455" t="s">
        <v>424</v>
      </c>
      <c r="H55" s="484"/>
      <c r="I55" s="484"/>
      <c r="J55" s="457">
        <f>IF(J52&gt;0,J54-E76,0)</f>
        <v>0</v>
      </c>
    </row>
    <row r="56" spans="2:11" x14ac:dyDescent="0.25">
      <c r="B56" s="245"/>
      <c r="C56" s="311"/>
      <c r="D56" s="311"/>
      <c r="E56" s="83"/>
      <c r="J56" s="3"/>
    </row>
    <row r="57" spans="2:11" x14ac:dyDescent="0.2">
      <c r="B57" s="258" t="s">
        <v>170</v>
      </c>
      <c r="C57" s="311"/>
      <c r="D57" s="311"/>
      <c r="E57" s="83"/>
      <c r="G57" s="806" t="str">
        <f>CONCATENATE("Projected Carryover Into ",E1+1,"")</f>
        <v>Projected Carryover Into 2026</v>
      </c>
      <c r="H57" s="809"/>
      <c r="I57" s="809"/>
      <c r="J57" s="810"/>
    </row>
    <row r="58" spans="2:11" x14ac:dyDescent="0.2">
      <c r="B58" s="249" t="s">
        <v>117</v>
      </c>
      <c r="C58" s="311"/>
      <c r="D58" s="311"/>
      <c r="E58" s="275">
        <f>'NR Rebate'!E16*-1</f>
        <v>0</v>
      </c>
      <c r="G58" s="332"/>
      <c r="H58" s="286"/>
      <c r="I58" s="286"/>
      <c r="J58" s="331"/>
    </row>
    <row r="59" spans="2:11" x14ac:dyDescent="0.2">
      <c r="B59" s="249" t="s">
        <v>118</v>
      </c>
      <c r="C59" s="311"/>
      <c r="D59" s="311"/>
      <c r="E59" s="83"/>
      <c r="G59" s="497">
        <f>D73</f>
        <v>0</v>
      </c>
      <c r="H59" s="469" t="str">
        <f>CONCATENATE("",E1-1," Ending Cash Balance (est.)")</f>
        <v>2024 Ending Cash Balance (est.)</v>
      </c>
      <c r="I59" s="498"/>
      <c r="J59" s="331"/>
    </row>
    <row r="60" spans="2:11" x14ac:dyDescent="0.2">
      <c r="B60" s="249" t="s">
        <v>334</v>
      </c>
      <c r="C60" s="312" t="str">
        <f>IF(C61*0.1&lt;C59,"Exceed 10% Rule","")</f>
        <v/>
      </c>
      <c r="D60" s="312" t="str">
        <f>IF(D61*0.1&lt;D59,"Exceed 10% Rule","")</f>
        <v/>
      </c>
      <c r="E60" s="272" t="str">
        <f>IF(E61*0.1+E79&lt;E59,"Exceed 10% Rule","")</f>
        <v/>
      </c>
      <c r="G60" s="497">
        <f>E61</f>
        <v>0</v>
      </c>
      <c r="H60" s="475" t="str">
        <f>CONCATENATE("",E1," Non-AV Receipts (est.)")</f>
        <v>2025 Non-AV Receipts (est.)</v>
      </c>
      <c r="I60" s="498"/>
      <c r="J60" s="331"/>
    </row>
    <row r="61" spans="2:11" x14ac:dyDescent="0.2">
      <c r="B61" s="251" t="s">
        <v>171</v>
      </c>
      <c r="C61" s="315">
        <f>SUM(C47:C59)</f>
        <v>0</v>
      </c>
      <c r="D61" s="315">
        <f>SUM(D47:D59)</f>
        <v>0</v>
      </c>
      <c r="E61" s="253">
        <f>SUM(E47:E59)</f>
        <v>0</v>
      </c>
      <c r="G61" s="499">
        <f>IF(D78&gt;0,E77,E79)</f>
        <v>0</v>
      </c>
      <c r="H61" s="475" t="str">
        <f>CONCATENATE("",E1," Ad Valorem Tax (est.)")</f>
        <v>2025 Ad Valorem Tax (est.)</v>
      </c>
      <c r="I61" s="498"/>
      <c r="J61" s="331"/>
      <c r="K61" s="490" t="str">
        <f>IF(G61=E79,"","Note: Does not include Delinquent Taxes")</f>
        <v/>
      </c>
    </row>
    <row r="62" spans="2:11" x14ac:dyDescent="0.2">
      <c r="B62" s="251" t="s">
        <v>172</v>
      </c>
      <c r="C62" s="315">
        <f>C45+C61</f>
        <v>0</v>
      </c>
      <c r="D62" s="315">
        <f>D45+D61</f>
        <v>0</v>
      </c>
      <c r="E62" s="253">
        <f>E45+E61</f>
        <v>0</v>
      </c>
      <c r="G62" s="342">
        <f>SUM(G59:G61)</f>
        <v>0</v>
      </c>
      <c r="H62" s="475" t="str">
        <f>CONCATENATE("Total ",E1," Resources Available")</f>
        <v>Total 2025 Resources Available</v>
      </c>
      <c r="I62" s="331"/>
      <c r="J62" s="331"/>
    </row>
    <row r="63" spans="2:11" x14ac:dyDescent="0.2">
      <c r="B63" s="118" t="s">
        <v>174</v>
      </c>
      <c r="C63" s="249"/>
      <c r="D63" s="249"/>
      <c r="E63" s="82"/>
      <c r="G63" s="339"/>
      <c r="H63" s="341"/>
      <c r="I63" s="286"/>
      <c r="J63" s="331"/>
    </row>
    <row r="64" spans="2:11" x14ac:dyDescent="0.2">
      <c r="B64" s="245"/>
      <c r="C64" s="311"/>
      <c r="D64" s="311"/>
      <c r="E64" s="83"/>
      <c r="G64" s="340">
        <f>ROUND(C72*0.05+C72,0)</f>
        <v>0</v>
      </c>
      <c r="H64" s="341" t="str">
        <f>CONCATENATE("Less ",E1-2," Expenditures + 5%")</f>
        <v>Less 2023 Expenditures + 5%</v>
      </c>
      <c r="I64" s="331"/>
      <c r="J64" s="331"/>
    </row>
    <row r="65" spans="2:10" x14ac:dyDescent="0.25">
      <c r="B65" s="245"/>
      <c r="C65" s="311"/>
      <c r="D65" s="311"/>
      <c r="E65" s="83"/>
      <c r="G65" s="338">
        <f>G62-G64</f>
        <v>0</v>
      </c>
      <c r="H65" s="337" t="str">
        <f>CONCATENATE("Projected ",E1+1," carryover (est.)")</f>
        <v>Projected 2026 carryover (est.)</v>
      </c>
      <c r="I65" s="330"/>
      <c r="J65" s="505"/>
    </row>
    <row r="66" spans="2:10" x14ac:dyDescent="0.25">
      <c r="B66" s="245"/>
      <c r="C66" s="311"/>
      <c r="D66" s="311"/>
      <c r="E66" s="83"/>
      <c r="G66" s="3"/>
      <c r="H66" s="3"/>
      <c r="I66" s="3"/>
    </row>
    <row r="67" spans="2:10" x14ac:dyDescent="0.2">
      <c r="B67" s="245"/>
      <c r="C67" s="311"/>
      <c r="D67" s="311"/>
      <c r="E67" s="83"/>
      <c r="G67" s="794" t="s">
        <v>635</v>
      </c>
      <c r="H67" s="795"/>
      <c r="I67" s="795"/>
      <c r="J67" s="796"/>
    </row>
    <row r="68" spans="2:10" x14ac:dyDescent="0.2">
      <c r="B68" s="245"/>
      <c r="C68" s="311"/>
      <c r="D68" s="311"/>
      <c r="E68" s="83"/>
      <c r="G68" s="797"/>
      <c r="H68" s="798"/>
      <c r="I68" s="798"/>
      <c r="J68" s="799"/>
    </row>
    <row r="69" spans="2:10" x14ac:dyDescent="0.2">
      <c r="B69" s="249" t="str">
        <f>CONCATENATE("Cash Reserve (",E1," column)")</f>
        <v>Cash Reserve (2025 column)</v>
      </c>
      <c r="C69" s="311"/>
      <c r="D69" s="311"/>
      <c r="E69" s="83"/>
      <c r="G69" s="472" t="str">
        <f>'Budget Hearing Notice'!H29</f>
        <v xml:space="preserve">  </v>
      </c>
      <c r="H69" s="469" t="str">
        <f>CONCATENATE("",E1," Estimated Fund Mill Rate")</f>
        <v>2025 Estimated Fund Mill Rate</v>
      </c>
      <c r="I69" s="470"/>
      <c r="J69" s="471"/>
    </row>
    <row r="70" spans="2:10" x14ac:dyDescent="0.2">
      <c r="B70" s="249" t="s">
        <v>118</v>
      </c>
      <c r="C70" s="311"/>
      <c r="D70" s="311"/>
      <c r="E70" s="83"/>
      <c r="G70" s="633" t="str">
        <f>'Budget Hearing Notice'!E29</f>
        <v xml:space="preserve">  </v>
      </c>
      <c r="H70" s="469" t="str">
        <f>CONCATENATE("",E1-1," Fund Mill Rate")</f>
        <v>2024 Fund Mill Rate</v>
      </c>
      <c r="I70" s="470"/>
      <c r="J70" s="471"/>
    </row>
    <row r="71" spans="2:10" x14ac:dyDescent="0.2">
      <c r="B71" s="249" t="s">
        <v>119</v>
      </c>
      <c r="C71" s="312" t="str">
        <f>IF(C72*0.1&lt;C70,"Exceed 10% Rule","")</f>
        <v/>
      </c>
      <c r="D71" s="312" t="str">
        <f>IF(D72*0.1&lt;D70,"Exceed 10% Rule","")</f>
        <v/>
      </c>
      <c r="E71" s="272" t="str">
        <f>IF(E72*0.1&lt;E70,"Exceed 10% Rule","")</f>
        <v/>
      </c>
      <c r="G71" s="634">
        <f>'Budget Hearing Notice'!H57</f>
        <v>0</v>
      </c>
      <c r="H71" s="635" t="s">
        <v>636</v>
      </c>
      <c r="I71" s="470"/>
      <c r="J71" s="471"/>
    </row>
    <row r="72" spans="2:10" x14ac:dyDescent="0.2">
      <c r="B72" s="251" t="s">
        <v>178</v>
      </c>
      <c r="C72" s="315">
        <f>SUM(C64:C70)</f>
        <v>0</v>
      </c>
      <c r="D72" s="315">
        <f>SUM(D64:D70)</f>
        <v>0</v>
      </c>
      <c r="E72" s="253">
        <f>SUM(E64:E70)</f>
        <v>0</v>
      </c>
      <c r="G72" s="472">
        <f>'Budget Hearing Notice'!H56</f>
        <v>0</v>
      </c>
      <c r="H72" s="469" t="str">
        <f>CONCATENATE(E1," Estimated Total Mill Rate")</f>
        <v>2025 Estimated Total Mill Rate</v>
      </c>
      <c r="I72" s="470"/>
      <c r="J72" s="471"/>
    </row>
    <row r="73" spans="2:10" x14ac:dyDescent="0.2">
      <c r="B73" s="118" t="s">
        <v>19</v>
      </c>
      <c r="C73" s="313">
        <f>C62-C72</f>
        <v>0</v>
      </c>
      <c r="D73" s="313">
        <f>D62-D72</f>
        <v>0</v>
      </c>
      <c r="E73" s="262" t="s">
        <v>152</v>
      </c>
      <c r="G73" s="473">
        <f>'Budget Hearing Notice'!E56</f>
        <v>0</v>
      </c>
      <c r="H73" s="469" t="str">
        <f>CONCATENATE(E1-1," Total Mill Rate")</f>
        <v>2024 Total Mill Rate</v>
      </c>
      <c r="I73" s="470"/>
      <c r="J73" s="471"/>
    </row>
    <row r="74" spans="2:10" x14ac:dyDescent="0.2">
      <c r="B74" s="164" t="str">
        <f>CONCATENATE("",E1-2,"/",E1-1,"/",E1," Budget Authority Amount:")</f>
        <v>2023/2024/2025 Budget Authority Amount:</v>
      </c>
      <c r="C74" s="270">
        <f>inputOth!B92</f>
        <v>0</v>
      </c>
      <c r="D74" s="270">
        <f>inputPrYr!D33</f>
        <v>0</v>
      </c>
      <c r="E74" s="243">
        <f>E72</f>
        <v>0</v>
      </c>
      <c r="G74" s="332"/>
      <c r="H74" s="286"/>
      <c r="I74" s="286"/>
      <c r="J74" s="331"/>
    </row>
    <row r="75" spans="2:10" x14ac:dyDescent="0.2">
      <c r="B75" s="135"/>
      <c r="C75" s="785" t="s">
        <v>338</v>
      </c>
      <c r="D75" s="786"/>
      <c r="E75" s="83"/>
      <c r="G75" s="800" t="s">
        <v>637</v>
      </c>
      <c r="H75" s="801"/>
      <c r="I75" s="801"/>
      <c r="J75" s="804" t="str">
        <f>IF(G72&gt;G71, "Yes", "No")</f>
        <v>No</v>
      </c>
    </row>
    <row r="76" spans="2:10" x14ac:dyDescent="0.2">
      <c r="B76" s="364" t="str">
        <f>CONCATENATE(C95,"     ",D95)</f>
        <v xml:space="preserve">     </v>
      </c>
      <c r="C76" s="787" t="s">
        <v>339</v>
      </c>
      <c r="D76" s="788"/>
      <c r="E76" s="243">
        <f>E72+E75</f>
        <v>0</v>
      </c>
      <c r="G76" s="802"/>
      <c r="H76" s="803"/>
      <c r="I76" s="803"/>
      <c r="J76" s="805"/>
    </row>
    <row r="77" spans="2:10" x14ac:dyDescent="0.2">
      <c r="B77" s="364" t="str">
        <f>CONCATENATE(C96,"     ",D96)</f>
        <v xml:space="preserve">     </v>
      </c>
      <c r="C77" s="255"/>
      <c r="D77" s="161" t="s">
        <v>179</v>
      </c>
      <c r="E77" s="92">
        <f>IF(E76-E62&gt;0,E76-E62,0)</f>
        <v>0</v>
      </c>
      <c r="G77" s="781" t="str">
        <f>IF(J75="Yes", "Follow procedure prescribed by KSA 79-2988 to exceed the Revenue Neutral Rate.", " ")</f>
        <v xml:space="preserve"> </v>
      </c>
      <c r="H77" s="781"/>
      <c r="I77" s="781"/>
      <c r="J77" s="781"/>
    </row>
    <row r="78" spans="2:10" x14ac:dyDescent="0.2">
      <c r="B78" s="135"/>
      <c r="C78" s="333" t="s">
        <v>340</v>
      </c>
      <c r="D78" s="515">
        <f>inputOth!$E$67</f>
        <v>0</v>
      </c>
      <c r="E78" s="243">
        <f>ROUND(IF(D78&gt;0,(E77*D78),0),0)</f>
        <v>0</v>
      </c>
      <c r="G78" s="782"/>
      <c r="H78" s="782"/>
      <c r="I78" s="782"/>
      <c r="J78" s="782"/>
    </row>
    <row r="79" spans="2:10" ht="16.5" thickBot="1" x14ac:dyDescent="0.25">
      <c r="B79" s="161"/>
      <c r="C79" s="783" t="str">
        <f>CONCATENATE("Amount of  ",$E$1-1," Ad Valorem Tax")</f>
        <v>Amount of  2024 Ad Valorem Tax</v>
      </c>
      <c r="D79" s="784"/>
      <c r="E79" s="266">
        <f>E77+E78</f>
        <v>0</v>
      </c>
      <c r="F79" s="263"/>
      <c r="G79" s="782"/>
      <c r="H79" s="782"/>
      <c r="I79" s="782"/>
      <c r="J79" s="782"/>
    </row>
    <row r="80" spans="2:10" ht="16.5" thickTop="1" x14ac:dyDescent="0.2">
      <c r="B80" s="161"/>
      <c r="C80" s="135"/>
      <c r="D80" s="69"/>
      <c r="E80" s="69"/>
      <c r="F80" s="522" t="str">
        <f>IF(E72/0.95-E72&lt;E75,"Exceeds 5%","")</f>
        <v/>
      </c>
    </row>
    <row r="81" spans="2:5" x14ac:dyDescent="0.2">
      <c r="B81" s="117" t="s">
        <v>513</v>
      </c>
      <c r="C81" s="589"/>
      <c r="D81" s="115"/>
      <c r="E81" s="586"/>
    </row>
    <row r="82" spans="2:5" x14ac:dyDescent="0.2">
      <c r="B82" s="592"/>
      <c r="C82" s="135"/>
      <c r="D82" s="69"/>
      <c r="E82" s="331"/>
    </row>
    <row r="83" spans="2:5" x14ac:dyDescent="0.2">
      <c r="B83" s="590"/>
      <c r="C83" s="76"/>
      <c r="D83" s="76"/>
      <c r="E83" s="96"/>
    </row>
    <row r="84" spans="2:5" x14ac:dyDescent="0.2">
      <c r="B84" s="69"/>
      <c r="C84" s="69"/>
      <c r="D84" s="69"/>
      <c r="E84" s="69"/>
    </row>
    <row r="85" spans="2:5" x14ac:dyDescent="0.2">
      <c r="B85" s="135" t="s">
        <v>181</v>
      </c>
      <c r="C85" s="564"/>
      <c r="D85" s="69"/>
      <c r="E85" s="69"/>
    </row>
    <row r="93" spans="2:5" x14ac:dyDescent="0.2">
      <c r="C93" s="65" t="str">
        <f>IF(C33&gt;C35,"See Tab A","")</f>
        <v/>
      </c>
      <c r="D93" s="65" t="str">
        <f>IF(D33&gt;D35,"See Tab C","")</f>
        <v/>
      </c>
    </row>
    <row r="94" spans="2:5" hidden="1" x14ac:dyDescent="0.2">
      <c r="C94" s="65" t="str">
        <f>IF(C34&lt;0,"See Tab B","")</f>
        <v/>
      </c>
      <c r="D94" s="65" t="str">
        <f>IF(D34&lt;0,"See Tab D","")</f>
        <v/>
      </c>
    </row>
    <row r="95" spans="2:5" hidden="1" x14ac:dyDescent="0.2">
      <c r="C95" s="65" t="str">
        <f>IF(C72&gt;C74,"See Tab A","")</f>
        <v/>
      </c>
      <c r="D95" s="65" t="str">
        <f>IF(D72&gt;D74,"See Tab C","")</f>
        <v/>
      </c>
    </row>
    <row r="96" spans="2:5" hidden="1" x14ac:dyDescent="0.2">
      <c r="C96" s="65" t="str">
        <f>IF(C73&lt;0,"See Tab B","")</f>
        <v/>
      </c>
      <c r="D96" s="65" t="str">
        <f>IF(D73&lt;0,"See Tab D","")</f>
        <v/>
      </c>
    </row>
    <row r="97" hidden="1" x14ac:dyDescent="0.2"/>
  </sheetData>
  <sheetProtection sheet="1"/>
  <mergeCells count="18">
    <mergeCell ref="C40:D40"/>
    <mergeCell ref="C79:D79"/>
    <mergeCell ref="C75:D75"/>
    <mergeCell ref="C76:D76"/>
    <mergeCell ref="C36:D36"/>
    <mergeCell ref="C37:D37"/>
    <mergeCell ref="G67:J68"/>
    <mergeCell ref="G75:I76"/>
    <mergeCell ref="J75:J76"/>
    <mergeCell ref="G77:J79"/>
    <mergeCell ref="G11:J11"/>
    <mergeCell ref="G18:J18"/>
    <mergeCell ref="G57:J57"/>
    <mergeCell ref="G50:J50"/>
    <mergeCell ref="G28:J29"/>
    <mergeCell ref="G36:I37"/>
    <mergeCell ref="J36:J37"/>
    <mergeCell ref="G38:J40"/>
  </mergeCells>
  <phoneticPr fontId="0" type="noConversion"/>
  <conditionalFormatting sqref="C20">
    <cfRule type="cellIs" dxfId="237" priority="21" stopIfTrue="1" operator="greaterThan">
      <formula>$C$22*0.1</formula>
    </cfRule>
  </conditionalFormatting>
  <conditionalFormatting sqref="C31">
    <cfRule type="cellIs" dxfId="236" priority="17" stopIfTrue="1" operator="greaterThan">
      <formula>$C$33*0.1</formula>
    </cfRule>
  </conditionalFormatting>
  <conditionalFormatting sqref="C33">
    <cfRule type="cellIs" dxfId="235" priority="19" stopIfTrue="1" operator="greaterThan">
      <formula>$C$35</formula>
    </cfRule>
  </conditionalFormatting>
  <conditionalFormatting sqref="C34 C73">
    <cfRule type="cellIs" dxfId="234" priority="13" stopIfTrue="1" operator="lessThan">
      <formula>0</formula>
    </cfRule>
  </conditionalFormatting>
  <conditionalFormatting sqref="C59">
    <cfRule type="cellIs" dxfId="233" priority="15" stopIfTrue="1" operator="greaterThan">
      <formula>$C$61*0.1</formula>
    </cfRule>
  </conditionalFormatting>
  <conditionalFormatting sqref="C70">
    <cfRule type="cellIs" dxfId="232" priority="10" stopIfTrue="1" operator="greaterThan">
      <formula>$C$72*0.1</formula>
    </cfRule>
  </conditionalFormatting>
  <conditionalFormatting sqref="C72">
    <cfRule type="cellIs" dxfId="231" priority="12" stopIfTrue="1" operator="greaterThan">
      <formula>$C$74</formula>
    </cfRule>
  </conditionalFormatting>
  <conditionalFormatting sqref="D20">
    <cfRule type="cellIs" dxfId="230" priority="20" stopIfTrue="1" operator="greaterThan">
      <formula>$D$22*0.1</formula>
    </cfRule>
  </conditionalFormatting>
  <conditionalFormatting sqref="D31">
    <cfRule type="cellIs" dxfId="229" priority="16" stopIfTrue="1" operator="greaterThan">
      <formula>$D$33*0.1</formula>
    </cfRule>
  </conditionalFormatting>
  <conditionalFormatting sqref="D33">
    <cfRule type="cellIs" dxfId="228" priority="18" stopIfTrue="1" operator="greaterThan">
      <formula>$D$35</formula>
    </cfRule>
  </conditionalFormatting>
  <conditionalFormatting sqref="D34 D73">
    <cfRule type="cellIs" dxfId="227" priority="4" stopIfTrue="1" operator="lessThan">
      <formula>0</formula>
    </cfRule>
  </conditionalFormatting>
  <conditionalFormatting sqref="D59">
    <cfRule type="cellIs" dxfId="226" priority="14" stopIfTrue="1" operator="greaterThan">
      <formula>$D$61*0.1</formula>
    </cfRule>
  </conditionalFormatting>
  <conditionalFormatting sqref="D70">
    <cfRule type="cellIs" dxfId="225" priority="9" stopIfTrue="1" operator="greaterThan">
      <formula>$D$72*0.1</formula>
    </cfRule>
  </conditionalFormatting>
  <conditionalFormatting sqref="D72">
    <cfRule type="cellIs" dxfId="224" priority="11" stopIfTrue="1" operator="greaterThan">
      <formula>$D$74</formula>
    </cfRule>
  </conditionalFormatting>
  <conditionalFormatting sqref="E20">
    <cfRule type="cellIs" dxfId="223" priority="76" stopIfTrue="1" operator="greaterThan">
      <formula>$E$22*0.1+$E$40</formula>
    </cfRule>
  </conditionalFormatting>
  <conditionalFormatting sqref="E31">
    <cfRule type="cellIs" dxfId="222" priority="6" stopIfTrue="1" operator="greaterThan">
      <formula>$E$33*0.1</formula>
    </cfRule>
  </conditionalFormatting>
  <conditionalFormatting sqref="E36">
    <cfRule type="cellIs" dxfId="221" priority="7" stopIfTrue="1" operator="greaterThan">
      <formula>$E$33/0.95-$E$33</formula>
    </cfRule>
  </conditionalFormatting>
  <conditionalFormatting sqref="E59">
    <cfRule type="cellIs" dxfId="220" priority="77" stopIfTrue="1" operator="greaterThan">
      <formula>$E$61*0.1+$E$79</formula>
    </cfRule>
  </conditionalFormatting>
  <conditionalFormatting sqref="E70">
    <cfRule type="cellIs" dxfId="219" priority="5" stopIfTrue="1" operator="greaterThan">
      <formula>$E$72*0.1</formula>
    </cfRule>
  </conditionalFormatting>
  <conditionalFormatting sqref="E75">
    <cfRule type="cellIs" dxfId="218" priority="8" stopIfTrue="1" operator="greaterThan">
      <formula>$E$72/0.95-$E$72</formula>
    </cfRule>
  </conditionalFormatting>
  <conditionalFormatting sqref="J36">
    <cfRule type="containsText" dxfId="217" priority="2" operator="containsText" text="Yes">
      <formula>NOT(ISERROR(SEARCH("Yes",J36)))</formula>
    </cfRule>
  </conditionalFormatting>
  <conditionalFormatting sqref="J75">
    <cfRule type="containsText" dxfId="216" priority="1" operator="containsText" text="Yes">
      <formula>NOT(ISERROR(SEARCH("Yes",J75)))</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30"/>
  <sheetViews>
    <sheetView workbookViewId="0">
      <selection activeCell="C10" sqref="C10"/>
    </sheetView>
  </sheetViews>
  <sheetFormatPr defaultColWidth="8.88671875" defaultRowHeight="15.75" x14ac:dyDescent="0.2"/>
  <cols>
    <col min="1" max="1" width="15.77734375" style="65" customWidth="1"/>
    <col min="2" max="2" width="20.77734375" style="65" customWidth="1"/>
    <col min="3" max="3" width="9.77734375" style="65" customWidth="1"/>
    <col min="4" max="4" width="15.109375" style="65" customWidth="1"/>
    <col min="5" max="5" width="15.77734375" style="65" customWidth="1"/>
    <col min="6" max="6" width="1.88671875" style="65" customWidth="1"/>
    <col min="7" max="7" width="18.6640625" style="65" customWidth="1"/>
    <col min="8" max="16384" width="8.88671875" style="65"/>
  </cols>
  <sheetData>
    <row r="1" spans="1:8" x14ac:dyDescent="0.2">
      <c r="A1" s="697" t="s">
        <v>481</v>
      </c>
      <c r="B1" s="698"/>
      <c r="C1" s="698"/>
      <c r="D1" s="698"/>
      <c r="E1" s="698"/>
    </row>
    <row r="2" spans="1:8" x14ac:dyDescent="0.2">
      <c r="A2" s="66"/>
      <c r="B2" s="67"/>
      <c r="C2" s="67"/>
      <c r="D2" s="67"/>
      <c r="E2" s="67"/>
    </row>
    <row r="3" spans="1:8" x14ac:dyDescent="0.2">
      <c r="A3" s="68" t="s">
        <v>482</v>
      </c>
      <c r="B3" s="69"/>
      <c r="C3" s="69"/>
      <c r="D3" s="706"/>
      <c r="E3" s="707"/>
    </row>
    <row r="4" spans="1:8" x14ac:dyDescent="0.2">
      <c r="A4" s="68" t="s">
        <v>483</v>
      </c>
      <c r="B4" s="69"/>
      <c r="C4" s="69"/>
      <c r="D4" s="706"/>
      <c r="E4" s="707"/>
    </row>
    <row r="5" spans="1:8" x14ac:dyDescent="0.2">
      <c r="A5" s="68" t="s">
        <v>484</v>
      </c>
      <c r="B5" s="70"/>
      <c r="C5" s="69"/>
      <c r="D5" s="71"/>
      <c r="E5" s="69"/>
    </row>
    <row r="6" spans="1:8" x14ac:dyDescent="0.2">
      <c r="A6" s="68" t="s">
        <v>101</v>
      </c>
      <c r="B6" s="69"/>
      <c r="C6" s="69"/>
      <c r="D6" s="706"/>
      <c r="E6" s="707"/>
    </row>
    <row r="7" spans="1:8" x14ac:dyDescent="0.2">
      <c r="A7" s="68" t="s">
        <v>102</v>
      </c>
      <c r="B7" s="69"/>
      <c r="C7" s="69"/>
      <c r="D7" s="706"/>
      <c r="E7" s="707"/>
    </row>
    <row r="8" spans="1:8" x14ac:dyDescent="0.2">
      <c r="A8" s="68" t="s">
        <v>103</v>
      </c>
      <c r="B8" s="69"/>
      <c r="C8" s="69"/>
      <c r="D8" s="706"/>
      <c r="E8" s="707"/>
    </row>
    <row r="9" spans="1:8" x14ac:dyDescent="0.2">
      <c r="A9" s="72"/>
      <c r="B9" s="69"/>
      <c r="C9" s="69"/>
      <c r="D9" s="71"/>
      <c r="E9" s="69"/>
    </row>
    <row r="10" spans="1:8" x14ac:dyDescent="0.2">
      <c r="A10" s="68" t="s">
        <v>485</v>
      </c>
      <c r="B10" s="69"/>
      <c r="C10" s="73">
        <v>2025</v>
      </c>
      <c r="D10" s="71"/>
      <c r="E10" s="69"/>
    </row>
    <row r="11" spans="1:8" x14ac:dyDescent="0.2">
      <c r="A11" s="68"/>
      <c r="B11" s="69"/>
      <c r="C11" s="69"/>
      <c r="D11" s="71"/>
      <c r="E11" s="69"/>
    </row>
    <row r="12" spans="1:8" x14ac:dyDescent="0.2">
      <c r="A12" s="699" t="s">
        <v>486</v>
      </c>
      <c r="B12" s="699"/>
      <c r="C12" s="699"/>
      <c r="D12" s="699"/>
      <c r="E12" s="699"/>
    </row>
    <row r="13" spans="1:8" ht="15.75" customHeight="1" x14ac:dyDescent="0.2">
      <c r="A13" s="699"/>
      <c r="B13" s="699"/>
      <c r="C13" s="699"/>
      <c r="D13" s="699"/>
      <c r="E13" s="699"/>
      <c r="F13" s="516"/>
      <c r="G13" s="700" t="s">
        <v>487</v>
      </c>
      <c r="H13" s="701"/>
    </row>
    <row r="14" spans="1:8" x14ac:dyDescent="0.2">
      <c r="A14" s="699"/>
      <c r="B14" s="699"/>
      <c r="C14" s="699"/>
      <c r="D14" s="699"/>
      <c r="E14" s="699"/>
      <c r="F14" s="516"/>
      <c r="G14" s="702"/>
      <c r="H14" s="703"/>
    </row>
    <row r="15" spans="1:8" x14ac:dyDescent="0.2">
      <c r="A15" s="695" t="s">
        <v>91</v>
      </c>
      <c r="B15" s="696"/>
      <c r="C15" s="696"/>
      <c r="D15" s="696"/>
      <c r="E15" s="696"/>
      <c r="F15" s="516"/>
      <c r="G15" s="702"/>
      <c r="H15" s="703"/>
    </row>
    <row r="16" spans="1:8" x14ac:dyDescent="0.2">
      <c r="A16" s="69"/>
      <c r="B16" s="69"/>
      <c r="C16" s="69"/>
      <c r="D16" s="69"/>
      <c r="E16" s="69"/>
      <c r="F16" s="516"/>
      <c r="G16" s="702"/>
      <c r="H16" s="703"/>
    </row>
    <row r="17" spans="1:8" x14ac:dyDescent="0.2">
      <c r="A17" s="547" t="s">
        <v>92</v>
      </c>
      <c r="B17" s="548"/>
      <c r="C17" s="69"/>
      <c r="D17" s="69"/>
      <c r="E17" s="69"/>
      <c r="F17" s="516"/>
      <c r="G17" s="702"/>
      <c r="H17" s="703"/>
    </row>
    <row r="18" spans="1:8" x14ac:dyDescent="0.2">
      <c r="A18" s="549" t="str">
        <f>CONCATENATE("the ",C10-1," Budget, Certificate Page:")</f>
        <v>the 2024 Budget, Certificate Page:</v>
      </c>
      <c r="B18" s="550"/>
      <c r="C18" s="69"/>
      <c r="D18" s="69"/>
      <c r="E18" s="69"/>
      <c r="F18" s="516"/>
      <c r="G18" s="702"/>
      <c r="H18" s="703"/>
    </row>
    <row r="19" spans="1:8" x14ac:dyDescent="0.2">
      <c r="A19" s="551" t="s">
        <v>226</v>
      </c>
      <c r="B19" s="552"/>
      <c r="C19" s="69"/>
      <c r="D19" s="69"/>
      <c r="E19" s="69"/>
      <c r="F19" s="516"/>
      <c r="G19" s="704"/>
      <c r="H19" s="705"/>
    </row>
    <row r="20" spans="1:8" x14ac:dyDescent="0.2">
      <c r="A20" s="69"/>
      <c r="B20" s="69"/>
      <c r="C20" s="69"/>
      <c r="D20" s="77">
        <f>C10-1</f>
        <v>2024</v>
      </c>
      <c r="E20" s="78">
        <f>C10-2</f>
        <v>2023</v>
      </c>
      <c r="F20" s="558"/>
      <c r="G20" s="517" t="s">
        <v>425</v>
      </c>
      <c r="H20" s="153" t="s">
        <v>180</v>
      </c>
    </row>
    <row r="21" spans="1:8" x14ac:dyDescent="0.2">
      <c r="A21" s="72" t="s">
        <v>138</v>
      </c>
      <c r="B21" s="69"/>
      <c r="C21" s="79" t="s">
        <v>139</v>
      </c>
      <c r="D21" s="80" t="s">
        <v>225</v>
      </c>
      <c r="E21" s="80" t="s">
        <v>123</v>
      </c>
      <c r="F21" s="558"/>
      <c r="G21" s="518" t="str">
        <f>CONCATENATE("",E20," Ad Valorem Tax")</f>
        <v>2023 Ad Valorem Tax</v>
      </c>
      <c r="H21" s="519">
        <v>0</v>
      </c>
    </row>
    <row r="22" spans="1:8" x14ac:dyDescent="0.2">
      <c r="A22" s="69"/>
      <c r="B22" s="81" t="s">
        <v>140</v>
      </c>
      <c r="C22" s="153" t="s">
        <v>21</v>
      </c>
      <c r="D22" s="83"/>
      <c r="E22" s="574"/>
      <c r="F22" s="558"/>
      <c r="G22" s="520">
        <f>IF(H21&gt;0,ROUND(E22-(E22*H$21),0),0)</f>
        <v>0</v>
      </c>
    </row>
    <row r="23" spans="1:8" x14ac:dyDescent="0.2">
      <c r="A23" s="69"/>
      <c r="B23" s="81" t="s">
        <v>124</v>
      </c>
      <c r="C23" s="153" t="s">
        <v>43</v>
      </c>
      <c r="D23" s="83"/>
      <c r="E23" s="574"/>
      <c r="F23" s="558"/>
      <c r="G23" s="520">
        <f>IF(H21&gt;0,ROUND(E23-(E23*H21),0),0)</f>
        <v>0</v>
      </c>
    </row>
    <row r="24" spans="1:8" x14ac:dyDescent="0.2">
      <c r="A24" s="69"/>
      <c r="B24" s="81" t="s">
        <v>418</v>
      </c>
      <c r="C24" s="153" t="s">
        <v>417</v>
      </c>
      <c r="D24" s="83"/>
      <c r="E24" s="574"/>
      <c r="F24" s="558"/>
      <c r="G24" s="520">
        <f>IF(H$21&gt;0,ROUND(E24-(E24*H$21),0),0)</f>
        <v>0</v>
      </c>
    </row>
    <row r="25" spans="1:8" x14ac:dyDescent="0.2">
      <c r="A25" s="72" t="s">
        <v>141</v>
      </c>
      <c r="B25" s="69"/>
      <c r="C25" s="69"/>
      <c r="D25" s="69"/>
      <c r="E25" s="575"/>
      <c r="F25" s="558"/>
      <c r="G25" s="84"/>
    </row>
    <row r="26" spans="1:8" x14ac:dyDescent="0.2">
      <c r="A26" s="69"/>
      <c r="B26" s="577"/>
      <c r="C26" s="423"/>
      <c r="D26" s="83"/>
      <c r="E26" s="574"/>
      <c r="F26" s="558"/>
      <c r="G26" s="520">
        <f>IF(H$21&gt;0,ROUND(E26-(E26*H$21),0),0)</f>
        <v>0</v>
      </c>
    </row>
    <row r="27" spans="1:8" x14ac:dyDescent="0.2">
      <c r="A27" s="69"/>
      <c r="B27" s="576"/>
      <c r="C27" s="423"/>
      <c r="D27" s="83"/>
      <c r="E27" s="574"/>
      <c r="F27" s="558"/>
      <c r="G27" s="520">
        <f t="shared" ref="G27:G35" si="0">IF(H$21&gt;0,ROUND(E27-(E27*H$21),0),0)</f>
        <v>0</v>
      </c>
    </row>
    <row r="28" spans="1:8" x14ac:dyDescent="0.2">
      <c r="A28" s="69"/>
      <c r="B28" s="576"/>
      <c r="C28" s="423"/>
      <c r="D28" s="83"/>
      <c r="E28" s="574"/>
      <c r="F28" s="558"/>
      <c r="G28" s="520">
        <f t="shared" si="0"/>
        <v>0</v>
      </c>
    </row>
    <row r="29" spans="1:8" x14ac:dyDescent="0.2">
      <c r="A29" s="69"/>
      <c r="B29" s="576"/>
      <c r="C29" s="423"/>
      <c r="D29" s="83"/>
      <c r="E29" s="574"/>
      <c r="F29" s="558"/>
      <c r="G29" s="520">
        <f t="shared" si="0"/>
        <v>0</v>
      </c>
    </row>
    <row r="30" spans="1:8" x14ac:dyDescent="0.2">
      <c r="A30" s="69"/>
      <c r="B30" s="576"/>
      <c r="C30" s="423"/>
      <c r="D30" s="83"/>
      <c r="E30" s="574"/>
      <c r="F30" s="558"/>
      <c r="G30" s="520">
        <f t="shared" si="0"/>
        <v>0</v>
      </c>
    </row>
    <row r="31" spans="1:8" x14ac:dyDescent="0.2">
      <c r="A31" s="69"/>
      <c r="B31" s="576"/>
      <c r="C31" s="423"/>
      <c r="D31" s="83"/>
      <c r="E31" s="574"/>
      <c r="F31" s="558"/>
      <c r="G31" s="520">
        <f t="shared" si="0"/>
        <v>0</v>
      </c>
    </row>
    <row r="32" spans="1:8" x14ac:dyDescent="0.2">
      <c r="A32" s="69"/>
      <c r="B32" s="576"/>
      <c r="C32" s="423"/>
      <c r="D32" s="83"/>
      <c r="E32" s="574"/>
      <c r="F32" s="558"/>
      <c r="G32" s="520">
        <f t="shared" si="0"/>
        <v>0</v>
      </c>
    </row>
    <row r="33" spans="1:7" x14ac:dyDescent="0.2">
      <c r="A33" s="69"/>
      <c r="B33" s="576"/>
      <c r="C33" s="423"/>
      <c r="D33" s="83"/>
      <c r="E33" s="574"/>
      <c r="F33" s="558"/>
      <c r="G33" s="520">
        <f t="shared" si="0"/>
        <v>0</v>
      </c>
    </row>
    <row r="34" spans="1:7" x14ac:dyDescent="0.2">
      <c r="A34" s="69"/>
      <c r="B34" s="576"/>
      <c r="C34" s="423"/>
      <c r="D34" s="83"/>
      <c r="E34" s="574"/>
      <c r="F34" s="558"/>
      <c r="G34" s="520">
        <f t="shared" si="0"/>
        <v>0</v>
      </c>
    </row>
    <row r="35" spans="1:7" x14ac:dyDescent="0.2">
      <c r="A35" s="69"/>
      <c r="B35" s="576"/>
      <c r="C35" s="423"/>
      <c r="D35" s="83"/>
      <c r="E35" s="574"/>
      <c r="F35" s="558"/>
      <c r="G35" s="520">
        <f t="shared" si="0"/>
        <v>0</v>
      </c>
    </row>
    <row r="36" spans="1:7" x14ac:dyDescent="0.2">
      <c r="A36" s="86" t="str">
        <f>CONCATENATE("Total Tax Levy Funds for ",C10-1," Budgeted Year")</f>
        <v>Total Tax Levy Funds for 2024 Budgeted Year</v>
      </c>
      <c r="B36" s="76"/>
      <c r="C36" s="76"/>
      <c r="D36" s="87"/>
      <c r="E36" s="88">
        <f>SUM(E22:E35)</f>
        <v>0</v>
      </c>
    </row>
    <row r="37" spans="1:7" x14ac:dyDescent="0.2">
      <c r="A37" s="72"/>
      <c r="B37" s="69"/>
      <c r="C37" s="69"/>
      <c r="D37" s="89"/>
      <c r="E37" s="84"/>
    </row>
    <row r="38" spans="1:7" x14ac:dyDescent="0.2">
      <c r="A38" s="72" t="s">
        <v>48</v>
      </c>
      <c r="B38" s="69"/>
      <c r="C38" s="69"/>
      <c r="D38" s="69"/>
      <c r="E38" s="69"/>
    </row>
    <row r="39" spans="1:7" x14ac:dyDescent="0.2">
      <c r="A39" s="69"/>
      <c r="B39" s="82" t="s">
        <v>14</v>
      </c>
      <c r="C39" s="69"/>
      <c r="D39" s="90"/>
      <c r="E39" s="69"/>
    </row>
    <row r="40" spans="1:7" x14ac:dyDescent="0.2">
      <c r="A40" s="69"/>
      <c r="B40" s="85"/>
      <c r="C40" s="69"/>
      <c r="D40" s="83"/>
      <c r="E40" s="69"/>
    </row>
    <row r="41" spans="1:7" x14ac:dyDescent="0.2">
      <c r="A41" s="69"/>
      <c r="B41" s="85"/>
      <c r="C41" s="69"/>
      <c r="D41" s="83"/>
      <c r="E41" s="69"/>
    </row>
    <row r="42" spans="1:7" x14ac:dyDescent="0.2">
      <c r="A42" s="69"/>
      <c r="B42" s="85"/>
      <c r="C42" s="69"/>
      <c r="D42" s="83"/>
      <c r="E42" s="69"/>
    </row>
    <row r="43" spans="1:7" x14ac:dyDescent="0.2">
      <c r="A43" s="69"/>
      <c r="B43" s="85"/>
      <c r="C43" s="69"/>
      <c r="D43" s="83"/>
      <c r="E43" s="69"/>
    </row>
    <row r="44" spans="1:7" x14ac:dyDescent="0.2">
      <c r="A44" s="69"/>
      <c r="B44" s="85"/>
      <c r="C44" s="69"/>
      <c r="D44" s="83"/>
      <c r="E44" s="69"/>
    </row>
    <row r="45" spans="1:7" x14ac:dyDescent="0.2">
      <c r="A45" s="69"/>
      <c r="B45" s="85"/>
      <c r="C45" s="69"/>
      <c r="D45" s="83"/>
      <c r="E45" s="69"/>
    </row>
    <row r="46" spans="1:7" x14ac:dyDescent="0.2">
      <c r="A46" s="69"/>
      <c r="B46" s="85"/>
      <c r="C46" s="69"/>
      <c r="D46" s="83"/>
      <c r="E46" s="69"/>
    </row>
    <row r="47" spans="1:7" x14ac:dyDescent="0.2">
      <c r="A47" s="69"/>
      <c r="B47" s="85"/>
      <c r="C47" s="69"/>
      <c r="D47" s="83"/>
      <c r="E47" s="69"/>
    </row>
    <row r="48" spans="1:7" x14ac:dyDescent="0.2">
      <c r="A48" s="69"/>
      <c r="B48" s="85"/>
      <c r="C48" s="69"/>
      <c r="D48" s="83"/>
      <c r="E48" s="69"/>
    </row>
    <row r="49" spans="1:5" x14ac:dyDescent="0.2">
      <c r="A49" s="69"/>
      <c r="B49" s="91"/>
      <c r="C49" s="69"/>
      <c r="D49" s="83"/>
      <c r="E49" s="69"/>
    </row>
    <row r="50" spans="1:5" x14ac:dyDescent="0.2">
      <c r="A50" s="69"/>
      <c r="B50" s="91"/>
      <c r="C50" s="69"/>
      <c r="D50" s="83"/>
      <c r="E50" s="69"/>
    </row>
    <row r="51" spans="1:5" x14ac:dyDescent="0.2">
      <c r="A51" s="69"/>
      <c r="B51" s="91"/>
      <c r="C51" s="69"/>
      <c r="D51" s="83"/>
      <c r="E51" s="69"/>
    </row>
    <row r="52" spans="1:5" x14ac:dyDescent="0.2">
      <c r="A52" s="69"/>
      <c r="B52" s="91"/>
      <c r="C52" s="69"/>
      <c r="D52" s="83"/>
      <c r="E52" s="69"/>
    </row>
    <row r="53" spans="1:5" x14ac:dyDescent="0.2">
      <c r="A53" s="69"/>
      <c r="B53" s="91"/>
      <c r="C53" s="69"/>
      <c r="D53" s="83"/>
      <c r="E53" s="69"/>
    </row>
    <row r="54" spans="1:5" x14ac:dyDescent="0.2">
      <c r="A54" s="69"/>
      <c r="B54" s="91"/>
      <c r="C54" s="69"/>
      <c r="D54" s="83"/>
      <c r="E54" s="69"/>
    </row>
    <row r="55" spans="1:5" x14ac:dyDescent="0.2">
      <c r="A55" s="69" t="s">
        <v>70</v>
      </c>
      <c r="B55" s="554"/>
      <c r="C55" s="69"/>
      <c r="D55" s="69"/>
      <c r="E55" s="69"/>
    </row>
    <row r="56" spans="1:5" x14ac:dyDescent="0.2">
      <c r="A56" s="69">
        <v>1</v>
      </c>
      <c r="B56" s="555"/>
      <c r="C56" s="69"/>
      <c r="D56" s="83"/>
      <c r="E56" s="69"/>
    </row>
    <row r="57" spans="1:5" x14ac:dyDescent="0.2">
      <c r="A57" s="69">
        <v>2</v>
      </c>
      <c r="B57" s="91"/>
      <c r="C57" s="69"/>
      <c r="D57" s="83"/>
      <c r="E57" s="69"/>
    </row>
    <row r="58" spans="1:5" x14ac:dyDescent="0.2">
      <c r="A58" s="69">
        <v>3</v>
      </c>
      <c r="B58" s="91"/>
      <c r="C58" s="69"/>
      <c r="D58" s="83"/>
      <c r="E58" s="69"/>
    </row>
    <row r="59" spans="1:5" x14ac:dyDescent="0.2">
      <c r="A59" s="69">
        <v>4</v>
      </c>
      <c r="B59" s="91"/>
      <c r="C59" s="69"/>
      <c r="D59" s="83"/>
      <c r="E59" s="69"/>
    </row>
    <row r="60" spans="1:5" x14ac:dyDescent="0.2">
      <c r="A60" s="86" t="str">
        <f>CONCATENATE("Total Expenditures for ",C16-1," Budgeted Year")</f>
        <v>Total Expenditures for -1 Budgeted Year</v>
      </c>
      <c r="B60" s="554"/>
      <c r="C60" s="76"/>
      <c r="D60" s="92">
        <f>SUM(D22:D24,D26:D35,D39:D54,D56:D59)</f>
        <v>0</v>
      </c>
      <c r="E60" s="69"/>
    </row>
    <row r="61" spans="1:5" x14ac:dyDescent="0.2">
      <c r="A61" s="69" t="s">
        <v>71</v>
      </c>
      <c r="B61" s="554"/>
      <c r="C61" s="69"/>
      <c r="D61" s="69"/>
      <c r="E61" s="69"/>
    </row>
    <row r="62" spans="1:5" x14ac:dyDescent="0.2">
      <c r="A62" s="69">
        <v>1</v>
      </c>
      <c r="B62" s="555"/>
      <c r="C62" s="69"/>
      <c r="D62" s="93"/>
      <c r="E62" s="69"/>
    </row>
    <row r="63" spans="1:5" x14ac:dyDescent="0.2">
      <c r="A63" s="69">
        <v>2</v>
      </c>
      <c r="B63" s="91"/>
      <c r="C63" s="69"/>
      <c r="D63" s="93"/>
      <c r="E63" s="69"/>
    </row>
    <row r="64" spans="1:5" x14ac:dyDescent="0.2">
      <c r="A64" s="69">
        <v>3</v>
      </c>
      <c r="B64" s="91"/>
      <c r="C64" s="69"/>
      <c r="D64" s="93"/>
      <c r="E64" s="69"/>
    </row>
    <row r="65" spans="1:5" x14ac:dyDescent="0.2">
      <c r="A65" s="69">
        <v>4</v>
      </c>
      <c r="B65" s="91"/>
      <c r="C65" s="69"/>
      <c r="D65" s="93"/>
      <c r="E65" s="69"/>
    </row>
    <row r="66" spans="1:5" x14ac:dyDescent="0.2">
      <c r="A66" s="69">
        <v>5</v>
      </c>
      <c r="B66" s="91"/>
      <c r="C66" s="69"/>
      <c r="D66" s="93"/>
      <c r="E66" s="69"/>
    </row>
    <row r="67" spans="1:5" x14ac:dyDescent="0.2">
      <c r="A67" s="69" t="s">
        <v>72</v>
      </c>
      <c r="B67" s="554"/>
      <c r="C67" s="69"/>
      <c r="D67" s="69"/>
      <c r="E67" s="69"/>
    </row>
    <row r="68" spans="1:5" x14ac:dyDescent="0.2">
      <c r="A68" s="69">
        <v>1</v>
      </c>
      <c r="B68" s="555"/>
      <c r="C68" s="69"/>
      <c r="D68" s="69"/>
      <c r="E68" s="69"/>
    </row>
    <row r="69" spans="1:5" x14ac:dyDescent="0.2">
      <c r="A69" s="69">
        <v>2</v>
      </c>
      <c r="B69" s="91"/>
      <c r="C69" s="69"/>
      <c r="D69" s="69"/>
      <c r="E69" s="69"/>
    </row>
    <row r="70" spans="1:5" x14ac:dyDescent="0.2">
      <c r="A70" s="69">
        <v>3</v>
      </c>
      <c r="B70" s="91"/>
      <c r="C70" s="69"/>
      <c r="D70" s="69"/>
      <c r="E70" s="69"/>
    </row>
    <row r="71" spans="1:5" x14ac:dyDescent="0.2">
      <c r="A71" s="69">
        <v>4</v>
      </c>
      <c r="B71" s="91"/>
      <c r="C71" s="69"/>
      <c r="D71" s="69"/>
      <c r="E71" s="69"/>
    </row>
    <row r="72" spans="1:5" x14ac:dyDescent="0.2">
      <c r="A72" s="69">
        <v>5</v>
      </c>
      <c r="B72" s="91"/>
      <c r="C72" s="69"/>
      <c r="D72" s="69"/>
      <c r="E72" s="69"/>
    </row>
    <row r="73" spans="1:5" x14ac:dyDescent="0.2">
      <c r="A73" s="69" t="s">
        <v>73</v>
      </c>
      <c r="B73" s="554"/>
      <c r="C73" s="69"/>
      <c r="D73" s="69"/>
      <c r="E73" s="69"/>
    </row>
    <row r="74" spans="1:5" x14ac:dyDescent="0.2">
      <c r="A74" s="69">
        <v>1</v>
      </c>
      <c r="B74" s="555"/>
      <c r="C74" s="69"/>
      <c r="D74" s="69"/>
      <c r="E74" s="69"/>
    </row>
    <row r="75" spans="1:5" x14ac:dyDescent="0.2">
      <c r="A75" s="69">
        <v>2</v>
      </c>
      <c r="B75" s="91"/>
      <c r="C75" s="69"/>
      <c r="D75" s="69"/>
      <c r="E75" s="69"/>
    </row>
    <row r="76" spans="1:5" x14ac:dyDescent="0.2">
      <c r="A76" s="69">
        <v>3</v>
      </c>
      <c r="B76" s="91"/>
      <c r="C76" s="69"/>
      <c r="D76" s="69"/>
      <c r="E76" s="69"/>
    </row>
    <row r="77" spans="1:5" x14ac:dyDescent="0.2">
      <c r="A77" s="69">
        <v>4</v>
      </c>
      <c r="B77" s="91"/>
      <c r="C77" s="69"/>
      <c r="D77" s="69"/>
      <c r="E77" s="69"/>
    </row>
    <row r="78" spans="1:5" x14ac:dyDescent="0.2">
      <c r="A78" s="69">
        <v>5</v>
      </c>
      <c r="B78" s="91"/>
      <c r="C78" s="69"/>
      <c r="D78" s="69"/>
      <c r="E78" s="69"/>
    </row>
    <row r="79" spans="1:5" x14ac:dyDescent="0.2">
      <c r="A79" s="69" t="s">
        <v>74</v>
      </c>
      <c r="B79" s="554"/>
      <c r="C79" s="69"/>
      <c r="D79" s="69"/>
      <c r="E79" s="69"/>
    </row>
    <row r="80" spans="1:5" x14ac:dyDescent="0.2">
      <c r="A80" s="69">
        <v>1</v>
      </c>
      <c r="B80" s="555"/>
      <c r="C80" s="69"/>
      <c r="D80" s="69"/>
      <c r="E80" s="69"/>
    </row>
    <row r="81" spans="1:5" x14ac:dyDescent="0.2">
      <c r="A81" s="69">
        <v>2</v>
      </c>
      <c r="B81" s="91"/>
      <c r="C81" s="69"/>
      <c r="D81" s="69"/>
      <c r="E81" s="69"/>
    </row>
    <row r="82" spans="1:5" x14ac:dyDescent="0.2">
      <c r="A82" s="69">
        <v>3</v>
      </c>
      <c r="B82" s="91"/>
      <c r="C82" s="69"/>
      <c r="D82" s="69"/>
      <c r="E82" s="69"/>
    </row>
    <row r="83" spans="1:5" x14ac:dyDescent="0.2">
      <c r="A83" s="69">
        <v>4</v>
      </c>
      <c r="B83" s="91"/>
      <c r="C83" s="69"/>
      <c r="D83" s="69"/>
      <c r="E83" s="69"/>
    </row>
    <row r="84" spans="1:5" x14ac:dyDescent="0.2">
      <c r="A84" s="69">
        <v>5</v>
      </c>
      <c r="B84" s="91"/>
      <c r="C84" s="69"/>
      <c r="D84" s="69"/>
      <c r="E84" s="69"/>
    </row>
    <row r="85" spans="1:5" x14ac:dyDescent="0.2">
      <c r="A85" s="72"/>
      <c r="B85" s="69"/>
      <c r="C85" s="69"/>
      <c r="D85" s="69"/>
      <c r="E85" s="94"/>
    </row>
    <row r="86" spans="1:5" x14ac:dyDescent="0.2">
      <c r="A86" s="69"/>
      <c r="B86" s="69"/>
      <c r="C86" s="69"/>
      <c r="D86" s="69"/>
      <c r="E86" s="69"/>
    </row>
    <row r="87" spans="1:5" x14ac:dyDescent="0.2">
      <c r="A87" s="69"/>
      <c r="B87" s="69"/>
      <c r="C87" s="69"/>
      <c r="D87" s="559" t="str">
        <f>CONCATENATE("",C10-3," Tax Rate")</f>
        <v>2022 Tax Rate</v>
      </c>
      <c r="E87" s="69"/>
    </row>
    <row r="88" spans="1:5" x14ac:dyDescent="0.2">
      <c r="A88" s="562" t="str">
        <f>CONCATENATE("From the ",C10-1," Budget, Budget Summary Page")</f>
        <v>From the 2024 Budget, Budget Summary Page</v>
      </c>
      <c r="B88" s="563"/>
      <c r="C88" s="69"/>
      <c r="D88" s="560" t="str">
        <f>CONCATENATE("(",C10-2," Column)")</f>
        <v>(2023 Column)</v>
      </c>
      <c r="E88" s="69"/>
    </row>
    <row r="89" spans="1:5" x14ac:dyDescent="0.2">
      <c r="A89" s="69"/>
      <c r="B89" s="134" t="str">
        <f>B22</f>
        <v>General</v>
      </c>
      <c r="C89" s="69"/>
      <c r="D89" s="91"/>
      <c r="E89" s="69"/>
    </row>
    <row r="90" spans="1:5" x14ac:dyDescent="0.2">
      <c r="A90" s="69"/>
      <c r="B90" s="95" t="str">
        <f>B23</f>
        <v>Debt Service</v>
      </c>
      <c r="C90" s="69"/>
      <c r="D90" s="91"/>
      <c r="E90" s="69"/>
    </row>
    <row r="91" spans="1:5" x14ac:dyDescent="0.2">
      <c r="A91" s="69"/>
      <c r="B91" s="95" t="str">
        <f>B24</f>
        <v>Library</v>
      </c>
      <c r="C91" s="69"/>
      <c r="D91" s="91"/>
      <c r="E91" s="69"/>
    </row>
    <row r="92" spans="1:5" x14ac:dyDescent="0.2">
      <c r="A92" s="69"/>
      <c r="B92" s="95">
        <f t="shared" ref="B92:B101" si="1">B26</f>
        <v>0</v>
      </c>
      <c r="C92" s="69"/>
      <c r="D92" s="91"/>
      <c r="E92" s="69"/>
    </row>
    <row r="93" spans="1:5" x14ac:dyDescent="0.2">
      <c r="A93" s="69"/>
      <c r="B93" s="95">
        <f t="shared" si="1"/>
        <v>0</v>
      </c>
      <c r="C93" s="69"/>
      <c r="D93" s="91"/>
      <c r="E93" s="69"/>
    </row>
    <row r="94" spans="1:5" x14ac:dyDescent="0.2">
      <c r="A94" s="69"/>
      <c r="B94" s="95">
        <f t="shared" si="1"/>
        <v>0</v>
      </c>
      <c r="C94" s="69"/>
      <c r="D94" s="91"/>
      <c r="E94" s="69"/>
    </row>
    <row r="95" spans="1:5" x14ac:dyDescent="0.2">
      <c r="A95" s="69"/>
      <c r="B95" s="95">
        <f t="shared" si="1"/>
        <v>0</v>
      </c>
      <c r="C95" s="69"/>
      <c r="D95" s="91"/>
      <c r="E95" s="69"/>
    </row>
    <row r="96" spans="1:5" x14ac:dyDescent="0.2">
      <c r="A96" s="69"/>
      <c r="B96" s="95">
        <f t="shared" si="1"/>
        <v>0</v>
      </c>
      <c r="C96" s="69"/>
      <c r="D96" s="91"/>
      <c r="E96" s="69"/>
    </row>
    <row r="97" spans="1:5" x14ac:dyDescent="0.2">
      <c r="A97" s="69"/>
      <c r="B97" s="95">
        <f t="shared" si="1"/>
        <v>0</v>
      </c>
      <c r="C97" s="69"/>
      <c r="D97" s="91"/>
      <c r="E97" s="69"/>
    </row>
    <row r="98" spans="1:5" x14ac:dyDescent="0.2">
      <c r="A98" s="69"/>
      <c r="B98" s="95">
        <f t="shared" si="1"/>
        <v>0</v>
      </c>
      <c r="C98" s="69"/>
      <c r="D98" s="91"/>
      <c r="E98" s="69"/>
    </row>
    <row r="99" spans="1:5" x14ac:dyDescent="0.2">
      <c r="A99" s="69"/>
      <c r="B99" s="95">
        <f t="shared" si="1"/>
        <v>0</v>
      </c>
      <c r="C99" s="69"/>
      <c r="D99" s="91"/>
      <c r="E99" s="69"/>
    </row>
    <row r="100" spans="1:5" x14ac:dyDescent="0.2">
      <c r="A100" s="69"/>
      <c r="B100" s="95">
        <f t="shared" si="1"/>
        <v>0</v>
      </c>
      <c r="C100" s="69"/>
      <c r="D100" s="91"/>
      <c r="E100" s="69"/>
    </row>
    <row r="101" spans="1:5" x14ac:dyDescent="0.2">
      <c r="A101" s="69"/>
      <c r="B101" s="95">
        <f t="shared" si="1"/>
        <v>0</v>
      </c>
      <c r="C101" s="69"/>
      <c r="D101" s="91"/>
      <c r="E101" s="69"/>
    </row>
    <row r="102" spans="1:5" x14ac:dyDescent="0.2">
      <c r="A102" s="86" t="s">
        <v>142</v>
      </c>
      <c r="B102" s="76"/>
      <c r="C102" s="96"/>
      <c r="D102" s="97">
        <f>SUM(D89:D101)</f>
        <v>0</v>
      </c>
      <c r="E102" s="69"/>
    </row>
    <row r="103" spans="1:5" x14ac:dyDescent="0.2">
      <c r="A103" s="69"/>
      <c r="B103" s="69"/>
      <c r="C103" s="69"/>
      <c r="D103" s="69"/>
      <c r="E103" s="69"/>
    </row>
    <row r="104" spans="1:5" x14ac:dyDescent="0.2">
      <c r="A104" s="553" t="str">
        <f>CONCATENATE("Total Tax Levied (",C10-2," budget column)")</f>
        <v>Total Tax Levied (2023 budget column)</v>
      </c>
      <c r="B104" s="534"/>
      <c r="C104" s="76"/>
      <c r="D104" s="96"/>
      <c r="E104" s="83"/>
    </row>
    <row r="105" spans="1:5" x14ac:dyDescent="0.2">
      <c r="A105" s="553" t="str">
        <f>CONCATENATE("Assessed Valuation  (",C10-2," budget column)")</f>
        <v>Assessed Valuation  (2023 budget column)</v>
      </c>
      <c r="B105" s="534"/>
      <c r="C105" s="98"/>
      <c r="D105" s="99"/>
      <c r="E105" s="83"/>
    </row>
    <row r="106" spans="1:5" x14ac:dyDescent="0.2">
      <c r="A106" s="72"/>
      <c r="B106" s="69"/>
      <c r="C106" s="69"/>
      <c r="D106" s="69"/>
      <c r="E106" s="94"/>
    </row>
    <row r="107" spans="1:5" x14ac:dyDescent="0.2">
      <c r="A107" s="535" t="str">
        <f>CONCATENATE("From the ",C10-1," Budget, Budget Summary Page")</f>
        <v>From the 2024 Budget, Budget Summary Page</v>
      </c>
      <c r="B107" s="536"/>
      <c r="C107" s="69"/>
      <c r="D107" s="100"/>
      <c r="E107" s="101"/>
    </row>
    <row r="108" spans="1:5" x14ac:dyDescent="0.2">
      <c r="A108" s="537" t="s">
        <v>100</v>
      </c>
      <c r="B108" s="538"/>
      <c r="C108" s="102"/>
      <c r="D108" s="103">
        <f>C10-3</f>
        <v>2022</v>
      </c>
      <c r="E108" s="104">
        <f>C10-2</f>
        <v>2023</v>
      </c>
    </row>
    <row r="109" spans="1:5" x14ac:dyDescent="0.2">
      <c r="A109" s="539" t="s">
        <v>44</v>
      </c>
      <c r="B109" s="540"/>
      <c r="C109" s="105"/>
      <c r="D109" s="90"/>
      <c r="E109" s="90"/>
    </row>
    <row r="110" spans="1:5" x14ac:dyDescent="0.2">
      <c r="A110" s="541" t="s">
        <v>45</v>
      </c>
      <c r="B110" s="561"/>
      <c r="C110" s="106"/>
      <c r="D110" s="90"/>
      <c r="E110" s="90"/>
    </row>
    <row r="111" spans="1:5" x14ac:dyDescent="0.2">
      <c r="A111" s="541" t="s">
        <v>46</v>
      </c>
      <c r="B111" s="561"/>
      <c r="C111" s="106"/>
      <c r="D111" s="90"/>
      <c r="E111" s="90"/>
    </row>
    <row r="112" spans="1:5" x14ac:dyDescent="0.2">
      <c r="A112" s="541" t="s">
        <v>47</v>
      </c>
      <c r="B112" s="561"/>
      <c r="C112" s="106"/>
      <c r="D112" s="90"/>
      <c r="E112" s="90"/>
    </row>
    <row r="113" spans="1:5" x14ac:dyDescent="0.2">
      <c r="A113" s="107"/>
      <c r="B113" s="107"/>
      <c r="C113" s="107"/>
      <c r="D113" s="107"/>
      <c r="E113" s="107"/>
    </row>
    <row r="114" spans="1:5" x14ac:dyDescent="0.2">
      <c r="A114" s="107"/>
      <c r="B114" s="107"/>
      <c r="C114" s="107"/>
      <c r="D114" s="107"/>
      <c r="E114" s="107"/>
    </row>
    <row r="115" spans="1:5" x14ac:dyDescent="0.2">
      <c r="A115" s="107"/>
      <c r="B115" s="107"/>
      <c r="C115" s="107"/>
      <c r="D115" s="107"/>
      <c r="E115" s="107"/>
    </row>
    <row r="116" spans="1:5" x14ac:dyDescent="0.2">
      <c r="A116" s="107"/>
      <c r="B116" s="107"/>
      <c r="C116" s="107"/>
      <c r="D116" s="107"/>
      <c r="E116" s="107"/>
    </row>
    <row r="117" spans="1:5" x14ac:dyDescent="0.2">
      <c r="A117" s="107"/>
      <c r="B117" s="107"/>
      <c r="C117" s="107"/>
      <c r="D117" s="107"/>
      <c r="E117" s="107"/>
    </row>
    <row r="118" spans="1:5" x14ac:dyDescent="0.2">
      <c r="A118" s="107"/>
      <c r="B118" s="107"/>
      <c r="C118" s="107"/>
      <c r="D118" s="107"/>
      <c r="E118" s="107"/>
    </row>
    <row r="119" spans="1:5" s="107" customFormat="1" ht="15" x14ac:dyDescent="0.2"/>
    <row r="120" spans="1:5" x14ac:dyDescent="0.2">
      <c r="A120" s="107"/>
      <c r="B120" s="107"/>
      <c r="C120" s="107"/>
      <c r="D120" s="107"/>
      <c r="E120" s="107"/>
    </row>
    <row r="121" spans="1:5" x14ac:dyDescent="0.2">
      <c r="A121" s="107"/>
      <c r="B121" s="107"/>
      <c r="C121" s="107"/>
      <c r="D121" s="107"/>
      <c r="E121" s="107"/>
    </row>
    <row r="122" spans="1:5" x14ac:dyDescent="0.2">
      <c r="A122" s="107"/>
      <c r="B122" s="107"/>
      <c r="C122" s="107"/>
      <c r="D122" s="107"/>
      <c r="E122" s="107"/>
    </row>
    <row r="123" spans="1:5" x14ac:dyDescent="0.2">
      <c r="A123" s="107"/>
      <c r="B123" s="107"/>
      <c r="C123" s="107"/>
      <c r="D123" s="107"/>
      <c r="E123" s="107"/>
    </row>
    <row r="124" spans="1:5" x14ac:dyDescent="0.2">
      <c r="A124" s="107"/>
      <c r="B124" s="107"/>
      <c r="C124" s="107"/>
      <c r="D124" s="107"/>
      <c r="E124" s="107"/>
    </row>
    <row r="125" spans="1:5" x14ac:dyDescent="0.2">
      <c r="A125" s="107"/>
      <c r="B125" s="107"/>
      <c r="C125" s="107"/>
      <c r="D125" s="107"/>
      <c r="E125" s="107"/>
    </row>
    <row r="126" spans="1:5" x14ac:dyDescent="0.2">
      <c r="A126" s="107"/>
      <c r="B126" s="107"/>
      <c r="C126" s="107"/>
      <c r="D126" s="107"/>
      <c r="E126" s="107"/>
    </row>
    <row r="127" spans="1:5" x14ac:dyDescent="0.2">
      <c r="A127" s="107"/>
      <c r="B127" s="107"/>
      <c r="C127" s="107"/>
      <c r="D127" s="107"/>
      <c r="E127" s="107"/>
    </row>
    <row r="128" spans="1:5" x14ac:dyDescent="0.2">
      <c r="A128" s="107"/>
      <c r="B128" s="107"/>
      <c r="C128" s="107"/>
      <c r="D128" s="107"/>
      <c r="E128" s="107"/>
    </row>
    <row r="129" spans="1:5" x14ac:dyDescent="0.2">
      <c r="A129" s="107"/>
      <c r="B129" s="107"/>
      <c r="C129" s="107"/>
      <c r="D129" s="107"/>
      <c r="E129" s="107"/>
    </row>
    <row r="130" spans="1:5" x14ac:dyDescent="0.2">
      <c r="A130" s="107"/>
      <c r="B130" s="107"/>
      <c r="C130" s="107"/>
      <c r="D130" s="107"/>
      <c r="E130" s="107"/>
    </row>
  </sheetData>
  <sheetProtection sheet="1"/>
  <mergeCells count="9">
    <mergeCell ref="A15:E15"/>
    <mergeCell ref="A1:E1"/>
    <mergeCell ref="A12:E14"/>
    <mergeCell ref="G13:H19"/>
    <mergeCell ref="D3:E3"/>
    <mergeCell ref="D4:E4"/>
    <mergeCell ref="D6:E6"/>
    <mergeCell ref="D8:E8"/>
    <mergeCell ref="D7:E7"/>
  </mergeCells>
  <phoneticPr fontId="0" type="noConversion"/>
  <pageMargins left="0.5" right="0.5" top="1" bottom="0.5" header="0.5" footer="0.25"/>
  <pageSetup scale="72"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F0"/>
    <pageSetUpPr fitToPage="1"/>
  </sheetPr>
  <dimension ref="B1:K97"/>
  <sheetViews>
    <sheetView zoomScaleNormal="100" workbookViewId="0">
      <selection activeCell="B10" sqref="B10"/>
    </sheetView>
  </sheetViews>
  <sheetFormatPr defaultColWidth="8.88671875" defaultRowHeight="15.75" x14ac:dyDescent="0.2"/>
  <cols>
    <col min="1" max="1" width="2.44140625" style="65" customWidth="1"/>
    <col min="2" max="2" width="31.109375" style="65" customWidth="1"/>
    <col min="3" max="4" width="15.77734375" style="65" customWidth="1"/>
    <col min="5" max="5" width="16.21875" style="65" customWidth="1"/>
    <col min="6" max="6" width="8.109375" style="65" customWidth="1"/>
    <col min="7" max="7" width="10.21875" style="65" customWidth="1"/>
    <col min="8" max="8" width="8.88671875" style="65"/>
    <col min="9" max="9" width="5.6640625" style="65" customWidth="1"/>
    <col min="10" max="10" width="10" style="65" customWidth="1"/>
    <col min="11" max="16384" width="8.88671875" style="65"/>
  </cols>
  <sheetData>
    <row r="1" spans="2:10" x14ac:dyDescent="0.2">
      <c r="B1" s="89">
        <f>(inputPrYr!D3)</f>
        <v>0</v>
      </c>
      <c r="C1" s="69"/>
      <c r="D1" s="69"/>
      <c r="E1" s="135">
        <f>inputPrYr!C10</f>
        <v>2025</v>
      </c>
    </row>
    <row r="2" spans="2:10" x14ac:dyDescent="0.2">
      <c r="B2" s="69"/>
      <c r="C2" s="69"/>
      <c r="D2" s="69"/>
      <c r="E2" s="161"/>
    </row>
    <row r="3" spans="2:10" x14ac:dyDescent="0.2">
      <c r="B3" s="239" t="s">
        <v>5</v>
      </c>
      <c r="C3" s="169"/>
      <c r="D3" s="169"/>
      <c r="E3" s="238"/>
    </row>
    <row r="4" spans="2:10" x14ac:dyDescent="0.2">
      <c r="B4" s="72" t="s">
        <v>162</v>
      </c>
      <c r="C4" s="392" t="s">
        <v>359</v>
      </c>
      <c r="D4" s="393" t="s">
        <v>360</v>
      </c>
      <c r="E4" s="142" t="s">
        <v>361</v>
      </c>
    </row>
    <row r="5" spans="2:10" x14ac:dyDescent="0.2">
      <c r="B5" s="377">
        <f>inputPrYr!B34</f>
        <v>0</v>
      </c>
      <c r="C5" s="318" t="str">
        <f>CONCATENATE("Actual for ",E1-2,"")</f>
        <v>Actual for 2023</v>
      </c>
      <c r="D5" s="318" t="str">
        <f>CONCATENATE("Estimate for ",E1-1,"")</f>
        <v>Estimate for 2024</v>
      </c>
      <c r="E5" s="176" t="str">
        <f>CONCATENATE("Year for ",E1,"")</f>
        <v>Year for 2025</v>
      </c>
    </row>
    <row r="6" spans="2:10" x14ac:dyDescent="0.2">
      <c r="B6" s="256" t="s">
        <v>18</v>
      </c>
      <c r="C6" s="311"/>
      <c r="D6" s="316">
        <f>C35</f>
        <v>0</v>
      </c>
      <c r="E6" s="243">
        <f>D35</f>
        <v>0</v>
      </c>
    </row>
    <row r="7" spans="2:10" x14ac:dyDescent="0.2">
      <c r="B7" s="257" t="s">
        <v>20</v>
      </c>
      <c r="C7" s="156"/>
      <c r="D7" s="156"/>
      <c r="E7" s="95"/>
    </row>
    <row r="8" spans="2:10" x14ac:dyDescent="0.2">
      <c r="B8" s="118" t="s">
        <v>163</v>
      </c>
      <c r="C8" s="311"/>
      <c r="D8" s="316">
        <f>IF(inputPrYr!H21&gt;0,inputPrYr!G34,inputPrYr!E34)</f>
        <v>0</v>
      </c>
      <c r="E8" s="262" t="s">
        <v>152</v>
      </c>
    </row>
    <row r="9" spans="2:10" x14ac:dyDescent="0.2">
      <c r="B9" s="118" t="s">
        <v>164</v>
      </c>
      <c r="C9" s="311"/>
      <c r="D9" s="311"/>
      <c r="E9" s="83"/>
    </row>
    <row r="10" spans="2:10" x14ac:dyDescent="0.2">
      <c r="B10" s="118" t="s">
        <v>165</v>
      </c>
      <c r="C10" s="311"/>
      <c r="D10" s="311"/>
      <c r="E10" s="243" t="str">
        <f>Mvalloc!D19</f>
        <v xml:space="preserve">  </v>
      </c>
    </row>
    <row r="11" spans="2:10" x14ac:dyDescent="0.2">
      <c r="B11" s="118" t="s">
        <v>166</v>
      </c>
      <c r="C11" s="311"/>
      <c r="D11" s="311"/>
      <c r="E11" s="243" t="str">
        <f>Mvalloc!E19</f>
        <v xml:space="preserve"> </v>
      </c>
    </row>
    <row r="12" spans="2:10" x14ac:dyDescent="0.2">
      <c r="B12" s="156" t="s">
        <v>12</v>
      </c>
      <c r="C12" s="311"/>
      <c r="D12" s="311"/>
      <c r="E12" s="243" t="str">
        <f>Mvalloc!F19</f>
        <v xml:space="preserve"> </v>
      </c>
      <c r="G12" s="806" t="str">
        <f>CONCATENATE("Desired Carryover Into ",E1+1,"")</f>
        <v>Desired Carryover Into 2026</v>
      </c>
      <c r="H12" s="792"/>
      <c r="I12" s="792"/>
      <c r="J12" s="793"/>
    </row>
    <row r="13" spans="2:10" x14ac:dyDescent="0.2">
      <c r="B13" s="256" t="s">
        <v>503</v>
      </c>
      <c r="C13" s="311"/>
      <c r="D13" s="311"/>
      <c r="E13" s="243" t="str">
        <f>Mvalloc!G19</f>
        <v xml:space="preserve"> </v>
      </c>
      <c r="G13" s="474"/>
      <c r="H13" s="286"/>
      <c r="I13" s="475"/>
      <c r="J13" s="476"/>
    </row>
    <row r="14" spans="2:10" x14ac:dyDescent="0.2">
      <c r="B14" s="256" t="s">
        <v>504</v>
      </c>
      <c r="C14" s="311"/>
      <c r="D14" s="311"/>
      <c r="E14" s="243" t="str">
        <f>Mvalloc!H19</f>
        <v xml:space="preserve"> </v>
      </c>
      <c r="G14" s="477" t="s">
        <v>341</v>
      </c>
      <c r="H14" s="475"/>
      <c r="I14" s="475"/>
      <c r="J14" s="478">
        <v>0</v>
      </c>
    </row>
    <row r="15" spans="2:10" x14ac:dyDescent="0.2">
      <c r="B15" s="245"/>
      <c r="C15" s="311"/>
      <c r="D15" s="311"/>
      <c r="E15" s="83"/>
      <c r="G15" s="474" t="s">
        <v>342</v>
      </c>
      <c r="H15" s="286"/>
      <c r="I15" s="286"/>
      <c r="J15" s="495" t="str">
        <f>IF(J14=0,"",ROUND((J14+E41-G27)/inputOth!B14*1000,3)-G32)</f>
        <v/>
      </c>
    </row>
    <row r="16" spans="2:10" x14ac:dyDescent="0.2">
      <c r="B16" s="245"/>
      <c r="C16" s="311"/>
      <c r="D16" s="311"/>
      <c r="E16" s="83"/>
      <c r="G16" s="480" t="str">
        <f>CONCATENATE("",E1," Tot Exp/Non-Appr Must Be:")</f>
        <v>2025 Tot Exp/Non-Appr Must Be:</v>
      </c>
      <c r="H16" s="481"/>
      <c r="I16" s="482"/>
      <c r="J16" s="483">
        <f>IF(J14&gt;0,IF(E38&lt;E23,IF(J14=G27,E38,((J14-G27)*(1-D40))+E23),E38+(J14-G27)),0)</f>
        <v>0</v>
      </c>
    </row>
    <row r="17" spans="2:11" x14ac:dyDescent="0.2">
      <c r="B17" s="245"/>
      <c r="C17" s="311"/>
      <c r="D17" s="311"/>
      <c r="E17" s="83"/>
      <c r="G17" s="455" t="s">
        <v>424</v>
      </c>
      <c r="H17" s="484"/>
      <c r="I17" s="484"/>
      <c r="J17" s="457">
        <f>IF(J14&gt;0,J16-E38,0)</f>
        <v>0</v>
      </c>
    </row>
    <row r="18" spans="2:11" x14ac:dyDescent="0.25">
      <c r="B18" s="258" t="s">
        <v>170</v>
      </c>
      <c r="C18" s="311"/>
      <c r="D18" s="311"/>
      <c r="E18" s="83"/>
      <c r="J18" s="3"/>
    </row>
    <row r="19" spans="2:11" x14ac:dyDescent="0.2">
      <c r="B19" s="249" t="s">
        <v>117</v>
      </c>
      <c r="C19" s="311"/>
      <c r="D19" s="311"/>
      <c r="E19" s="275">
        <f>'NR Rebate'!E17*-1</f>
        <v>0</v>
      </c>
      <c r="G19" s="806" t="str">
        <f>CONCATENATE("Projected Carryover Into ",E1+1,"")</f>
        <v>Projected Carryover Into 2026</v>
      </c>
      <c r="H19" s="808"/>
      <c r="I19" s="808"/>
      <c r="J19" s="810"/>
    </row>
    <row r="20" spans="2:11" x14ac:dyDescent="0.25">
      <c r="B20" s="249" t="s">
        <v>118</v>
      </c>
      <c r="C20" s="311"/>
      <c r="D20" s="311"/>
      <c r="E20" s="83"/>
      <c r="G20" s="474"/>
      <c r="H20" s="475"/>
      <c r="I20" s="475"/>
      <c r="J20" s="496"/>
    </row>
    <row r="21" spans="2:11" x14ac:dyDescent="0.25">
      <c r="B21" s="249" t="s">
        <v>334</v>
      </c>
      <c r="C21" s="312" t="str">
        <f>IF(C22*0.1&lt;C20,"Exceed 10% Rule","")</f>
        <v/>
      </c>
      <c r="D21" s="312" t="str">
        <f>IF(D22*0.1&lt;D20,"Exceed 10% Rule","")</f>
        <v/>
      </c>
      <c r="E21" s="272" t="str">
        <f>IF(E22*0.1+E41&lt;E20,"Exceed 10% Rule","")</f>
        <v/>
      </c>
      <c r="G21" s="497">
        <f>D35</f>
        <v>0</v>
      </c>
      <c r="H21" s="469" t="str">
        <f>CONCATENATE("",E1-1," Ending Cash Balance (est.)")</f>
        <v>2024 Ending Cash Balance (est.)</v>
      </c>
      <c r="I21" s="498"/>
      <c r="J21" s="496"/>
    </row>
    <row r="22" spans="2:11" x14ac:dyDescent="0.25">
      <c r="B22" s="251" t="s">
        <v>171</v>
      </c>
      <c r="C22" s="315">
        <f>SUM(C8:C20)</f>
        <v>0</v>
      </c>
      <c r="D22" s="315">
        <f>SUM(D8:D20)</f>
        <v>0</v>
      </c>
      <c r="E22" s="253">
        <f>SUM(E8:E20)</f>
        <v>0</v>
      </c>
      <c r="G22" s="497">
        <f>E22</f>
        <v>0</v>
      </c>
      <c r="H22" s="475" t="str">
        <f>CONCATENATE("",E1," Non-AV Receipts (est.)")</f>
        <v>2025 Non-AV Receipts (est.)</v>
      </c>
      <c r="I22" s="498"/>
      <c r="J22" s="496"/>
    </row>
    <row r="23" spans="2:11" x14ac:dyDescent="0.2">
      <c r="B23" s="251" t="s">
        <v>172</v>
      </c>
      <c r="C23" s="315">
        <f>C6+C22</f>
        <v>0</v>
      </c>
      <c r="D23" s="315">
        <f>D6+D22</f>
        <v>0</v>
      </c>
      <c r="E23" s="253">
        <f>E6+E22</f>
        <v>0</v>
      </c>
      <c r="G23" s="499">
        <f>IF(E40&gt;0,E39,E41)</f>
        <v>0</v>
      </c>
      <c r="H23" s="475" t="str">
        <f>CONCATENATE("",E1," Ad Valorem Tax (est.)")</f>
        <v>2025 Ad Valorem Tax (est.)</v>
      </c>
      <c r="I23" s="498"/>
      <c r="J23" s="500"/>
      <c r="K23" s="490" t="str">
        <f>IF(G23=E41,"","Note: Does not include Delinquent Taxes")</f>
        <v/>
      </c>
    </row>
    <row r="24" spans="2:11" x14ac:dyDescent="0.25">
      <c r="B24" s="118" t="s">
        <v>174</v>
      </c>
      <c r="C24" s="249"/>
      <c r="D24" s="249"/>
      <c r="E24" s="82"/>
      <c r="G24" s="497">
        <f>SUM(G21:G23)</f>
        <v>0</v>
      </c>
      <c r="H24" s="475" t="str">
        <f>CONCATENATE("Total ",E1," Resources Available")</f>
        <v>Total 2025 Resources Available</v>
      </c>
      <c r="I24" s="498"/>
      <c r="J24" s="496"/>
    </row>
    <row r="25" spans="2:11" x14ac:dyDescent="0.25">
      <c r="B25" s="245"/>
      <c r="C25" s="311"/>
      <c r="D25" s="311"/>
      <c r="E25" s="83"/>
      <c r="G25" s="501"/>
      <c r="H25" s="475"/>
      <c r="I25" s="475"/>
      <c r="J25" s="496"/>
    </row>
    <row r="26" spans="2:11" x14ac:dyDescent="0.25">
      <c r="B26" s="245"/>
      <c r="C26" s="311"/>
      <c r="D26" s="311"/>
      <c r="E26" s="83"/>
      <c r="G26" s="499">
        <f>ROUND(C34*0.05+C34,0)</f>
        <v>0</v>
      </c>
      <c r="H26" s="475" t="str">
        <f>CONCATENATE("Less ",E1-2," Expenditures + 5%")</f>
        <v>Less 2023 Expenditures + 5%</v>
      </c>
      <c r="I26" s="498"/>
      <c r="J26" s="496"/>
    </row>
    <row r="27" spans="2:11" x14ac:dyDescent="0.25">
      <c r="B27" s="245"/>
      <c r="C27" s="311"/>
      <c r="D27" s="311"/>
      <c r="E27" s="83"/>
      <c r="G27" s="502">
        <f>G24-G26</f>
        <v>0</v>
      </c>
      <c r="H27" s="503" t="str">
        <f>CONCATENATE("Projected ",E1+1," carryover (est.)")</f>
        <v>Projected 2026 carryover (est.)</v>
      </c>
      <c r="I27" s="504"/>
      <c r="J27" s="505"/>
    </row>
    <row r="28" spans="2:11" x14ac:dyDescent="0.25">
      <c r="B28" s="245"/>
      <c r="C28" s="311"/>
      <c r="D28" s="311"/>
      <c r="E28" s="83"/>
      <c r="G28" s="3"/>
      <c r="H28" s="3"/>
      <c r="I28" s="3"/>
      <c r="J28" s="3"/>
    </row>
    <row r="29" spans="2:11" x14ac:dyDescent="0.2">
      <c r="B29" s="245"/>
      <c r="C29" s="311"/>
      <c r="D29" s="311"/>
      <c r="E29" s="83"/>
      <c r="G29" s="794" t="s">
        <v>635</v>
      </c>
      <c r="H29" s="795"/>
      <c r="I29" s="795"/>
      <c r="J29" s="796"/>
    </row>
    <row r="30" spans="2:11" x14ac:dyDescent="0.2">
      <c r="B30" s="245"/>
      <c r="C30" s="311"/>
      <c r="D30" s="311"/>
      <c r="E30" s="83"/>
      <c r="G30" s="797"/>
      <c r="H30" s="798"/>
      <c r="I30" s="798"/>
      <c r="J30" s="799"/>
    </row>
    <row r="31" spans="2:11" x14ac:dyDescent="0.2">
      <c r="B31" s="249" t="str">
        <f>CONCATENATE("Cash Reserve (",E1," column)")</f>
        <v>Cash Reserve (2025 column)</v>
      </c>
      <c r="C31" s="311"/>
      <c r="D31" s="311"/>
      <c r="E31" s="83"/>
      <c r="G31" s="472" t="str">
        <f>'Budget Hearing Notice'!H30</f>
        <v xml:space="preserve">  </v>
      </c>
      <c r="H31" s="469" t="str">
        <f>CONCATENATE("",E1," Estimated Fund Mill Rate")</f>
        <v>2025 Estimated Fund Mill Rate</v>
      </c>
      <c r="I31" s="470"/>
      <c r="J31" s="471"/>
    </row>
    <row r="32" spans="2:11" x14ac:dyDescent="0.2">
      <c r="B32" s="249" t="s">
        <v>118</v>
      </c>
      <c r="C32" s="311"/>
      <c r="D32" s="311"/>
      <c r="E32" s="83"/>
      <c r="G32" s="633" t="str">
        <f>'Budget Hearing Notice'!E30</f>
        <v xml:space="preserve">  </v>
      </c>
      <c r="H32" s="469" t="str">
        <f>CONCATENATE("",E1-1," Fund Mill Rate")</f>
        <v>2024 Fund Mill Rate</v>
      </c>
      <c r="I32" s="470"/>
      <c r="J32" s="471"/>
    </row>
    <row r="33" spans="2:10" x14ac:dyDescent="0.2">
      <c r="B33" s="249" t="s">
        <v>333</v>
      </c>
      <c r="C33" s="312" t="str">
        <f>IF(C34*0.1&lt;C32,"Exceed 10% Rule","")</f>
        <v/>
      </c>
      <c r="D33" s="312" t="str">
        <f>IF(D34*0.1&lt;D32,"Exceed 10% Rule","")</f>
        <v/>
      </c>
      <c r="E33" s="272" t="str">
        <f>IF(E34*0.1&lt;E32,"Exceed 10% Rule","")</f>
        <v/>
      </c>
      <c r="G33" s="634">
        <f>'Budget Hearing Notice'!H57</f>
        <v>0</v>
      </c>
      <c r="H33" s="635" t="s">
        <v>636</v>
      </c>
      <c r="I33" s="470"/>
      <c r="J33" s="471"/>
    </row>
    <row r="34" spans="2:10" x14ac:dyDescent="0.2">
      <c r="B34" s="251" t="s">
        <v>178</v>
      </c>
      <c r="C34" s="315">
        <f>SUM(C25:C32)</f>
        <v>0</v>
      </c>
      <c r="D34" s="315">
        <f>SUM(D25:D32)</f>
        <v>0</v>
      </c>
      <c r="E34" s="253">
        <f>SUM(E25:E32)</f>
        <v>0</v>
      </c>
      <c r="G34" s="472">
        <f>'Budget Hearing Notice'!H56</f>
        <v>0</v>
      </c>
      <c r="H34" s="469" t="str">
        <f>CONCATENATE(E1," Estimated Total Mill Rate")</f>
        <v>2025 Estimated Total Mill Rate</v>
      </c>
      <c r="I34" s="470"/>
      <c r="J34" s="471"/>
    </row>
    <row r="35" spans="2:10" x14ac:dyDescent="0.2">
      <c r="B35" s="118" t="s">
        <v>19</v>
      </c>
      <c r="C35" s="313">
        <f>C23-C34</f>
        <v>0</v>
      </c>
      <c r="D35" s="313">
        <f>D23-D34</f>
        <v>0</v>
      </c>
      <c r="E35" s="262" t="s">
        <v>152</v>
      </c>
      <c r="G35" s="473">
        <f>'Budget Hearing Notice'!E56</f>
        <v>0</v>
      </c>
      <c r="H35" s="469" t="str">
        <f>CONCATENATE(E1-1," Total Mill Rate")</f>
        <v>2024 Total Mill Rate</v>
      </c>
      <c r="I35" s="470"/>
      <c r="J35" s="471"/>
    </row>
    <row r="36" spans="2:10" x14ac:dyDescent="0.2">
      <c r="B36" s="164" t="str">
        <f>CONCATENATE("",E1-2,"/",E1-1,"/",E1," Budget Authority Amount:")</f>
        <v>2023/2024/2025 Budget Authority Amount:</v>
      </c>
      <c r="C36" s="270">
        <f>inputOth!B93</f>
        <v>0</v>
      </c>
      <c r="D36" s="270">
        <f>inputPrYr!D34</f>
        <v>0</v>
      </c>
      <c r="E36" s="243">
        <f>E34</f>
        <v>0</v>
      </c>
      <c r="G36" s="332"/>
      <c r="H36" s="286"/>
      <c r="I36" s="286"/>
      <c r="J36" s="331"/>
    </row>
    <row r="37" spans="2:10" x14ac:dyDescent="0.2">
      <c r="B37" s="135"/>
      <c r="C37" s="785" t="s">
        <v>338</v>
      </c>
      <c r="D37" s="786"/>
      <c r="E37" s="83"/>
      <c r="F37" s="263"/>
      <c r="G37" s="800" t="s">
        <v>637</v>
      </c>
      <c r="H37" s="801"/>
      <c r="I37" s="801"/>
      <c r="J37" s="804" t="str">
        <f>IF(G34&gt;G33, "Yes", "No")</f>
        <v>No</v>
      </c>
    </row>
    <row r="38" spans="2:10" x14ac:dyDescent="0.2">
      <c r="B38" s="364" t="str">
        <f>CONCATENATE(C94,"     ",D94)</f>
        <v xml:space="preserve">     </v>
      </c>
      <c r="C38" s="787" t="s">
        <v>339</v>
      </c>
      <c r="D38" s="788"/>
      <c r="E38" s="243">
        <f>E34+E37</f>
        <v>0</v>
      </c>
      <c r="F38" s="522" t="str">
        <f>IF(E34/0.95-E34&lt;E37,"Exceeds 5%","")</f>
        <v/>
      </c>
      <c r="G38" s="802"/>
      <c r="H38" s="803"/>
      <c r="I38" s="803"/>
      <c r="J38" s="805"/>
    </row>
    <row r="39" spans="2:10" x14ac:dyDescent="0.2">
      <c r="B39" s="364" t="str">
        <f>CONCATENATE(C95,"     ",D95)</f>
        <v xml:space="preserve">     </v>
      </c>
      <c r="C39" s="255"/>
      <c r="D39" s="161" t="s">
        <v>179</v>
      </c>
      <c r="E39" s="92">
        <f>IF(E38-E23&gt;0,E38-E23,0)</f>
        <v>0</v>
      </c>
      <c r="G39" s="781" t="str">
        <f>IF(J37="Yes", "Follow procedure prescribed by KSA 79-2988 to exceed the Revenue Neutral Rate.", " ")</f>
        <v xml:space="preserve"> </v>
      </c>
      <c r="H39" s="781"/>
      <c r="I39" s="781"/>
      <c r="J39" s="781"/>
    </row>
    <row r="40" spans="2:10" x14ac:dyDescent="0.2">
      <c r="B40" s="161"/>
      <c r="C40" s="333" t="s">
        <v>340</v>
      </c>
      <c r="D40" s="515">
        <f>inputOth!$E$67</f>
        <v>0</v>
      </c>
      <c r="E40" s="243">
        <f>ROUND(IF(D40&gt;0,(E39*D40),0),0)</f>
        <v>0</v>
      </c>
      <c r="G40" s="782"/>
      <c r="H40" s="782"/>
      <c r="I40" s="782"/>
      <c r="J40" s="782"/>
    </row>
    <row r="41" spans="2:10" ht="16.5" thickBot="1" x14ac:dyDescent="0.25">
      <c r="B41" s="69"/>
      <c r="C41" s="783" t="str">
        <f>CONCATENATE("Amount of  ",$E$1-1," Ad Valorem Tax")</f>
        <v>Amount of  2024 Ad Valorem Tax</v>
      </c>
      <c r="D41" s="784"/>
      <c r="E41" s="266">
        <f>E39+E40</f>
        <v>0</v>
      </c>
      <c r="G41" s="782"/>
      <c r="H41" s="782"/>
      <c r="I41" s="782"/>
      <c r="J41" s="782"/>
    </row>
    <row r="42" spans="2:10" ht="16.5" thickTop="1" x14ac:dyDescent="0.2">
      <c r="B42" s="69"/>
      <c r="C42" s="69"/>
      <c r="D42" s="69"/>
      <c r="E42" s="69"/>
    </row>
    <row r="43" spans="2:10" x14ac:dyDescent="0.2">
      <c r="B43" s="72"/>
      <c r="C43" s="140"/>
      <c r="D43" s="140"/>
      <c r="E43" s="140"/>
    </row>
    <row r="44" spans="2:10" x14ac:dyDescent="0.2">
      <c r="B44" s="72" t="s">
        <v>162</v>
      </c>
      <c r="C44" s="392" t="s">
        <v>359</v>
      </c>
      <c r="D44" s="393" t="s">
        <v>362</v>
      </c>
      <c r="E44" s="142" t="s">
        <v>361</v>
      </c>
    </row>
    <row r="45" spans="2:10" x14ac:dyDescent="0.2">
      <c r="B45" s="377">
        <f>inputPrYr!B35</f>
        <v>0</v>
      </c>
      <c r="C45" s="318" t="str">
        <f>C5</f>
        <v>Actual for 2023</v>
      </c>
      <c r="D45" s="318" t="str">
        <f>D5</f>
        <v>Estimate for 2024</v>
      </c>
      <c r="E45" s="176" t="str">
        <f>E5</f>
        <v>Year for 2025</v>
      </c>
    </row>
    <row r="46" spans="2:10" x14ac:dyDescent="0.2">
      <c r="B46" s="256" t="s">
        <v>18</v>
      </c>
      <c r="C46" s="311"/>
      <c r="D46" s="316">
        <f>C74</f>
        <v>0</v>
      </c>
      <c r="E46" s="243">
        <f>D74</f>
        <v>0</v>
      </c>
    </row>
    <row r="47" spans="2:10" x14ac:dyDescent="0.2">
      <c r="B47" s="257" t="s">
        <v>20</v>
      </c>
      <c r="C47" s="156"/>
      <c r="D47" s="156"/>
      <c r="E47" s="95"/>
    </row>
    <row r="48" spans="2:10" x14ac:dyDescent="0.2">
      <c r="B48" s="118" t="s">
        <v>163</v>
      </c>
      <c r="C48" s="311"/>
      <c r="D48" s="316">
        <f>IF(inputPrYr!H21&gt;0,inputPrYr!G35,inputPrYr!E35)</f>
        <v>0</v>
      </c>
      <c r="E48" s="262" t="s">
        <v>152</v>
      </c>
    </row>
    <row r="49" spans="2:11" x14ac:dyDescent="0.2">
      <c r="B49" s="118" t="s">
        <v>164</v>
      </c>
      <c r="C49" s="311"/>
      <c r="D49" s="311"/>
      <c r="E49" s="83"/>
    </row>
    <row r="50" spans="2:11" x14ac:dyDescent="0.2">
      <c r="B50" s="118" t="s">
        <v>165</v>
      </c>
      <c r="C50" s="311"/>
      <c r="D50" s="311"/>
      <c r="E50" s="243" t="str">
        <f>Mvalloc!D20</f>
        <v xml:space="preserve">  </v>
      </c>
    </row>
    <row r="51" spans="2:11" x14ac:dyDescent="0.2">
      <c r="B51" s="118" t="s">
        <v>166</v>
      </c>
      <c r="C51" s="311"/>
      <c r="D51" s="311"/>
      <c r="E51" s="243" t="str">
        <f>Mvalloc!E20</f>
        <v xml:space="preserve"> </v>
      </c>
      <c r="G51" s="806" t="str">
        <f>CONCATENATE("Desired Carryover Into ",E1+1,"")</f>
        <v>Desired Carryover Into 2026</v>
      </c>
      <c r="H51" s="792"/>
      <c r="I51" s="792"/>
      <c r="J51" s="793"/>
    </row>
    <row r="52" spans="2:11" x14ac:dyDescent="0.2">
      <c r="B52" s="156" t="s">
        <v>12</v>
      </c>
      <c r="C52" s="311"/>
      <c r="D52" s="311"/>
      <c r="E52" s="243" t="str">
        <f>Mvalloc!F20</f>
        <v xml:space="preserve"> </v>
      </c>
      <c r="G52" s="474"/>
      <c r="H52" s="286"/>
      <c r="I52" s="475"/>
      <c r="J52" s="476"/>
    </row>
    <row r="53" spans="2:11" x14ac:dyDescent="0.2">
      <c r="B53" s="256" t="s">
        <v>503</v>
      </c>
      <c r="C53" s="311"/>
      <c r="D53" s="311"/>
      <c r="E53" s="243" t="str">
        <f>Mvalloc!G20</f>
        <v xml:space="preserve"> </v>
      </c>
      <c r="G53" s="477" t="s">
        <v>341</v>
      </c>
      <c r="H53" s="475"/>
      <c r="I53" s="475"/>
      <c r="J53" s="478">
        <v>0</v>
      </c>
    </row>
    <row r="54" spans="2:11" x14ac:dyDescent="0.2">
      <c r="B54" s="256" t="s">
        <v>504</v>
      </c>
      <c r="C54" s="311"/>
      <c r="D54" s="311"/>
      <c r="E54" s="243" t="str">
        <f>Mvalloc!H20</f>
        <v xml:space="preserve"> </v>
      </c>
      <c r="G54" s="474" t="s">
        <v>342</v>
      </c>
      <c r="H54" s="286"/>
      <c r="I54" s="286"/>
      <c r="J54" s="495" t="str">
        <f>IF(J53=0,"",ROUND((J53+E80-G66)/inputOth!B14*1000,3)-G71)</f>
        <v/>
      </c>
    </row>
    <row r="55" spans="2:11" x14ac:dyDescent="0.2">
      <c r="B55" s="245"/>
      <c r="C55" s="311"/>
      <c r="D55" s="311"/>
      <c r="E55" s="83"/>
      <c r="G55" s="480" t="str">
        <f>CONCATENATE("",E1," Tot Exp/Non-Appr Must Be:")</f>
        <v>2025 Tot Exp/Non-Appr Must Be:</v>
      </c>
      <c r="H55" s="481"/>
      <c r="I55" s="482"/>
      <c r="J55" s="483">
        <f>IF(J53&gt;0,IF(E77&lt;E63,IF(J53=G66,E77,((J53-G66)*(1-D79))+E63),E77+(J53-G66)),0)</f>
        <v>0</v>
      </c>
    </row>
    <row r="56" spans="2:11" x14ac:dyDescent="0.2">
      <c r="B56" s="245"/>
      <c r="C56" s="311"/>
      <c r="D56" s="311"/>
      <c r="E56" s="83"/>
      <c r="G56" s="455" t="s">
        <v>424</v>
      </c>
      <c r="H56" s="484"/>
      <c r="I56" s="484"/>
      <c r="J56" s="457">
        <f>IF(J53&gt;0,J55-E77,0)</f>
        <v>0</v>
      </c>
    </row>
    <row r="57" spans="2:11" x14ac:dyDescent="0.25">
      <c r="B57" s="245"/>
      <c r="C57" s="311"/>
      <c r="D57" s="311"/>
      <c r="E57" s="83"/>
      <c r="J57" s="3"/>
    </row>
    <row r="58" spans="2:11" x14ac:dyDescent="0.2">
      <c r="B58" s="258" t="s">
        <v>170</v>
      </c>
      <c r="C58" s="311"/>
      <c r="D58" s="311"/>
      <c r="E58" s="83"/>
      <c r="G58" s="806" t="str">
        <f>CONCATENATE("Projected Carryover Into ",E1+1,"")</f>
        <v>Projected Carryover Into 2026</v>
      </c>
      <c r="H58" s="809"/>
      <c r="I58" s="809"/>
      <c r="J58" s="810"/>
    </row>
    <row r="59" spans="2:11" x14ac:dyDescent="0.2">
      <c r="B59" s="249" t="s">
        <v>117</v>
      </c>
      <c r="C59" s="311"/>
      <c r="D59" s="311"/>
      <c r="E59" s="275">
        <f>'NR Rebate'!E18*-1</f>
        <v>0</v>
      </c>
      <c r="G59" s="332"/>
      <c r="H59" s="286"/>
      <c r="I59" s="286"/>
      <c r="J59" s="331"/>
    </row>
    <row r="60" spans="2:11" x14ac:dyDescent="0.2">
      <c r="B60" s="249" t="s">
        <v>118</v>
      </c>
      <c r="C60" s="311"/>
      <c r="D60" s="311"/>
      <c r="E60" s="83"/>
      <c r="G60" s="497">
        <f>D74</f>
        <v>0</v>
      </c>
      <c r="H60" s="469" t="str">
        <f>CONCATENATE("",E1-1," Ending Cash Balance (est.)")</f>
        <v>2024 Ending Cash Balance (est.)</v>
      </c>
      <c r="I60" s="498"/>
      <c r="J60" s="331"/>
    </row>
    <row r="61" spans="2:11" x14ac:dyDescent="0.2">
      <c r="B61" s="249" t="s">
        <v>334</v>
      </c>
      <c r="C61" s="312" t="str">
        <f>IF(C62*0.1&lt;C60,"Exceed 10% Rule","")</f>
        <v/>
      </c>
      <c r="D61" s="312" t="str">
        <f>IF(D62*0.1&lt;D60,"Exceed 10% Rule","")</f>
        <v/>
      </c>
      <c r="E61" s="272" t="str">
        <f>IF(E62*0.1+E80&lt;E60,"Exceed 10% Rule","")</f>
        <v/>
      </c>
      <c r="G61" s="497">
        <f>E62</f>
        <v>0</v>
      </c>
      <c r="H61" s="475" t="str">
        <f>CONCATENATE("",E1," Non-AV Receipts (est.)")</f>
        <v>2025 Non-AV Receipts (est.)</v>
      </c>
      <c r="I61" s="498"/>
      <c r="J61" s="331"/>
    </row>
    <row r="62" spans="2:11" x14ac:dyDescent="0.2">
      <c r="B62" s="251" t="s">
        <v>171</v>
      </c>
      <c r="C62" s="315">
        <f>SUM(C48:C60)</f>
        <v>0</v>
      </c>
      <c r="D62" s="315">
        <f>SUM(D48:D60)</f>
        <v>0</v>
      </c>
      <c r="E62" s="253">
        <f>SUM(E48:E60)</f>
        <v>0</v>
      </c>
      <c r="G62" s="499">
        <f>IF(D79&gt;0,E78,E80)</f>
        <v>0</v>
      </c>
      <c r="H62" s="475" t="str">
        <f>CONCATENATE("",E1," Ad Valorem Tax (est.)")</f>
        <v>2025 Ad Valorem Tax (est.)</v>
      </c>
      <c r="I62" s="498"/>
      <c r="J62" s="331"/>
      <c r="K62" s="490" t="str">
        <f>IF(G62=E80,"","Note: Does not include Delinquent Taxes")</f>
        <v/>
      </c>
    </row>
    <row r="63" spans="2:11" x14ac:dyDescent="0.2">
      <c r="B63" s="251" t="s">
        <v>172</v>
      </c>
      <c r="C63" s="315">
        <f>C46+C62</f>
        <v>0</v>
      </c>
      <c r="D63" s="315">
        <f>D46+D62</f>
        <v>0</v>
      </c>
      <c r="E63" s="253">
        <f>E46+E62</f>
        <v>0</v>
      </c>
      <c r="G63" s="342">
        <f>SUM(G60:G62)</f>
        <v>0</v>
      </c>
      <c r="H63" s="475" t="str">
        <f>CONCATENATE("Total ",E1," Resources Available")</f>
        <v>Total 2025 Resources Available</v>
      </c>
      <c r="I63" s="331"/>
      <c r="J63" s="331"/>
    </row>
    <row r="64" spans="2:11" x14ac:dyDescent="0.2">
      <c r="B64" s="118" t="s">
        <v>174</v>
      </c>
      <c r="C64" s="249"/>
      <c r="D64" s="249"/>
      <c r="E64" s="82"/>
      <c r="G64" s="339"/>
      <c r="H64" s="341"/>
      <c r="I64" s="286"/>
      <c r="J64" s="331"/>
    </row>
    <row r="65" spans="2:10" x14ac:dyDescent="0.2">
      <c r="B65" s="245"/>
      <c r="C65" s="311"/>
      <c r="D65" s="311"/>
      <c r="E65" s="83"/>
      <c r="G65" s="340">
        <f>ROUND(C73*0.05+C73,0)</f>
        <v>0</v>
      </c>
      <c r="H65" s="341" t="str">
        <f>CONCATENATE("Less ",E1-2," Expenditures + 5%")</f>
        <v>Less 2023 Expenditures + 5%</v>
      </c>
      <c r="I65" s="331"/>
      <c r="J65" s="331"/>
    </row>
    <row r="66" spans="2:10" x14ac:dyDescent="0.25">
      <c r="B66" s="245"/>
      <c r="C66" s="311"/>
      <c r="D66" s="311"/>
      <c r="E66" s="83"/>
      <c r="G66" s="338">
        <f>G63-G65</f>
        <v>0</v>
      </c>
      <c r="H66" s="337" t="str">
        <f>CONCATENATE("Projected ",E1+1," carryover (est.)")</f>
        <v>Projected 2026 carryover (est.)</v>
      </c>
      <c r="I66" s="330"/>
      <c r="J66" s="505"/>
    </row>
    <row r="67" spans="2:10" x14ac:dyDescent="0.25">
      <c r="B67" s="245"/>
      <c r="C67" s="311"/>
      <c r="D67" s="311"/>
      <c r="E67" s="83"/>
      <c r="G67" s="3"/>
      <c r="H67" s="3"/>
      <c r="I67" s="3"/>
    </row>
    <row r="68" spans="2:10" x14ac:dyDescent="0.2">
      <c r="B68" s="245"/>
      <c r="C68" s="311"/>
      <c r="D68" s="311"/>
      <c r="E68" s="83"/>
      <c r="G68" s="794" t="s">
        <v>635</v>
      </c>
      <c r="H68" s="795"/>
      <c r="I68" s="795"/>
      <c r="J68" s="796"/>
    </row>
    <row r="69" spans="2:10" x14ac:dyDescent="0.2">
      <c r="B69" s="245"/>
      <c r="C69" s="311"/>
      <c r="D69" s="311"/>
      <c r="E69" s="83"/>
      <c r="G69" s="797"/>
      <c r="H69" s="798"/>
      <c r="I69" s="798"/>
      <c r="J69" s="799"/>
    </row>
    <row r="70" spans="2:10" x14ac:dyDescent="0.2">
      <c r="B70" s="249" t="str">
        <f>CONCATENATE("Cash Reserve (",E1," column)")</f>
        <v>Cash Reserve (2025 column)</v>
      </c>
      <c r="C70" s="311"/>
      <c r="D70" s="311"/>
      <c r="E70" s="83"/>
      <c r="G70" s="472" t="str">
        <f>'Budget Hearing Notice'!H31</f>
        <v xml:space="preserve">  </v>
      </c>
      <c r="H70" s="469" t="str">
        <f>CONCATENATE("",E1," Estimated Fund Mill Rate")</f>
        <v>2025 Estimated Fund Mill Rate</v>
      </c>
      <c r="I70" s="470"/>
      <c r="J70" s="471"/>
    </row>
    <row r="71" spans="2:10" x14ac:dyDescent="0.2">
      <c r="B71" s="249" t="s">
        <v>118</v>
      </c>
      <c r="C71" s="311"/>
      <c r="D71" s="311"/>
      <c r="E71" s="83"/>
      <c r="G71" s="633" t="str">
        <f>'Budget Hearing Notice'!E31</f>
        <v xml:space="preserve">  </v>
      </c>
      <c r="H71" s="469" t="str">
        <f>CONCATENATE("",E1-1," Fund Mill Rate")</f>
        <v>2024 Fund Mill Rate</v>
      </c>
      <c r="I71" s="470"/>
      <c r="J71" s="471"/>
    </row>
    <row r="72" spans="2:10" x14ac:dyDescent="0.2">
      <c r="B72" s="249" t="s">
        <v>333</v>
      </c>
      <c r="C72" s="312" t="str">
        <f>IF(C73*0.1&lt;C71,"Exceed 10% Rule","")</f>
        <v/>
      </c>
      <c r="D72" s="312" t="str">
        <f>IF(D73*0.1&lt;D71,"Exceed 10% Rule","")</f>
        <v/>
      </c>
      <c r="E72" s="272" t="str">
        <f>IF(E73*0.1&lt;E71,"Exceed 10% Rule","")</f>
        <v/>
      </c>
      <c r="G72" s="634">
        <f>'Budget Hearing Notice'!H57</f>
        <v>0</v>
      </c>
      <c r="H72" s="635" t="s">
        <v>636</v>
      </c>
      <c r="I72" s="470"/>
      <c r="J72" s="471"/>
    </row>
    <row r="73" spans="2:10" x14ac:dyDescent="0.2">
      <c r="B73" s="251" t="s">
        <v>178</v>
      </c>
      <c r="C73" s="315">
        <f>SUM(C65:C71)</f>
        <v>0</v>
      </c>
      <c r="D73" s="315">
        <f>SUM(D65:D71)</f>
        <v>0</v>
      </c>
      <c r="E73" s="253">
        <f>SUM(E65:E71)</f>
        <v>0</v>
      </c>
      <c r="G73" s="472">
        <f>'Budget Hearing Notice'!H56</f>
        <v>0</v>
      </c>
      <c r="H73" s="469" t="str">
        <f>CONCATENATE(E1," Estimated Total Mill Rate")</f>
        <v>2025 Estimated Total Mill Rate</v>
      </c>
      <c r="I73" s="470"/>
      <c r="J73" s="471"/>
    </row>
    <row r="74" spans="2:10" x14ac:dyDescent="0.2">
      <c r="B74" s="118" t="s">
        <v>19</v>
      </c>
      <c r="C74" s="313">
        <f>C63-C73</f>
        <v>0</v>
      </c>
      <c r="D74" s="313">
        <f>D63-D73</f>
        <v>0</v>
      </c>
      <c r="E74" s="262" t="s">
        <v>152</v>
      </c>
      <c r="G74" s="473">
        <f>'Budget Hearing Notice'!E56</f>
        <v>0</v>
      </c>
      <c r="H74" s="469" t="str">
        <f>CONCATENATE(E1-1," Total Mill Rate")</f>
        <v>2024 Total Mill Rate</v>
      </c>
      <c r="I74" s="470"/>
      <c r="J74" s="471"/>
    </row>
    <row r="75" spans="2:10" x14ac:dyDescent="0.2">
      <c r="B75" s="164" t="str">
        <f>CONCATENATE("",E1-2,"/",E1-1,"/",E1," Budget Authority Amount:")</f>
        <v>2023/2024/2025 Budget Authority Amount:</v>
      </c>
      <c r="C75" s="270">
        <f>inputOth!B94</f>
        <v>0</v>
      </c>
      <c r="D75" s="270">
        <f>inputPrYr!D35</f>
        <v>0</v>
      </c>
      <c r="E75" s="243">
        <f>E73</f>
        <v>0</v>
      </c>
      <c r="G75" s="332"/>
      <c r="H75" s="286"/>
      <c r="I75" s="286"/>
      <c r="J75" s="331"/>
    </row>
    <row r="76" spans="2:10" x14ac:dyDescent="0.2">
      <c r="B76" s="135"/>
      <c r="C76" s="785" t="s">
        <v>338</v>
      </c>
      <c r="D76" s="786"/>
      <c r="E76" s="83"/>
      <c r="G76" s="800" t="s">
        <v>637</v>
      </c>
      <c r="H76" s="801"/>
      <c r="I76" s="801"/>
      <c r="J76" s="804" t="str">
        <f>IF(G73&gt;G72, "Yes", "No")</f>
        <v>No</v>
      </c>
    </row>
    <row r="77" spans="2:10" x14ac:dyDescent="0.2">
      <c r="B77" s="364" t="str">
        <f>CONCATENATE(C96,"     ",D96)</f>
        <v xml:space="preserve">     </v>
      </c>
      <c r="C77" s="787" t="s">
        <v>339</v>
      </c>
      <c r="D77" s="788"/>
      <c r="E77" s="243">
        <f>E73+E76</f>
        <v>0</v>
      </c>
      <c r="G77" s="802"/>
      <c r="H77" s="803"/>
      <c r="I77" s="803"/>
      <c r="J77" s="805"/>
    </row>
    <row r="78" spans="2:10" x14ac:dyDescent="0.2">
      <c r="B78" s="364" t="str">
        <f>CONCATENATE(C97,"     ",D97)</f>
        <v xml:space="preserve">     </v>
      </c>
      <c r="C78" s="255"/>
      <c r="D78" s="161" t="s">
        <v>179</v>
      </c>
      <c r="E78" s="92">
        <f>IF(E77-E63&gt;0,E77-E63,0)</f>
        <v>0</v>
      </c>
      <c r="G78" s="781" t="str">
        <f>IF(J76="Yes", "Follow procedure prescribed by KSA 79-2988 to exceed the Revenue Neutral Rate.", " ")</f>
        <v xml:space="preserve"> </v>
      </c>
      <c r="H78" s="781"/>
      <c r="I78" s="781"/>
      <c r="J78" s="781"/>
    </row>
    <row r="79" spans="2:10" x14ac:dyDescent="0.2">
      <c r="B79" s="161"/>
      <c r="C79" s="333" t="s">
        <v>340</v>
      </c>
      <c r="D79" s="515">
        <f>inputOth!$E$67</f>
        <v>0</v>
      </c>
      <c r="E79" s="243">
        <f>ROUND(IF(D79&gt;0,(E78*D79),0),0)</f>
        <v>0</v>
      </c>
      <c r="F79" s="263"/>
      <c r="G79" s="782"/>
      <c r="H79" s="782"/>
      <c r="I79" s="782"/>
      <c r="J79" s="782"/>
    </row>
    <row r="80" spans="2:10" ht="16.5" thickBot="1" x14ac:dyDescent="0.25">
      <c r="B80" s="69"/>
      <c r="C80" s="783" t="str">
        <f>CONCATENATE("Amount of  ",$E$1-1," Ad Valorem Tax")</f>
        <v>Amount of  2024 Ad Valorem Tax</v>
      </c>
      <c r="D80" s="784"/>
      <c r="E80" s="266">
        <f>E78+E79</f>
        <v>0</v>
      </c>
      <c r="F80" s="522" t="str">
        <f>IF(E73/0.95-E73&lt;E76,"Exceeds 5%","")</f>
        <v/>
      </c>
      <c r="G80" s="782"/>
      <c r="H80" s="782"/>
      <c r="I80" s="782"/>
      <c r="J80" s="782"/>
    </row>
    <row r="81" spans="2:5" ht="16.5" thickTop="1" x14ac:dyDescent="0.2">
      <c r="B81" s="69"/>
      <c r="C81" s="135"/>
      <c r="D81" s="69"/>
      <c r="E81" s="69"/>
    </row>
    <row r="82" spans="2:5" x14ac:dyDescent="0.2">
      <c r="B82" s="602" t="s">
        <v>513</v>
      </c>
      <c r="C82" s="589"/>
      <c r="D82" s="115"/>
      <c r="E82" s="586"/>
    </row>
    <row r="83" spans="2:5" x14ac:dyDescent="0.2">
      <c r="B83" s="332"/>
      <c r="C83" s="135"/>
      <c r="D83" s="69"/>
      <c r="E83" s="331"/>
    </row>
    <row r="84" spans="2:5" x14ac:dyDescent="0.2">
      <c r="B84" s="590"/>
      <c r="C84" s="76"/>
      <c r="D84" s="76"/>
      <c r="E84" s="96"/>
    </row>
    <row r="85" spans="2:5" x14ac:dyDescent="0.2">
      <c r="B85" s="69"/>
      <c r="C85" s="69"/>
      <c r="D85" s="69"/>
      <c r="E85" s="69"/>
    </row>
    <row r="86" spans="2:5" x14ac:dyDescent="0.2">
      <c r="B86" s="135" t="s">
        <v>181</v>
      </c>
      <c r="C86" s="564"/>
      <c r="D86" s="69"/>
      <c r="E86" s="69"/>
    </row>
    <row r="94" spans="2:5" hidden="1" x14ac:dyDescent="0.2">
      <c r="C94" s="65" t="str">
        <f>IF(C34&gt;C36,"See Tab A","")</f>
        <v/>
      </c>
      <c r="D94" s="65" t="str">
        <f>IF(D34&gt;D36,"See Tab C","")</f>
        <v/>
      </c>
    </row>
    <row r="95" spans="2:5" hidden="1" x14ac:dyDescent="0.2">
      <c r="C95" s="65" t="str">
        <f>IF(C35&lt;0,"See Tab B","")</f>
        <v/>
      </c>
      <c r="D95" s="65" t="str">
        <f>IF(D35&lt;0,"See Tab D","")</f>
        <v/>
      </c>
    </row>
    <row r="96" spans="2:5" hidden="1" x14ac:dyDescent="0.2">
      <c r="C96" s="65" t="str">
        <f>IF(C73&gt;C75,"See Tab A","")</f>
        <v/>
      </c>
      <c r="D96" s="65" t="str">
        <f>IF(D73&gt;D75,"See Tab C","")</f>
        <v/>
      </c>
    </row>
    <row r="97" spans="3:4" hidden="1" x14ac:dyDescent="0.2">
      <c r="C97" s="65" t="str">
        <f>IF(C74&lt;0,"See Tab B","")</f>
        <v/>
      </c>
      <c r="D97" s="65" t="str">
        <f>IF(D74&lt;0,"See Tab D","")</f>
        <v/>
      </c>
    </row>
  </sheetData>
  <sheetProtection sheet="1"/>
  <mergeCells count="18">
    <mergeCell ref="C80:D80"/>
    <mergeCell ref="C41:D41"/>
    <mergeCell ref="G51:J51"/>
    <mergeCell ref="G58:J58"/>
    <mergeCell ref="G68:J69"/>
    <mergeCell ref="G78:J80"/>
    <mergeCell ref="G12:J12"/>
    <mergeCell ref="G19:J19"/>
    <mergeCell ref="C37:D37"/>
    <mergeCell ref="C38:D38"/>
    <mergeCell ref="C76:D76"/>
    <mergeCell ref="G29:J30"/>
    <mergeCell ref="G37:I38"/>
    <mergeCell ref="J37:J38"/>
    <mergeCell ref="G39:J41"/>
    <mergeCell ref="G76:I77"/>
    <mergeCell ref="J76:J77"/>
    <mergeCell ref="C77:D77"/>
  </mergeCells>
  <phoneticPr fontId="0" type="noConversion"/>
  <conditionalFormatting sqref="C20">
    <cfRule type="cellIs" dxfId="215" priority="21" stopIfTrue="1" operator="greaterThan">
      <formula>$C$22*0.1</formula>
    </cfRule>
  </conditionalFormatting>
  <conditionalFormatting sqref="C32">
    <cfRule type="cellIs" dxfId="214" priority="17" stopIfTrue="1" operator="greaterThan">
      <formula>$C$34*0.1</formula>
    </cfRule>
  </conditionalFormatting>
  <conditionalFormatting sqref="C34">
    <cfRule type="cellIs" dxfId="213" priority="19" stopIfTrue="1" operator="greaterThan">
      <formula>$C$36</formula>
    </cfRule>
  </conditionalFormatting>
  <conditionalFormatting sqref="C35 C74">
    <cfRule type="cellIs" dxfId="212" priority="13" stopIfTrue="1" operator="lessThan">
      <formula>0</formula>
    </cfRule>
  </conditionalFormatting>
  <conditionalFormatting sqref="C60">
    <cfRule type="cellIs" dxfId="211" priority="15" stopIfTrue="1" operator="greaterThan">
      <formula>$C$62*0.1</formula>
    </cfRule>
  </conditionalFormatting>
  <conditionalFormatting sqref="C71">
    <cfRule type="cellIs" dxfId="210" priority="10" stopIfTrue="1" operator="greaterThan">
      <formula>$C$73*0.1</formula>
    </cfRule>
  </conditionalFormatting>
  <conditionalFormatting sqref="C73">
    <cfRule type="cellIs" dxfId="209" priority="12" stopIfTrue="1" operator="greaterThan">
      <formula>$C$75</formula>
    </cfRule>
  </conditionalFormatting>
  <conditionalFormatting sqref="D20">
    <cfRule type="cellIs" dxfId="208" priority="20" stopIfTrue="1" operator="greaterThan">
      <formula>$D$22*0.1</formula>
    </cfRule>
  </conditionalFormatting>
  <conditionalFormatting sqref="D32">
    <cfRule type="cellIs" dxfId="207" priority="16" stopIfTrue="1" operator="greaterThan">
      <formula>$D$34*0.1</formula>
    </cfRule>
  </conditionalFormatting>
  <conditionalFormatting sqref="D34">
    <cfRule type="cellIs" dxfId="206" priority="18" stopIfTrue="1" operator="greaterThan">
      <formula>$D$36</formula>
    </cfRule>
  </conditionalFormatting>
  <conditionalFormatting sqref="D35 D74">
    <cfRule type="cellIs" dxfId="205" priority="4" stopIfTrue="1" operator="lessThan">
      <formula>0</formula>
    </cfRule>
  </conditionalFormatting>
  <conditionalFormatting sqref="D60">
    <cfRule type="cellIs" dxfId="204" priority="14" stopIfTrue="1" operator="greaterThan">
      <formula>$D$62*0.1</formula>
    </cfRule>
  </conditionalFormatting>
  <conditionalFormatting sqref="D71">
    <cfRule type="cellIs" dxfId="203" priority="9" stopIfTrue="1" operator="greaterThan">
      <formula>$D$73*0.1</formula>
    </cfRule>
  </conditionalFormatting>
  <conditionalFormatting sqref="D73">
    <cfRule type="cellIs" dxfId="202" priority="11" stopIfTrue="1" operator="greaterThan">
      <formula>$D$75</formula>
    </cfRule>
  </conditionalFormatting>
  <conditionalFormatting sqref="E20">
    <cfRule type="cellIs" dxfId="201" priority="69" stopIfTrue="1" operator="greaterThan">
      <formula>$E$22*0.1+$E$41</formula>
    </cfRule>
  </conditionalFormatting>
  <conditionalFormatting sqref="E32">
    <cfRule type="cellIs" dxfId="200" priority="6" stopIfTrue="1" operator="greaterThan">
      <formula>$E$34*0.1</formula>
    </cfRule>
  </conditionalFormatting>
  <conditionalFormatting sqref="E37">
    <cfRule type="cellIs" dxfId="199" priority="7" stopIfTrue="1" operator="greaterThan">
      <formula>$E$34/0.95-$E$34</formula>
    </cfRule>
  </conditionalFormatting>
  <conditionalFormatting sqref="E60">
    <cfRule type="cellIs" dxfId="198" priority="78" stopIfTrue="1" operator="greaterThan">
      <formula>$E$62*0.1+$E$80</formula>
    </cfRule>
  </conditionalFormatting>
  <conditionalFormatting sqref="E71">
    <cfRule type="cellIs" dxfId="197" priority="5" stopIfTrue="1" operator="greaterThan">
      <formula>$E$73*0.1</formula>
    </cfRule>
  </conditionalFormatting>
  <conditionalFormatting sqref="E76">
    <cfRule type="cellIs" dxfId="196" priority="8" stopIfTrue="1" operator="greaterThan">
      <formula>$E$73/0.95-$E$73</formula>
    </cfRule>
  </conditionalFormatting>
  <conditionalFormatting sqref="J37">
    <cfRule type="containsText" dxfId="195" priority="2" operator="containsText" text="Yes">
      <formula>NOT(ISERROR(SEARCH("Yes",J37)))</formula>
    </cfRule>
  </conditionalFormatting>
  <conditionalFormatting sqref="J76">
    <cfRule type="containsText" dxfId="194" priority="1" operator="containsText" text="Yes">
      <formula>NOT(ISERROR(SEARCH("Yes",J76)))</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F0"/>
    <pageSetUpPr fitToPage="1"/>
  </sheetPr>
  <dimension ref="A1:E67"/>
  <sheetViews>
    <sheetView workbookViewId="0">
      <selection activeCell="B4" sqref="B4"/>
    </sheetView>
  </sheetViews>
  <sheetFormatPr defaultColWidth="8.88671875" defaultRowHeight="15.75" x14ac:dyDescent="0.2"/>
  <cols>
    <col min="1" max="1" width="2.44140625" style="370" customWidth="1"/>
    <col min="2" max="2" width="31.109375" style="65" customWidth="1"/>
    <col min="3" max="4" width="15.77734375" style="65" customWidth="1"/>
    <col min="5" max="5" width="16.33203125" style="65" customWidth="1"/>
    <col min="6" max="16384" width="8.88671875" style="65"/>
  </cols>
  <sheetData>
    <row r="1" spans="2:5" x14ac:dyDescent="0.2">
      <c r="B1" s="89">
        <f>(inputPrYr!D3)</f>
        <v>0</v>
      </c>
      <c r="C1" s="69"/>
      <c r="D1" s="69"/>
      <c r="E1" s="135">
        <f>inputPrYr!C10</f>
        <v>2025</v>
      </c>
    </row>
    <row r="2" spans="2:5" x14ac:dyDescent="0.2">
      <c r="B2" s="69"/>
      <c r="C2" s="69"/>
      <c r="D2" s="69"/>
      <c r="E2" s="161"/>
    </row>
    <row r="3" spans="2:5" x14ac:dyDescent="0.2">
      <c r="B3" s="239" t="s">
        <v>6</v>
      </c>
      <c r="C3" s="196"/>
      <c r="D3" s="196"/>
      <c r="E3" s="196"/>
    </row>
    <row r="4" spans="2:5" x14ac:dyDescent="0.2">
      <c r="B4" s="72" t="s">
        <v>162</v>
      </c>
      <c r="C4" s="392" t="s">
        <v>359</v>
      </c>
      <c r="D4" s="393" t="s">
        <v>360</v>
      </c>
      <c r="E4" s="142" t="s">
        <v>361</v>
      </c>
    </row>
    <row r="5" spans="2:5" x14ac:dyDescent="0.2">
      <c r="B5" s="377" t="str">
        <f>(inputPrYr!B39)</f>
        <v>Special Highway</v>
      </c>
      <c r="C5" s="318" t="str">
        <f>CONCATENATE("Actual for ",E1-2,"")</f>
        <v>Actual for 2023</v>
      </c>
      <c r="D5" s="318" t="str">
        <f>CONCATENATE("Estimate for ",E1-1,"")</f>
        <v>Estimate for 2024</v>
      </c>
      <c r="E5" s="176" t="str">
        <f>CONCATENATE("Year for ",E1,"")</f>
        <v>Year for 2025</v>
      </c>
    </row>
    <row r="6" spans="2:5" x14ac:dyDescent="0.2">
      <c r="B6" s="256" t="s">
        <v>18</v>
      </c>
      <c r="C6" s="83"/>
      <c r="D6" s="243">
        <f>C29</f>
        <v>0</v>
      </c>
      <c r="E6" s="243">
        <f>D29</f>
        <v>0</v>
      </c>
    </row>
    <row r="7" spans="2:5" x14ac:dyDescent="0.2">
      <c r="B7" s="257" t="s">
        <v>20</v>
      </c>
      <c r="C7" s="95"/>
      <c r="D7" s="95"/>
      <c r="E7" s="95"/>
    </row>
    <row r="8" spans="2:5" x14ac:dyDescent="0.2">
      <c r="B8" s="249" t="s">
        <v>15</v>
      </c>
      <c r="C8" s="83"/>
      <c r="D8" s="260">
        <f>inputOth!E73</f>
        <v>0</v>
      </c>
      <c r="E8" s="243">
        <f>inputOth!E71</f>
        <v>0</v>
      </c>
    </row>
    <row r="9" spans="2:5" x14ac:dyDescent="0.2">
      <c r="B9" s="261" t="s">
        <v>50</v>
      </c>
      <c r="C9" s="83"/>
      <c r="D9" s="260">
        <f>inputOth!E74</f>
        <v>0</v>
      </c>
      <c r="E9" s="260">
        <f>inputOth!E72</f>
        <v>0</v>
      </c>
    </row>
    <row r="10" spans="2:5" x14ac:dyDescent="0.2">
      <c r="B10" s="245"/>
      <c r="C10" s="83"/>
      <c r="D10" s="83"/>
      <c r="E10" s="83"/>
    </row>
    <row r="11" spans="2:5" x14ac:dyDescent="0.2">
      <c r="B11" s="245"/>
      <c r="C11" s="83"/>
      <c r="D11" s="83"/>
      <c r="E11" s="83"/>
    </row>
    <row r="12" spans="2:5" x14ac:dyDescent="0.2">
      <c r="B12" s="245"/>
      <c r="C12" s="83"/>
      <c r="D12" s="83"/>
      <c r="E12" s="83"/>
    </row>
    <row r="13" spans="2:5" x14ac:dyDescent="0.2">
      <c r="B13" s="258" t="s">
        <v>170</v>
      </c>
      <c r="C13" s="83"/>
      <c r="D13" s="83"/>
      <c r="E13" s="83"/>
    </row>
    <row r="14" spans="2:5" x14ac:dyDescent="0.2">
      <c r="B14" s="249" t="s">
        <v>118</v>
      </c>
      <c r="C14" s="83"/>
      <c r="D14" s="242"/>
      <c r="E14" s="242"/>
    </row>
    <row r="15" spans="2:5" x14ac:dyDescent="0.2">
      <c r="B15" s="249" t="s">
        <v>334</v>
      </c>
      <c r="C15" s="371" t="str">
        <f>IF(C16*0.1&lt;C14,"Exceed 10% Rule","")</f>
        <v/>
      </c>
      <c r="D15" s="250" t="str">
        <f>IF(D16*0.1&lt;D14,"Exceed 10% Rule","")</f>
        <v/>
      </c>
      <c r="E15" s="250" t="str">
        <f>IF(E16*0.1&lt;E14,"Exceed 10% Rule","")</f>
        <v/>
      </c>
    </row>
    <row r="16" spans="2:5" x14ac:dyDescent="0.2">
      <c r="B16" s="251" t="s">
        <v>171</v>
      </c>
      <c r="C16" s="253">
        <f>SUM(C8:C14)</f>
        <v>0</v>
      </c>
      <c r="D16" s="253">
        <f>SUM(D8:D14)</f>
        <v>0</v>
      </c>
      <c r="E16" s="253">
        <f>SUM(E8:E14)</f>
        <v>0</v>
      </c>
    </row>
    <row r="17" spans="2:5" x14ac:dyDescent="0.2">
      <c r="B17" s="251" t="s">
        <v>172</v>
      </c>
      <c r="C17" s="253">
        <f>C6+C16</f>
        <v>0</v>
      </c>
      <c r="D17" s="253">
        <f>D6+D16</f>
        <v>0</v>
      </c>
      <c r="E17" s="253">
        <f>E6+E16</f>
        <v>0</v>
      </c>
    </row>
    <row r="18" spans="2:5" x14ac:dyDescent="0.2">
      <c r="B18" s="118" t="s">
        <v>174</v>
      </c>
      <c r="C18" s="243"/>
      <c r="D18" s="243"/>
      <c r="E18" s="243"/>
    </row>
    <row r="19" spans="2:5" x14ac:dyDescent="0.2">
      <c r="B19" s="245"/>
      <c r="C19" s="83"/>
      <c r="D19" s="83"/>
      <c r="E19" s="83"/>
    </row>
    <row r="20" spans="2:5" x14ac:dyDescent="0.2">
      <c r="B20" s="245"/>
      <c r="C20" s="83"/>
      <c r="D20" s="83"/>
      <c r="E20" s="83"/>
    </row>
    <row r="21" spans="2:5" x14ac:dyDescent="0.2">
      <c r="B21" s="245"/>
      <c r="C21" s="83"/>
      <c r="D21" s="83"/>
      <c r="E21" s="83"/>
    </row>
    <row r="22" spans="2:5" x14ac:dyDescent="0.2">
      <c r="B22" s="245"/>
      <c r="C22" s="83"/>
      <c r="D22" s="83"/>
      <c r="E22" s="83"/>
    </row>
    <row r="23" spans="2:5" x14ac:dyDescent="0.2">
      <c r="B23" s="245"/>
      <c r="C23" s="83"/>
      <c r="D23" s="83"/>
      <c r="E23" s="83"/>
    </row>
    <row r="24" spans="2:5" x14ac:dyDescent="0.2">
      <c r="B24" s="245"/>
      <c r="C24" s="83"/>
      <c r="D24" s="83"/>
      <c r="E24" s="83"/>
    </row>
    <row r="25" spans="2:5" x14ac:dyDescent="0.2">
      <c r="B25" s="249" t="str">
        <f>CONCATENATE("Cash Reserve (",E1," column)")</f>
        <v>Cash Reserve (2025 column)</v>
      </c>
      <c r="C25" s="83"/>
      <c r="D25" s="83"/>
      <c r="E25" s="83"/>
    </row>
    <row r="26" spans="2:5" x14ac:dyDescent="0.2">
      <c r="B26" s="249" t="s">
        <v>118</v>
      </c>
      <c r="C26" s="83"/>
      <c r="D26" s="242"/>
      <c r="E26" s="242"/>
    </row>
    <row r="27" spans="2:5" x14ac:dyDescent="0.2">
      <c r="B27" s="249" t="s">
        <v>333</v>
      </c>
      <c r="C27" s="371" t="str">
        <f>IF(C28*0.1&lt;C26,"Exceed 10% Rule","")</f>
        <v/>
      </c>
      <c r="D27" s="250" t="str">
        <f>IF(D28*0.1&lt;D26,"Exceed 10% Rule","")</f>
        <v/>
      </c>
      <c r="E27" s="250" t="str">
        <f>IF(E28*0.1&lt;E26,"Exceed 10% Rule","")</f>
        <v/>
      </c>
    </row>
    <row r="28" spans="2:5" x14ac:dyDescent="0.2">
      <c r="B28" s="251" t="s">
        <v>178</v>
      </c>
      <c r="C28" s="253">
        <f>SUM(C19:C26)</f>
        <v>0</v>
      </c>
      <c r="D28" s="253">
        <f>SUM(D19:D26)</f>
        <v>0</v>
      </c>
      <c r="E28" s="253">
        <f>SUM(E19:E26)</f>
        <v>0</v>
      </c>
    </row>
    <row r="29" spans="2:5" x14ac:dyDescent="0.2">
      <c r="B29" s="118" t="s">
        <v>19</v>
      </c>
      <c r="C29" s="92">
        <f>C17-C28</f>
        <v>0</v>
      </c>
      <c r="D29" s="92">
        <f>D17-D28</f>
        <v>0</v>
      </c>
      <c r="E29" s="92">
        <f>E17-E28</f>
        <v>0</v>
      </c>
    </row>
    <row r="30" spans="2:5" x14ac:dyDescent="0.2">
      <c r="B30" s="164" t="str">
        <f>CONCATENATE("",E1-2,"/",E1-1,"/",E1," Budget Authority Amount:")</f>
        <v>2023/2024/2025 Budget Authority Amount:</v>
      </c>
      <c r="C30" s="270">
        <f>inputOth!B95</f>
        <v>0</v>
      </c>
      <c r="D30" s="270">
        <f>inputPrYr!D39</f>
        <v>0</v>
      </c>
      <c r="E30" s="527">
        <f>E28</f>
        <v>0</v>
      </c>
    </row>
    <row r="31" spans="2:5" x14ac:dyDescent="0.2">
      <c r="B31" s="135"/>
      <c r="C31" s="255" t="str">
        <f>IF(C28&gt;C30,"See Tab A","")</f>
        <v/>
      </c>
      <c r="D31" s="255" t="str">
        <f>IF(D28&gt;D30,"See Tab C","")</f>
        <v/>
      </c>
      <c r="E31" s="528" t="str">
        <f>IF(E29&lt;0,"See Tab E","")</f>
        <v/>
      </c>
    </row>
    <row r="32" spans="2:5" x14ac:dyDescent="0.2">
      <c r="B32" s="135"/>
      <c r="C32" s="255" t="str">
        <f>IF(C29&lt;0,"See Tab B","")</f>
        <v/>
      </c>
      <c r="D32" s="255" t="str">
        <f>IF(D29&lt;0,"See Tab D","")</f>
        <v/>
      </c>
      <c r="E32" s="101"/>
    </row>
    <row r="33" spans="2:5" x14ac:dyDescent="0.2">
      <c r="B33" s="69"/>
      <c r="C33" s="101"/>
      <c r="D33" s="101"/>
      <c r="E33" s="101"/>
    </row>
    <row r="34" spans="2:5" x14ac:dyDescent="0.2">
      <c r="B34" s="72"/>
      <c r="C34" s="259"/>
      <c r="D34" s="259"/>
      <c r="E34" s="259"/>
    </row>
    <row r="35" spans="2:5" x14ac:dyDescent="0.2">
      <c r="B35" s="72" t="s">
        <v>162</v>
      </c>
      <c r="C35" s="198" t="s">
        <v>359</v>
      </c>
      <c r="D35" s="142" t="s">
        <v>362</v>
      </c>
      <c r="E35" s="142" t="s">
        <v>361</v>
      </c>
    </row>
    <row r="36" spans="2:5" x14ac:dyDescent="0.2">
      <c r="B36" s="377">
        <f>(inputPrYr!B40)</f>
        <v>0</v>
      </c>
      <c r="C36" s="147" t="str">
        <f>C5</f>
        <v>Actual for 2023</v>
      </c>
      <c r="D36" s="147" t="str">
        <f>D5</f>
        <v>Estimate for 2024</v>
      </c>
      <c r="E36" s="147" t="str">
        <f>E5</f>
        <v>Year for 2025</v>
      </c>
    </row>
    <row r="37" spans="2:5" x14ac:dyDescent="0.2">
      <c r="B37" s="256" t="s">
        <v>18</v>
      </c>
      <c r="C37" s="83"/>
      <c r="D37" s="243">
        <f>C60</f>
        <v>0</v>
      </c>
      <c r="E37" s="243">
        <f>D60</f>
        <v>0</v>
      </c>
    </row>
    <row r="38" spans="2:5" x14ac:dyDescent="0.2">
      <c r="B38" s="257" t="s">
        <v>20</v>
      </c>
      <c r="C38" s="95"/>
      <c r="D38" s="95"/>
      <c r="E38" s="95"/>
    </row>
    <row r="39" spans="2:5" x14ac:dyDescent="0.2">
      <c r="B39" s="245"/>
      <c r="C39" s="83"/>
      <c r="D39" s="83"/>
      <c r="E39" s="83"/>
    </row>
    <row r="40" spans="2:5" x14ac:dyDescent="0.2">
      <c r="B40" s="245"/>
      <c r="C40" s="83"/>
      <c r="D40" s="83"/>
      <c r="E40" s="83"/>
    </row>
    <row r="41" spans="2:5" x14ac:dyDescent="0.2">
      <c r="B41" s="245"/>
      <c r="C41" s="83"/>
      <c r="D41" s="83"/>
      <c r="E41" s="83"/>
    </row>
    <row r="42" spans="2:5" x14ac:dyDescent="0.2">
      <c r="B42" s="245"/>
      <c r="C42" s="83"/>
      <c r="D42" s="83"/>
      <c r="E42" s="83"/>
    </row>
    <row r="43" spans="2:5" x14ac:dyDescent="0.2">
      <c r="B43" s="245"/>
      <c r="C43" s="83"/>
      <c r="D43" s="83"/>
      <c r="E43" s="83"/>
    </row>
    <row r="44" spans="2:5" x14ac:dyDescent="0.2">
      <c r="B44" s="258" t="s">
        <v>170</v>
      </c>
      <c r="C44" s="83"/>
      <c r="D44" s="83"/>
      <c r="E44" s="83"/>
    </row>
    <row r="45" spans="2:5" x14ac:dyDescent="0.2">
      <c r="B45" s="249" t="s">
        <v>118</v>
      </c>
      <c r="C45" s="83"/>
      <c r="D45" s="242"/>
      <c r="E45" s="242"/>
    </row>
    <row r="46" spans="2:5" x14ac:dyDescent="0.2">
      <c r="B46" s="249" t="s">
        <v>334</v>
      </c>
      <c r="C46" s="371" t="str">
        <f>IF(C47*0.1&lt;C45,"Exceed 10% Rule","")</f>
        <v/>
      </c>
      <c r="D46" s="250" t="str">
        <f>IF(D47*0.1&lt;D45,"Exceed 10% Rule","")</f>
        <v/>
      </c>
      <c r="E46" s="250" t="str">
        <f>IF(E47*0.1&lt;E45,"Exceed 10% Rule","")</f>
        <v/>
      </c>
    </row>
    <row r="47" spans="2:5" x14ac:dyDescent="0.2">
      <c r="B47" s="251" t="s">
        <v>171</v>
      </c>
      <c r="C47" s="253">
        <f>SUM(C39:C45)</f>
        <v>0</v>
      </c>
      <c r="D47" s="253">
        <f>SUM(D39:D45)</f>
        <v>0</v>
      </c>
      <c r="E47" s="253">
        <f>SUM(E39:E45)</f>
        <v>0</v>
      </c>
    </row>
    <row r="48" spans="2:5" x14ac:dyDescent="0.2">
      <c r="B48" s="251" t="s">
        <v>172</v>
      </c>
      <c r="C48" s="253">
        <f>C37+C47</f>
        <v>0</v>
      </c>
      <c r="D48" s="253">
        <f>D37+D47</f>
        <v>0</v>
      </c>
      <c r="E48" s="253">
        <f>E37+E47</f>
        <v>0</v>
      </c>
    </row>
    <row r="49" spans="2:5" x14ac:dyDescent="0.2">
      <c r="B49" s="118" t="s">
        <v>174</v>
      </c>
      <c r="C49" s="243"/>
      <c r="D49" s="243"/>
      <c r="E49" s="243"/>
    </row>
    <row r="50" spans="2:5" x14ac:dyDescent="0.2">
      <c r="B50" s="245"/>
      <c r="C50" s="83"/>
      <c r="D50" s="83"/>
      <c r="E50" s="83"/>
    </row>
    <row r="51" spans="2:5" x14ac:dyDescent="0.2">
      <c r="B51" s="245"/>
      <c r="C51" s="83"/>
      <c r="D51" s="83"/>
      <c r="E51" s="83"/>
    </row>
    <row r="52" spans="2:5" x14ac:dyDescent="0.2">
      <c r="B52" s="245"/>
      <c r="C52" s="83"/>
      <c r="D52" s="83"/>
      <c r="E52" s="83"/>
    </row>
    <row r="53" spans="2:5" x14ac:dyDescent="0.2">
      <c r="B53" s="245"/>
      <c r="C53" s="83"/>
      <c r="D53" s="83"/>
      <c r="E53" s="83"/>
    </row>
    <row r="54" spans="2:5" x14ac:dyDescent="0.2">
      <c r="B54" s="245"/>
      <c r="C54" s="83"/>
      <c r="D54" s="83"/>
      <c r="E54" s="83"/>
    </row>
    <row r="55" spans="2:5" x14ac:dyDescent="0.2">
      <c r="B55" s="245"/>
      <c r="C55" s="83"/>
      <c r="D55" s="83"/>
      <c r="E55" s="83"/>
    </row>
    <row r="56" spans="2:5" x14ac:dyDescent="0.2">
      <c r="B56" s="249" t="str">
        <f>CONCATENATE("Cash Reserve (",E1," column)")</f>
        <v>Cash Reserve (2025 column)</v>
      </c>
      <c r="C56" s="83"/>
      <c r="D56" s="83"/>
      <c r="E56" s="83"/>
    </row>
    <row r="57" spans="2:5" x14ac:dyDescent="0.2">
      <c r="B57" s="249" t="s">
        <v>118</v>
      </c>
      <c r="C57" s="83"/>
      <c r="D57" s="242"/>
      <c r="E57" s="242"/>
    </row>
    <row r="58" spans="2:5" x14ac:dyDescent="0.2">
      <c r="B58" s="249" t="s">
        <v>333</v>
      </c>
      <c r="C58" s="371" t="str">
        <f>IF(C59*0.1&lt;C57,"Exceed 10% Rule","")</f>
        <v/>
      </c>
      <c r="D58" s="250" t="str">
        <f>IF(D59*0.1&lt;D57,"Exceed 10% Rule","")</f>
        <v/>
      </c>
      <c r="E58" s="250" t="str">
        <f>IF(E59*0.1&lt;E57,"Exceed 10% Rule","")</f>
        <v/>
      </c>
    </row>
    <row r="59" spans="2:5" x14ac:dyDescent="0.2">
      <c r="B59" s="251" t="s">
        <v>178</v>
      </c>
      <c r="C59" s="253">
        <f>SUM(C50:C57)</f>
        <v>0</v>
      </c>
      <c r="D59" s="253">
        <f>SUM(D50:D57)</f>
        <v>0</v>
      </c>
      <c r="E59" s="253">
        <f>SUM(E50:E57)</f>
        <v>0</v>
      </c>
    </row>
    <row r="60" spans="2:5" x14ac:dyDescent="0.2">
      <c r="B60" s="118" t="s">
        <v>19</v>
      </c>
      <c r="C60" s="92">
        <f>C48-C59</f>
        <v>0</v>
      </c>
      <c r="D60" s="92">
        <f>D48-D59</f>
        <v>0</v>
      </c>
      <c r="E60" s="92">
        <f>E48-E59</f>
        <v>0</v>
      </c>
    </row>
    <row r="61" spans="2:5" x14ac:dyDescent="0.2">
      <c r="B61" s="164" t="str">
        <f>CONCATENATE("",E1-2,"/",E1-1,"/",E1," Budget Authority Amount:")</f>
        <v>2023/2024/2025 Budget Authority Amount:</v>
      </c>
      <c r="C61" s="270">
        <f>inputOth!B96</f>
        <v>0</v>
      </c>
      <c r="D61" s="270">
        <f>inputPrYr!$D40</f>
        <v>0</v>
      </c>
      <c r="E61" s="527">
        <f>E59</f>
        <v>0</v>
      </c>
    </row>
    <row r="62" spans="2:5" x14ac:dyDescent="0.2">
      <c r="B62" s="135"/>
      <c r="C62" s="255" t="str">
        <f>IF(C59&gt;C61,"See Tab A","")</f>
        <v/>
      </c>
      <c r="D62" s="255" t="str">
        <f>IF(D59&gt;D61,"See Tab C","")</f>
        <v/>
      </c>
      <c r="E62" s="528" t="str">
        <f>IF(E60&lt;0,"See Tab E","")</f>
        <v/>
      </c>
    </row>
    <row r="63" spans="2:5" x14ac:dyDescent="0.2">
      <c r="B63" s="603" t="s">
        <v>513</v>
      </c>
      <c r="C63" s="528"/>
      <c r="D63" s="528"/>
      <c r="E63" s="593"/>
    </row>
    <row r="64" spans="2:5" x14ac:dyDescent="0.2">
      <c r="B64" s="594"/>
      <c r="C64" s="255"/>
      <c r="D64" s="255"/>
      <c r="E64" s="595"/>
    </row>
    <row r="65" spans="2:5" x14ac:dyDescent="0.2">
      <c r="B65" s="596"/>
      <c r="C65" s="597" t="str">
        <f>IF(C60&lt;0,"See Tab B","")</f>
        <v/>
      </c>
      <c r="D65" s="597" t="str">
        <f>IF(D60&lt;0,"See Tab D","")</f>
        <v/>
      </c>
      <c r="E65" s="96"/>
    </row>
    <row r="66" spans="2:5" x14ac:dyDescent="0.2">
      <c r="B66" s="69"/>
      <c r="C66" s="69"/>
      <c r="D66" s="69"/>
      <c r="E66" s="69"/>
    </row>
    <row r="67" spans="2:5" x14ac:dyDescent="0.2">
      <c r="B67" s="135" t="s">
        <v>181</v>
      </c>
      <c r="C67" s="564"/>
      <c r="D67" s="69"/>
      <c r="E67" s="69"/>
    </row>
  </sheetData>
  <sheetProtection sheet="1"/>
  <phoneticPr fontId="0" type="noConversion"/>
  <conditionalFormatting sqref="C14">
    <cfRule type="cellIs" dxfId="193" priority="13" stopIfTrue="1" operator="greaterThan">
      <formula>$C$16*0.1</formula>
    </cfRule>
  </conditionalFormatting>
  <conditionalFormatting sqref="C26">
    <cfRule type="cellIs" dxfId="192" priority="10" stopIfTrue="1" operator="greaterThan">
      <formula>$C$28*0.1</formula>
    </cfRule>
  </conditionalFormatting>
  <conditionalFormatting sqref="C28">
    <cfRule type="cellIs" dxfId="191" priority="18" stopIfTrue="1" operator="greaterThan">
      <formula>$C$30</formula>
    </cfRule>
  </conditionalFormatting>
  <conditionalFormatting sqref="C29 E29 E60">
    <cfRule type="cellIs" dxfId="190" priority="16" stopIfTrue="1" operator="lessThan">
      <formula>0</formula>
    </cfRule>
  </conditionalFormatting>
  <conditionalFormatting sqref="C45">
    <cfRule type="cellIs" dxfId="189" priority="4" stopIfTrue="1" operator="greaterThan">
      <formula>$C$47*0.1</formula>
    </cfRule>
  </conditionalFormatting>
  <conditionalFormatting sqref="C57">
    <cfRule type="cellIs" dxfId="188" priority="7" stopIfTrue="1" operator="greaterThan">
      <formula>$C$59*0.1</formula>
    </cfRule>
  </conditionalFormatting>
  <conditionalFormatting sqref="C59">
    <cfRule type="cellIs" dxfId="187" priority="20" stopIfTrue="1" operator="greaterThan">
      <formula>$C$61</formula>
    </cfRule>
  </conditionalFormatting>
  <conditionalFormatting sqref="C60:D60">
    <cfRule type="cellIs" dxfId="186" priority="1" stopIfTrue="1" operator="lessThan">
      <formula>0</formula>
    </cfRule>
  </conditionalFormatting>
  <conditionalFormatting sqref="D14">
    <cfRule type="cellIs" dxfId="185" priority="14" stopIfTrue="1" operator="greaterThan">
      <formula>$D$16*0.1</formula>
    </cfRule>
  </conditionalFormatting>
  <conditionalFormatting sqref="D26">
    <cfRule type="cellIs" dxfId="184" priority="11" stopIfTrue="1" operator="greaterThan">
      <formula>$D$28*0.1</formula>
    </cfRule>
  </conditionalFormatting>
  <conditionalFormatting sqref="D28">
    <cfRule type="cellIs" dxfId="183" priority="17" stopIfTrue="1" operator="greaterThan">
      <formula>$D$30</formula>
    </cfRule>
  </conditionalFormatting>
  <conditionalFormatting sqref="D29">
    <cfRule type="cellIs" dxfId="182" priority="2" stopIfTrue="1" operator="lessThan">
      <formula>0</formula>
    </cfRule>
  </conditionalFormatting>
  <conditionalFormatting sqref="D45">
    <cfRule type="cellIs" dxfId="181" priority="5" stopIfTrue="1" operator="greaterThan">
      <formula>$D$47*0.1</formula>
    </cfRule>
  </conditionalFormatting>
  <conditionalFormatting sqref="D57">
    <cfRule type="cellIs" dxfId="180" priority="8" stopIfTrue="1" operator="greaterThan">
      <formula>$D$59*0.1</formula>
    </cfRule>
  </conditionalFormatting>
  <conditionalFormatting sqref="D59">
    <cfRule type="cellIs" dxfId="179" priority="19" stopIfTrue="1" operator="greaterThan">
      <formula>$D$61</formula>
    </cfRule>
  </conditionalFormatting>
  <conditionalFormatting sqref="E14">
    <cfRule type="cellIs" dxfId="178" priority="15" stopIfTrue="1" operator="greaterThan">
      <formula>$E$16*0.1</formula>
    </cfRule>
  </conditionalFormatting>
  <conditionalFormatting sqref="E26">
    <cfRule type="cellIs" dxfId="177" priority="12" stopIfTrue="1" operator="greaterThan">
      <formula>$E$28*0.1</formula>
    </cfRule>
  </conditionalFormatting>
  <conditionalFormatting sqref="E45">
    <cfRule type="cellIs" dxfId="176" priority="6" stopIfTrue="1" operator="greaterThan">
      <formula>$E$47*0.1</formula>
    </cfRule>
  </conditionalFormatting>
  <conditionalFormatting sqref="E57">
    <cfRule type="cellIs" dxfId="175" priority="9" stopIfTrue="1" operator="greaterThan">
      <formula>$E$59*0.1</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F0"/>
    <pageSetUpPr fitToPage="1"/>
  </sheetPr>
  <dimension ref="B1:E66"/>
  <sheetViews>
    <sheetView workbookViewId="0">
      <selection activeCell="B3" sqref="B3"/>
    </sheetView>
  </sheetViews>
  <sheetFormatPr defaultColWidth="8.88671875" defaultRowHeight="15.75" x14ac:dyDescent="0.2"/>
  <cols>
    <col min="1" max="1" width="2.44140625" style="65" customWidth="1"/>
    <col min="2" max="2" width="31.109375" style="65" customWidth="1"/>
    <col min="3" max="4" width="15.77734375" style="65" customWidth="1"/>
    <col min="5" max="5" width="16.21875" style="65" customWidth="1"/>
    <col min="6" max="16384" width="8.88671875" style="65"/>
  </cols>
  <sheetData>
    <row r="1" spans="2:5" x14ac:dyDescent="0.2">
      <c r="B1" s="89">
        <f>(inputPrYr!D3)</f>
        <v>0</v>
      </c>
      <c r="C1" s="69"/>
      <c r="D1" s="69"/>
      <c r="E1" s="135">
        <f>inputPrYr!C10</f>
        <v>2025</v>
      </c>
    </row>
    <row r="2" spans="2:5" x14ac:dyDescent="0.2">
      <c r="B2" s="69"/>
      <c r="C2" s="69"/>
      <c r="D2" s="69"/>
      <c r="E2" s="161"/>
    </row>
    <row r="3" spans="2:5" x14ac:dyDescent="0.2">
      <c r="B3" s="239" t="s">
        <v>6</v>
      </c>
      <c r="C3" s="196"/>
      <c r="D3" s="196"/>
      <c r="E3" s="196"/>
    </row>
    <row r="4" spans="2:5" x14ac:dyDescent="0.2">
      <c r="B4" s="72" t="s">
        <v>162</v>
      </c>
      <c r="C4" s="392" t="s">
        <v>359</v>
      </c>
      <c r="D4" s="393" t="s">
        <v>360</v>
      </c>
      <c r="E4" s="142" t="s">
        <v>361</v>
      </c>
    </row>
    <row r="5" spans="2:5" x14ac:dyDescent="0.2">
      <c r="B5" s="377">
        <f>(inputPrYr!B41)</f>
        <v>0</v>
      </c>
      <c r="C5" s="318" t="str">
        <f>CONCATENATE("Actual for ",E1-2,"")</f>
        <v>Actual for 2023</v>
      </c>
      <c r="D5" s="318" t="str">
        <f>CONCATENATE("Estimate for ",E1-1,"")</f>
        <v>Estimate for 2024</v>
      </c>
      <c r="E5" s="176" t="str">
        <f>CONCATENATE("Year for ",E1,"")</f>
        <v>Year for 2025</v>
      </c>
    </row>
    <row r="6" spans="2:5" x14ac:dyDescent="0.2">
      <c r="B6" s="256" t="s">
        <v>18</v>
      </c>
      <c r="C6" s="83"/>
      <c r="D6" s="243">
        <f>C28</f>
        <v>0</v>
      </c>
      <c r="E6" s="243">
        <f>D28</f>
        <v>0</v>
      </c>
    </row>
    <row r="7" spans="2:5" x14ac:dyDescent="0.2">
      <c r="B7" s="257" t="s">
        <v>20</v>
      </c>
      <c r="C7" s="95"/>
      <c r="D7" s="95"/>
      <c r="E7" s="95"/>
    </row>
    <row r="8" spans="2:5" x14ac:dyDescent="0.2">
      <c r="B8" s="245"/>
      <c r="C8" s="83"/>
      <c r="D8" s="83"/>
      <c r="E8" s="83"/>
    </row>
    <row r="9" spans="2:5" x14ac:dyDescent="0.2">
      <c r="B9" s="245"/>
      <c r="C9" s="83"/>
      <c r="D9" s="83"/>
      <c r="E9" s="83"/>
    </row>
    <row r="10" spans="2:5" x14ac:dyDescent="0.2">
      <c r="B10" s="245"/>
      <c r="C10" s="83"/>
      <c r="D10" s="83"/>
      <c r="E10" s="83"/>
    </row>
    <row r="11" spans="2:5" x14ac:dyDescent="0.2">
      <c r="B11" s="245"/>
      <c r="C11" s="83"/>
      <c r="D11" s="83"/>
      <c r="E11" s="83"/>
    </row>
    <row r="12" spans="2:5" x14ac:dyDescent="0.2">
      <c r="B12" s="258" t="s">
        <v>170</v>
      </c>
      <c r="C12" s="83"/>
      <c r="D12" s="83"/>
      <c r="E12" s="83"/>
    </row>
    <row r="13" spans="2:5" x14ac:dyDescent="0.2">
      <c r="B13" s="249" t="s">
        <v>118</v>
      </c>
      <c r="C13" s="83"/>
      <c r="D13" s="242"/>
      <c r="E13" s="242"/>
    </row>
    <row r="14" spans="2:5" x14ac:dyDescent="0.2">
      <c r="B14" s="249" t="s">
        <v>334</v>
      </c>
      <c r="C14" s="371" t="str">
        <f>IF(C15*0.1&lt;C13,"Exceed 10% Rule","")</f>
        <v/>
      </c>
      <c r="D14" s="250" t="str">
        <f>IF(D15*0.1&lt;D13,"Exceed 10% Rule","")</f>
        <v/>
      </c>
      <c r="E14" s="250" t="str">
        <f>IF(E15*0.1&lt;E13,"Exceed 10% Rule","")</f>
        <v/>
      </c>
    </row>
    <row r="15" spans="2:5" x14ac:dyDescent="0.2">
      <c r="B15" s="251" t="s">
        <v>171</v>
      </c>
      <c r="C15" s="253">
        <f>SUM(C8:C13)</f>
        <v>0</v>
      </c>
      <c r="D15" s="253">
        <f>SUM(D8:D13)</f>
        <v>0</v>
      </c>
      <c r="E15" s="253">
        <f>SUM(E8:E13)</f>
        <v>0</v>
      </c>
    </row>
    <row r="16" spans="2:5" x14ac:dyDescent="0.2">
      <c r="B16" s="251" t="s">
        <v>172</v>
      </c>
      <c r="C16" s="253">
        <f>C6+C15</f>
        <v>0</v>
      </c>
      <c r="D16" s="253">
        <f>D6+D15</f>
        <v>0</v>
      </c>
      <c r="E16" s="253">
        <f>E6+E15</f>
        <v>0</v>
      </c>
    </row>
    <row r="17" spans="2:5" x14ac:dyDescent="0.2">
      <c r="B17" s="118" t="s">
        <v>174</v>
      </c>
      <c r="C17" s="243"/>
      <c r="D17" s="243"/>
      <c r="E17" s="243"/>
    </row>
    <row r="18" spans="2:5" x14ac:dyDescent="0.2">
      <c r="B18" s="245"/>
      <c r="C18" s="83"/>
      <c r="D18" s="83"/>
      <c r="E18" s="83"/>
    </row>
    <row r="19" spans="2:5" x14ac:dyDescent="0.2">
      <c r="B19" s="245"/>
      <c r="C19" s="83"/>
      <c r="D19" s="83"/>
      <c r="E19" s="83"/>
    </row>
    <row r="20" spans="2:5" x14ac:dyDescent="0.2">
      <c r="B20" s="245"/>
      <c r="C20" s="83"/>
      <c r="D20" s="83"/>
      <c r="E20" s="83"/>
    </row>
    <row r="21" spans="2:5" x14ac:dyDescent="0.2">
      <c r="B21" s="245"/>
      <c r="C21" s="83"/>
      <c r="D21" s="83"/>
      <c r="E21" s="83"/>
    </row>
    <row r="22" spans="2:5" x14ac:dyDescent="0.2">
      <c r="B22" s="245"/>
      <c r="C22" s="83"/>
      <c r="D22" s="83"/>
      <c r="E22" s="83"/>
    </row>
    <row r="23" spans="2:5" x14ac:dyDescent="0.2">
      <c r="B23" s="245"/>
      <c r="C23" s="83"/>
      <c r="D23" s="83"/>
      <c r="E23" s="83"/>
    </row>
    <row r="24" spans="2:5" x14ac:dyDescent="0.2">
      <c r="B24" s="249" t="str">
        <f>CONCATENATE("Cash Reserve (",E1," column)")</f>
        <v>Cash Reserve (2025 column)</v>
      </c>
      <c r="C24" s="83"/>
      <c r="D24" s="83"/>
      <c r="E24" s="83"/>
    </row>
    <row r="25" spans="2:5" x14ac:dyDescent="0.2">
      <c r="B25" s="249" t="s">
        <v>118</v>
      </c>
      <c r="C25" s="83"/>
      <c r="D25" s="242"/>
      <c r="E25" s="242"/>
    </row>
    <row r="26" spans="2:5" x14ac:dyDescent="0.2">
      <c r="B26" s="249" t="s">
        <v>333</v>
      </c>
      <c r="C26" s="371" t="str">
        <f>IF(C27*0.1&lt;C25,"Exceed 10% Rule","")</f>
        <v/>
      </c>
      <c r="D26" s="250" t="str">
        <f>IF(D27*0.1&lt;D25,"Exceed 10% Rule","")</f>
        <v/>
      </c>
      <c r="E26" s="250" t="str">
        <f>IF(E27*0.1&lt;E25,"Exceed 10% Rule","")</f>
        <v/>
      </c>
    </row>
    <row r="27" spans="2:5" x14ac:dyDescent="0.2">
      <c r="B27" s="251" t="s">
        <v>178</v>
      </c>
      <c r="C27" s="253">
        <f>SUM(C18:C25)</f>
        <v>0</v>
      </c>
      <c r="D27" s="253">
        <f>SUM(D18:D25)</f>
        <v>0</v>
      </c>
      <c r="E27" s="253">
        <f>SUM(E18:E25)</f>
        <v>0</v>
      </c>
    </row>
    <row r="28" spans="2:5" x14ac:dyDescent="0.2">
      <c r="B28" s="118" t="s">
        <v>19</v>
      </c>
      <c r="C28" s="92">
        <f>C16-C27</f>
        <v>0</v>
      </c>
      <c r="D28" s="92">
        <f>D16-D27</f>
        <v>0</v>
      </c>
      <c r="E28" s="92">
        <f>E16-E27</f>
        <v>0</v>
      </c>
    </row>
    <row r="29" spans="2:5" x14ac:dyDescent="0.2">
      <c r="B29" s="164" t="str">
        <f>CONCATENATE("",E1-2,"/",E1-1,"/",E1," Budget Authority Amount:")</f>
        <v>2023/2024/2025 Budget Authority Amount:</v>
      </c>
      <c r="C29" s="270">
        <f>inputOth!B97</f>
        <v>0</v>
      </c>
      <c r="D29" s="270">
        <f>inputPrYr!D41</f>
        <v>0</v>
      </c>
      <c r="E29" s="527">
        <f>E27</f>
        <v>0</v>
      </c>
    </row>
    <row r="30" spans="2:5" x14ac:dyDescent="0.2">
      <c r="B30" s="135"/>
      <c r="C30" s="255" t="str">
        <f>IF(C27&gt;C29,"See Tab A","")</f>
        <v/>
      </c>
      <c r="D30" s="255" t="str">
        <f>IF(D27&gt;D29,"See Tab C","")</f>
        <v/>
      </c>
      <c r="E30" s="528" t="str">
        <f>IF(E28&lt;0,"See Tab E","")</f>
        <v/>
      </c>
    </row>
    <row r="31" spans="2:5" x14ac:dyDescent="0.2">
      <c r="B31" s="135"/>
      <c r="C31" s="255" t="str">
        <f>IF(C28&lt;0,"See Tab B","")</f>
        <v/>
      </c>
      <c r="D31" s="255" t="str">
        <f>IF(D28&lt;0,"See Tab D","")</f>
        <v/>
      </c>
      <c r="E31" s="101"/>
    </row>
    <row r="32" spans="2:5" x14ac:dyDescent="0.2">
      <c r="B32" s="69"/>
      <c r="C32" s="101"/>
      <c r="D32" s="101"/>
      <c r="E32" s="101"/>
    </row>
    <row r="33" spans="2:5" x14ac:dyDescent="0.2">
      <c r="B33" s="72"/>
      <c r="C33" s="259"/>
      <c r="D33" s="259"/>
      <c r="E33" s="259"/>
    </row>
    <row r="34" spans="2:5" x14ac:dyDescent="0.2">
      <c r="B34" s="72" t="s">
        <v>162</v>
      </c>
      <c r="C34" s="198" t="s">
        <v>359</v>
      </c>
      <c r="D34" s="142" t="s">
        <v>362</v>
      </c>
      <c r="E34" s="142" t="s">
        <v>361</v>
      </c>
    </row>
    <row r="35" spans="2:5" x14ac:dyDescent="0.2">
      <c r="B35" s="377">
        <f>(inputPrYr!B42)</f>
        <v>0</v>
      </c>
      <c r="C35" s="147" t="str">
        <f>C5</f>
        <v>Actual for 2023</v>
      </c>
      <c r="D35" s="147" t="str">
        <f>D5</f>
        <v>Estimate for 2024</v>
      </c>
      <c r="E35" s="147" t="str">
        <f>E5</f>
        <v>Year for 2025</v>
      </c>
    </row>
    <row r="36" spans="2:5" x14ac:dyDescent="0.2">
      <c r="B36" s="256" t="s">
        <v>18</v>
      </c>
      <c r="C36" s="83"/>
      <c r="D36" s="243">
        <f>C59</f>
        <v>0</v>
      </c>
      <c r="E36" s="243">
        <f>D59</f>
        <v>0</v>
      </c>
    </row>
    <row r="37" spans="2:5" x14ac:dyDescent="0.2">
      <c r="B37" s="257" t="s">
        <v>20</v>
      </c>
      <c r="C37" s="95"/>
      <c r="D37" s="95"/>
      <c r="E37" s="95"/>
    </row>
    <row r="38" spans="2:5" x14ac:dyDescent="0.2">
      <c r="B38" s="245"/>
      <c r="C38" s="83"/>
      <c r="D38" s="83"/>
      <c r="E38" s="83"/>
    </row>
    <row r="39" spans="2:5" x14ac:dyDescent="0.2">
      <c r="B39" s="245"/>
      <c r="C39" s="83"/>
      <c r="D39" s="83"/>
      <c r="E39" s="83"/>
    </row>
    <row r="40" spans="2:5" x14ac:dyDescent="0.2">
      <c r="B40" s="245"/>
      <c r="C40" s="83"/>
      <c r="D40" s="83"/>
      <c r="E40" s="83"/>
    </row>
    <row r="41" spans="2:5" x14ac:dyDescent="0.2">
      <c r="B41" s="245"/>
      <c r="C41" s="83"/>
      <c r="D41" s="83"/>
      <c r="E41" s="83"/>
    </row>
    <row r="42" spans="2:5" x14ac:dyDescent="0.2">
      <c r="B42" s="258" t="s">
        <v>170</v>
      </c>
      <c r="C42" s="83"/>
      <c r="D42" s="83"/>
      <c r="E42" s="83"/>
    </row>
    <row r="43" spans="2:5" x14ac:dyDescent="0.2">
      <c r="B43" s="249" t="s">
        <v>118</v>
      </c>
      <c r="C43" s="83"/>
      <c r="D43" s="242"/>
      <c r="E43" s="242"/>
    </row>
    <row r="44" spans="2:5" x14ac:dyDescent="0.2">
      <c r="B44" s="249" t="s">
        <v>334</v>
      </c>
      <c r="C44" s="371" t="str">
        <f>IF(C45*0.1&lt;C43,"Exceed 10% Rule","")</f>
        <v/>
      </c>
      <c r="D44" s="250" t="str">
        <f>IF(D45*0.1&lt;D43,"Exceed 10% Rule","")</f>
        <v/>
      </c>
      <c r="E44" s="250" t="str">
        <f>IF(E45*0.1&lt;E43,"Exceed 10% Rule","")</f>
        <v/>
      </c>
    </row>
    <row r="45" spans="2:5" x14ac:dyDescent="0.2">
      <c r="B45" s="251" t="s">
        <v>171</v>
      </c>
      <c r="C45" s="253">
        <f>SUM(C38:C43)</f>
        <v>0</v>
      </c>
      <c r="D45" s="253">
        <f>SUM(D38:D43)</f>
        <v>0</v>
      </c>
      <c r="E45" s="253">
        <f>SUM(E38:E43)</f>
        <v>0</v>
      </c>
    </row>
    <row r="46" spans="2:5" x14ac:dyDescent="0.2">
      <c r="B46" s="251" t="s">
        <v>172</v>
      </c>
      <c r="C46" s="253">
        <f>C36+C45</f>
        <v>0</v>
      </c>
      <c r="D46" s="253">
        <f>D36+D45</f>
        <v>0</v>
      </c>
      <c r="E46" s="253">
        <f>E36+E45</f>
        <v>0</v>
      </c>
    </row>
    <row r="47" spans="2:5" x14ac:dyDescent="0.2">
      <c r="B47" s="118" t="s">
        <v>174</v>
      </c>
      <c r="C47" s="243"/>
      <c r="D47" s="243"/>
      <c r="E47" s="243"/>
    </row>
    <row r="48" spans="2:5" x14ac:dyDescent="0.2">
      <c r="B48" s="245"/>
      <c r="C48" s="83"/>
      <c r="D48" s="83"/>
      <c r="E48" s="83"/>
    </row>
    <row r="49" spans="2:5" x14ac:dyDescent="0.2">
      <c r="B49" s="245"/>
      <c r="C49" s="83"/>
      <c r="D49" s="83"/>
      <c r="E49" s="83"/>
    </row>
    <row r="50" spans="2:5" x14ac:dyDescent="0.2">
      <c r="B50" s="245"/>
      <c r="C50" s="83"/>
      <c r="D50" s="83"/>
      <c r="E50" s="83"/>
    </row>
    <row r="51" spans="2:5" x14ac:dyDescent="0.2">
      <c r="B51" s="245"/>
      <c r="C51" s="83"/>
      <c r="D51" s="83"/>
      <c r="E51" s="83"/>
    </row>
    <row r="52" spans="2:5" x14ac:dyDescent="0.2">
      <c r="B52" s="245"/>
      <c r="C52" s="83"/>
      <c r="D52" s="83"/>
      <c r="E52" s="83"/>
    </row>
    <row r="53" spans="2:5" x14ac:dyDescent="0.2">
      <c r="B53" s="245"/>
      <c r="C53" s="83"/>
      <c r="D53" s="83"/>
      <c r="E53" s="83"/>
    </row>
    <row r="54" spans="2:5" x14ac:dyDescent="0.2">
      <c r="B54" s="245"/>
      <c r="C54" s="83"/>
      <c r="D54" s="83"/>
      <c r="E54" s="83"/>
    </row>
    <row r="55" spans="2:5" x14ac:dyDescent="0.2">
      <c r="B55" s="249" t="str">
        <f>CONCATENATE("Cash Reserve (",E1," column)")</f>
        <v>Cash Reserve (2025 column)</v>
      </c>
      <c r="C55" s="83"/>
      <c r="D55" s="83"/>
      <c r="E55" s="83"/>
    </row>
    <row r="56" spans="2:5" x14ac:dyDescent="0.2">
      <c r="B56" s="249" t="s">
        <v>118</v>
      </c>
      <c r="C56" s="83"/>
      <c r="D56" s="242"/>
      <c r="E56" s="242"/>
    </row>
    <row r="57" spans="2:5" x14ac:dyDescent="0.2">
      <c r="B57" s="249" t="s">
        <v>333</v>
      </c>
      <c r="C57" s="371" t="str">
        <f>IF(C58*0.1&lt;C56,"Exceed 10% Rule","")</f>
        <v/>
      </c>
      <c r="D57" s="250" t="str">
        <f>IF(D58*0.1&lt;D56,"Exceed 10% Rule","")</f>
        <v/>
      </c>
      <c r="E57" s="250" t="str">
        <f>IF(E58*0.1&lt;E56,"Exceed 10% Rule","")</f>
        <v/>
      </c>
    </row>
    <row r="58" spans="2:5" x14ac:dyDescent="0.2">
      <c r="B58" s="251" t="s">
        <v>178</v>
      </c>
      <c r="C58" s="253">
        <f>SUM(C48:C56)</f>
        <v>0</v>
      </c>
      <c r="D58" s="253">
        <f>SUM(D48:D56)</f>
        <v>0</v>
      </c>
      <c r="E58" s="253">
        <f>SUM(E48:E56)</f>
        <v>0</v>
      </c>
    </row>
    <row r="59" spans="2:5" x14ac:dyDescent="0.2">
      <c r="B59" s="118" t="s">
        <v>19</v>
      </c>
      <c r="C59" s="92">
        <f>C46-C58</f>
        <v>0</v>
      </c>
      <c r="D59" s="92">
        <f>D46-D58</f>
        <v>0</v>
      </c>
      <c r="E59" s="92">
        <f>E46-E58</f>
        <v>0</v>
      </c>
    </row>
    <row r="60" spans="2:5" x14ac:dyDescent="0.2">
      <c r="B60" s="164" t="str">
        <f>CONCATENATE("",E1-2,"/",E1-1,"/",E1," Budget Authority Amount:")</f>
        <v>2023/2024/2025 Budget Authority Amount:</v>
      </c>
      <c r="C60" s="270">
        <f>inputOth!B98</f>
        <v>0</v>
      </c>
      <c r="D60" s="270">
        <f>inputPrYr!D42</f>
        <v>0</v>
      </c>
      <c r="E60" s="527">
        <f>E58</f>
        <v>0</v>
      </c>
    </row>
    <row r="61" spans="2:5" x14ac:dyDescent="0.2">
      <c r="B61" s="135"/>
      <c r="C61" s="255" t="str">
        <f>IF(C58&gt;C60,"See Tab A","")</f>
        <v/>
      </c>
      <c r="D61" s="255" t="str">
        <f>IF(D58&gt;D60,"See Tab C","")</f>
        <v/>
      </c>
      <c r="E61" s="528" t="str">
        <f>IF(E59&lt;0,"See Tab E","")</f>
        <v/>
      </c>
    </row>
    <row r="62" spans="2:5" x14ac:dyDescent="0.2">
      <c r="B62" s="603" t="s">
        <v>513</v>
      </c>
      <c r="C62" s="528"/>
      <c r="D62" s="528"/>
      <c r="E62" s="593"/>
    </row>
    <row r="63" spans="2:5" x14ac:dyDescent="0.2">
      <c r="B63" s="594"/>
      <c r="C63" s="255"/>
      <c r="D63" s="255"/>
      <c r="E63" s="595"/>
    </row>
    <row r="64" spans="2:5" x14ac:dyDescent="0.2">
      <c r="B64" s="596"/>
      <c r="C64" s="597" t="str">
        <f>IF(C59&lt;0,"See Tab B","")</f>
        <v/>
      </c>
      <c r="D64" s="597" t="str">
        <f>IF(D59&lt;0,"See Tab D","")</f>
        <v/>
      </c>
      <c r="E64" s="96"/>
    </row>
    <row r="65" spans="2:5" x14ac:dyDescent="0.2">
      <c r="B65" s="69"/>
      <c r="C65" s="69"/>
      <c r="D65" s="69"/>
      <c r="E65" s="69"/>
    </row>
    <row r="66" spans="2:5" x14ac:dyDescent="0.2">
      <c r="B66" s="135" t="s">
        <v>181</v>
      </c>
      <c r="C66" s="564"/>
      <c r="D66" s="69"/>
      <c r="E66" s="69"/>
    </row>
  </sheetData>
  <sheetProtection sheet="1"/>
  <phoneticPr fontId="0" type="noConversion"/>
  <conditionalFormatting sqref="C13">
    <cfRule type="cellIs" dxfId="174" priority="12" stopIfTrue="1" operator="greaterThan">
      <formula>$C$15*0.1</formula>
    </cfRule>
  </conditionalFormatting>
  <conditionalFormatting sqref="C25">
    <cfRule type="cellIs" dxfId="173" priority="9" stopIfTrue="1" operator="greaterThan">
      <formula>$C$27*0.1</formula>
    </cfRule>
  </conditionalFormatting>
  <conditionalFormatting sqref="C27">
    <cfRule type="cellIs" dxfId="172" priority="19" stopIfTrue="1" operator="greaterThan">
      <formula>$C$29</formula>
    </cfRule>
  </conditionalFormatting>
  <conditionalFormatting sqref="C28 E28 C59 E59">
    <cfRule type="cellIs" dxfId="171" priority="15" stopIfTrue="1" operator="lessThan">
      <formula>0</formula>
    </cfRule>
  </conditionalFormatting>
  <conditionalFormatting sqref="C43">
    <cfRule type="cellIs" dxfId="170" priority="3" stopIfTrue="1" operator="greaterThan">
      <formula>$C$45*0.1</formula>
    </cfRule>
  </conditionalFormatting>
  <conditionalFormatting sqref="C56">
    <cfRule type="cellIs" dxfId="169" priority="6" stopIfTrue="1" operator="greaterThan">
      <formula>$C$58*0.1</formula>
    </cfRule>
  </conditionalFormatting>
  <conditionalFormatting sqref="C58">
    <cfRule type="cellIs" dxfId="168" priority="17" stopIfTrue="1" operator="greaterThan">
      <formula>$C$60</formula>
    </cfRule>
  </conditionalFormatting>
  <conditionalFormatting sqref="D13">
    <cfRule type="cellIs" dxfId="167" priority="13" stopIfTrue="1" operator="greaterThan">
      <formula>$D$15*0.1</formula>
    </cfRule>
  </conditionalFormatting>
  <conditionalFormatting sqref="D25">
    <cfRule type="cellIs" dxfId="166" priority="10" stopIfTrue="1" operator="greaterThan">
      <formula>$D$27*0.1</formula>
    </cfRule>
  </conditionalFormatting>
  <conditionalFormatting sqref="D27">
    <cfRule type="cellIs" dxfId="165" priority="18" stopIfTrue="1" operator="greaterThan">
      <formula>$D$29</formula>
    </cfRule>
  </conditionalFormatting>
  <conditionalFormatting sqref="D28">
    <cfRule type="cellIs" dxfId="164" priority="1" stopIfTrue="1" operator="lessThan">
      <formula>0</formula>
    </cfRule>
  </conditionalFormatting>
  <conditionalFormatting sqref="D43">
    <cfRule type="cellIs" dxfId="163" priority="4" stopIfTrue="1" operator="greaterThan">
      <formula>$D$45*0.1</formula>
    </cfRule>
  </conditionalFormatting>
  <conditionalFormatting sqref="D56">
    <cfRule type="cellIs" dxfId="162" priority="7" stopIfTrue="1" operator="greaterThan">
      <formula>$D$58*0.1</formula>
    </cfRule>
  </conditionalFormatting>
  <conditionalFormatting sqref="D58">
    <cfRule type="cellIs" dxfId="161" priority="16" stopIfTrue="1" operator="greaterThan">
      <formula>$D$60</formula>
    </cfRule>
  </conditionalFormatting>
  <conditionalFormatting sqref="D59">
    <cfRule type="cellIs" dxfId="160" priority="2" stopIfTrue="1" operator="lessThan">
      <formula>0</formula>
    </cfRule>
  </conditionalFormatting>
  <conditionalFormatting sqref="E13">
    <cfRule type="cellIs" dxfId="159" priority="14" stopIfTrue="1" operator="greaterThan">
      <formula>$E$15*0.1</formula>
    </cfRule>
  </conditionalFormatting>
  <conditionalFormatting sqref="E25">
    <cfRule type="cellIs" dxfId="158" priority="11" stopIfTrue="1" operator="greaterThan">
      <formula>$E$27*0.1</formula>
    </cfRule>
  </conditionalFormatting>
  <conditionalFormatting sqref="E43">
    <cfRule type="cellIs" dxfId="157" priority="5" stopIfTrue="1" operator="greaterThan">
      <formula>$E$45*0.1</formula>
    </cfRule>
  </conditionalFormatting>
  <conditionalFormatting sqref="E56">
    <cfRule type="cellIs" dxfId="156" priority="8" stopIfTrue="1" operator="greaterThan">
      <formula>$E$58*0.1</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F0"/>
    <pageSetUpPr fitToPage="1"/>
  </sheetPr>
  <dimension ref="B1:E67"/>
  <sheetViews>
    <sheetView workbookViewId="0">
      <selection activeCell="B4" sqref="B4"/>
    </sheetView>
  </sheetViews>
  <sheetFormatPr defaultColWidth="8.88671875" defaultRowHeight="15.75" x14ac:dyDescent="0.2"/>
  <cols>
    <col min="1" max="1" width="2.44140625" style="65" customWidth="1"/>
    <col min="2" max="2" width="31.109375" style="65" customWidth="1"/>
    <col min="3" max="4" width="15.77734375" style="65" customWidth="1"/>
    <col min="5" max="5" width="16.109375" style="65" customWidth="1"/>
    <col min="6" max="16384" width="8.88671875" style="65"/>
  </cols>
  <sheetData>
    <row r="1" spans="2:5" x14ac:dyDescent="0.2">
      <c r="B1" s="89">
        <f>(inputPrYr!D3)</f>
        <v>0</v>
      </c>
      <c r="C1" s="69"/>
      <c r="D1" s="69"/>
      <c r="E1" s="135">
        <f>inputPrYr!C10</f>
        <v>2025</v>
      </c>
    </row>
    <row r="2" spans="2:5" x14ac:dyDescent="0.2">
      <c r="B2" s="69"/>
      <c r="C2" s="69"/>
      <c r="D2" s="69"/>
      <c r="E2" s="161"/>
    </row>
    <row r="3" spans="2:5" x14ac:dyDescent="0.2">
      <c r="B3" s="239" t="s">
        <v>6</v>
      </c>
      <c r="C3" s="196"/>
      <c r="D3" s="196"/>
      <c r="E3" s="196"/>
    </row>
    <row r="4" spans="2:5" x14ac:dyDescent="0.2">
      <c r="B4" s="72" t="s">
        <v>162</v>
      </c>
      <c r="C4" s="392" t="s">
        <v>359</v>
      </c>
      <c r="D4" s="393" t="s">
        <v>360</v>
      </c>
      <c r="E4" s="142" t="s">
        <v>361</v>
      </c>
    </row>
    <row r="5" spans="2:5" x14ac:dyDescent="0.2">
      <c r="B5" s="377">
        <f>(inputPrYr!B43)</f>
        <v>0</v>
      </c>
      <c r="C5" s="318" t="str">
        <f>CONCATENATE("Actual for ",E1-2,"")</f>
        <v>Actual for 2023</v>
      </c>
      <c r="D5" s="318" t="str">
        <f>CONCATENATE("Estimate for ",E1-1,"")</f>
        <v>Estimate for 2024</v>
      </c>
      <c r="E5" s="176" t="str">
        <f>CONCATENATE("Year for ",E1,"")</f>
        <v>Year for 2025</v>
      </c>
    </row>
    <row r="6" spans="2:5" x14ac:dyDescent="0.2">
      <c r="B6" s="256" t="s">
        <v>18</v>
      </c>
      <c r="C6" s="83"/>
      <c r="D6" s="243">
        <f>C29</f>
        <v>0</v>
      </c>
      <c r="E6" s="243">
        <f>D29</f>
        <v>0</v>
      </c>
    </row>
    <row r="7" spans="2:5" x14ac:dyDescent="0.2">
      <c r="B7" s="257" t="s">
        <v>20</v>
      </c>
      <c r="C7" s="95"/>
      <c r="D7" s="95"/>
      <c r="E7" s="95"/>
    </row>
    <row r="8" spans="2:5" x14ac:dyDescent="0.2">
      <c r="B8" s="245"/>
      <c r="C8" s="83"/>
      <c r="D8" s="83"/>
      <c r="E8" s="83"/>
    </row>
    <row r="9" spans="2:5" x14ac:dyDescent="0.2">
      <c r="B9" s="245"/>
      <c r="C9" s="83"/>
      <c r="D9" s="83"/>
      <c r="E9" s="83"/>
    </row>
    <row r="10" spans="2:5" x14ac:dyDescent="0.2">
      <c r="B10" s="245"/>
      <c r="C10" s="83"/>
      <c r="D10" s="83"/>
      <c r="E10" s="83"/>
    </row>
    <row r="11" spans="2:5" x14ac:dyDescent="0.2">
      <c r="B11" s="245"/>
      <c r="C11" s="83"/>
      <c r="D11" s="83"/>
      <c r="E11" s="83"/>
    </row>
    <row r="12" spans="2:5" x14ac:dyDescent="0.2">
      <c r="B12" s="258" t="s">
        <v>170</v>
      </c>
      <c r="C12" s="83"/>
      <c r="D12" s="83"/>
      <c r="E12" s="83"/>
    </row>
    <row r="13" spans="2:5" x14ac:dyDescent="0.2">
      <c r="B13" s="249" t="s">
        <v>118</v>
      </c>
      <c r="C13" s="83"/>
      <c r="D13" s="242"/>
      <c r="E13" s="242"/>
    </row>
    <row r="14" spans="2:5" x14ac:dyDescent="0.2">
      <c r="B14" s="249" t="s">
        <v>334</v>
      </c>
      <c r="C14" s="371" t="str">
        <f>IF(C15*0.1&lt;C13,"Exceed 10% Rule","")</f>
        <v/>
      </c>
      <c r="D14" s="250" t="str">
        <f>IF(D15*0.1&lt;D13,"Exceed 10% Rule","")</f>
        <v/>
      </c>
      <c r="E14" s="250" t="str">
        <f>IF(E15*0.1&lt;E13,"Exceed 10% Rule","")</f>
        <v/>
      </c>
    </row>
    <row r="15" spans="2:5" x14ac:dyDescent="0.2">
      <c r="B15" s="251" t="s">
        <v>171</v>
      </c>
      <c r="C15" s="253">
        <f>SUM(C8:C13)</f>
        <v>0</v>
      </c>
      <c r="D15" s="253">
        <f>SUM(D8:D13)</f>
        <v>0</v>
      </c>
      <c r="E15" s="253">
        <f>SUM(E8:E13)</f>
        <v>0</v>
      </c>
    </row>
    <row r="16" spans="2:5" x14ac:dyDescent="0.2">
      <c r="B16" s="251" t="s">
        <v>172</v>
      </c>
      <c r="C16" s="253">
        <f>C6+C15</f>
        <v>0</v>
      </c>
      <c r="D16" s="253">
        <f>D6+D15</f>
        <v>0</v>
      </c>
      <c r="E16" s="253">
        <f>E6+E15</f>
        <v>0</v>
      </c>
    </row>
    <row r="17" spans="2:5" x14ac:dyDescent="0.2">
      <c r="B17" s="118" t="s">
        <v>174</v>
      </c>
      <c r="C17" s="243"/>
      <c r="D17" s="243"/>
      <c r="E17" s="243"/>
    </row>
    <row r="18" spans="2:5" x14ac:dyDescent="0.2">
      <c r="B18" s="245"/>
      <c r="C18" s="83"/>
      <c r="D18" s="83"/>
      <c r="E18" s="83"/>
    </row>
    <row r="19" spans="2:5" x14ac:dyDescent="0.2">
      <c r="B19" s="245"/>
      <c r="C19" s="83"/>
      <c r="D19" s="83"/>
      <c r="E19" s="83"/>
    </row>
    <row r="20" spans="2:5" x14ac:dyDescent="0.2">
      <c r="B20" s="245"/>
      <c r="C20" s="83"/>
      <c r="D20" s="83"/>
      <c r="E20" s="83"/>
    </row>
    <row r="21" spans="2:5" x14ac:dyDescent="0.2">
      <c r="B21" s="245"/>
      <c r="C21" s="83"/>
      <c r="D21" s="83"/>
      <c r="E21" s="83"/>
    </row>
    <row r="22" spans="2:5" x14ac:dyDescent="0.2">
      <c r="B22" s="245"/>
      <c r="C22" s="83"/>
      <c r="D22" s="83"/>
      <c r="E22" s="83"/>
    </row>
    <row r="23" spans="2:5" x14ac:dyDescent="0.2">
      <c r="B23" s="245"/>
      <c r="C23" s="83"/>
      <c r="D23" s="83"/>
      <c r="E23" s="83"/>
    </row>
    <row r="24" spans="2:5" x14ac:dyDescent="0.2">
      <c r="B24" s="245"/>
      <c r="C24" s="83"/>
      <c r="D24" s="83"/>
      <c r="E24" s="83"/>
    </row>
    <row r="25" spans="2:5" x14ac:dyDescent="0.2">
      <c r="B25" s="249" t="str">
        <f>CONCATENATE("Cash Reserve (",E1," column)")</f>
        <v>Cash Reserve (2025 column)</v>
      </c>
      <c r="C25" s="83"/>
      <c r="D25" s="83"/>
      <c r="E25" s="83"/>
    </row>
    <row r="26" spans="2:5" x14ac:dyDescent="0.2">
      <c r="B26" s="249" t="s">
        <v>118</v>
      </c>
      <c r="C26" s="83"/>
      <c r="D26" s="242"/>
      <c r="E26" s="242"/>
    </row>
    <row r="27" spans="2:5" x14ac:dyDescent="0.2">
      <c r="B27" s="249" t="s">
        <v>333</v>
      </c>
      <c r="C27" s="371" t="str">
        <f>IF(C28*0.1&lt;C26,"Exceed 10% Rule","")</f>
        <v/>
      </c>
      <c r="D27" s="250" t="str">
        <f>IF(D28*0.1&lt;D26,"Exceed 10% Rule","")</f>
        <v/>
      </c>
      <c r="E27" s="250" t="str">
        <f>IF(E28*0.1&lt;E26,"Exceed 10% Rule","")</f>
        <v/>
      </c>
    </row>
    <row r="28" spans="2:5" x14ac:dyDescent="0.2">
      <c r="B28" s="251" t="s">
        <v>178</v>
      </c>
      <c r="C28" s="253">
        <f>SUM(C18:C26)</f>
        <v>0</v>
      </c>
      <c r="D28" s="253">
        <f>SUM(D18:D26)</f>
        <v>0</v>
      </c>
      <c r="E28" s="253">
        <f>SUM(E18:E26)</f>
        <v>0</v>
      </c>
    </row>
    <row r="29" spans="2:5" x14ac:dyDescent="0.2">
      <c r="B29" s="118" t="s">
        <v>19</v>
      </c>
      <c r="C29" s="92">
        <f>C16-C28</f>
        <v>0</v>
      </c>
      <c r="D29" s="92">
        <f>D16-D28</f>
        <v>0</v>
      </c>
      <c r="E29" s="92">
        <f>E16-E28</f>
        <v>0</v>
      </c>
    </row>
    <row r="30" spans="2:5" x14ac:dyDescent="0.2">
      <c r="B30" s="164" t="str">
        <f>CONCATENATE("",E1-2,"/",E1-1,"/",E1," Budget Authority Amount:")</f>
        <v>2023/2024/2025 Budget Authority Amount:</v>
      </c>
      <c r="C30" s="270">
        <f>inputOth!B99</f>
        <v>0</v>
      </c>
      <c r="D30" s="270">
        <f>inputPrYr!D43</f>
        <v>0</v>
      </c>
      <c r="E30" s="527">
        <f>E28</f>
        <v>0</v>
      </c>
    </row>
    <row r="31" spans="2:5" x14ac:dyDescent="0.2">
      <c r="B31" s="135"/>
      <c r="C31" s="255" t="str">
        <f>IF(C28&gt;C30,"See Tab A","")</f>
        <v/>
      </c>
      <c r="D31" s="255" t="str">
        <f>IF(D28&gt;D30,"See Tab C","")</f>
        <v/>
      </c>
      <c r="E31" s="528" t="str">
        <f>IF(E29&lt;0,"See Tab E","")</f>
        <v/>
      </c>
    </row>
    <row r="32" spans="2:5" x14ac:dyDescent="0.2">
      <c r="B32" s="135"/>
      <c r="C32" s="255" t="str">
        <f>IF(C29&lt;0,"See Tab B","")</f>
        <v/>
      </c>
      <c r="D32" s="255" t="str">
        <f>IF(D29&lt;0,"See Tab D","")</f>
        <v/>
      </c>
      <c r="E32" s="101"/>
    </row>
    <row r="33" spans="2:5" x14ac:dyDescent="0.2">
      <c r="B33" s="69"/>
      <c r="C33" s="101"/>
      <c r="D33" s="101"/>
      <c r="E33" s="101"/>
    </row>
    <row r="34" spans="2:5" x14ac:dyDescent="0.2">
      <c r="B34" s="72"/>
      <c r="C34" s="259"/>
      <c r="D34" s="259"/>
      <c r="E34" s="259"/>
    </row>
    <row r="35" spans="2:5" x14ac:dyDescent="0.2">
      <c r="B35" s="72" t="s">
        <v>162</v>
      </c>
      <c r="C35" s="198" t="s">
        <v>359</v>
      </c>
      <c r="D35" s="142" t="s">
        <v>362</v>
      </c>
      <c r="E35" s="142" t="s">
        <v>361</v>
      </c>
    </row>
    <row r="36" spans="2:5" x14ac:dyDescent="0.2">
      <c r="B36" s="377">
        <f>(inputPrYr!B44)</f>
        <v>0</v>
      </c>
      <c r="C36" s="147" t="str">
        <f>C5</f>
        <v>Actual for 2023</v>
      </c>
      <c r="D36" s="147" t="str">
        <f>D5</f>
        <v>Estimate for 2024</v>
      </c>
      <c r="E36" s="147" t="str">
        <f>E5</f>
        <v>Year for 2025</v>
      </c>
    </row>
    <row r="37" spans="2:5" x14ac:dyDescent="0.2">
      <c r="B37" s="256" t="s">
        <v>18</v>
      </c>
      <c r="C37" s="83"/>
      <c r="D37" s="243">
        <f>C60</f>
        <v>0</v>
      </c>
      <c r="E37" s="243">
        <f>D60</f>
        <v>0</v>
      </c>
    </row>
    <row r="38" spans="2:5" x14ac:dyDescent="0.2">
      <c r="B38" s="257" t="s">
        <v>20</v>
      </c>
      <c r="C38" s="95"/>
      <c r="D38" s="95"/>
      <c r="E38" s="95"/>
    </row>
    <row r="39" spans="2:5" x14ac:dyDescent="0.2">
      <c r="B39" s="245"/>
      <c r="C39" s="83"/>
      <c r="D39" s="83"/>
      <c r="E39" s="83"/>
    </row>
    <row r="40" spans="2:5" x14ac:dyDescent="0.2">
      <c r="B40" s="245"/>
      <c r="C40" s="83"/>
      <c r="D40" s="83"/>
      <c r="E40" s="83"/>
    </row>
    <row r="41" spans="2:5" x14ac:dyDescent="0.2">
      <c r="B41" s="245"/>
      <c r="C41" s="83"/>
      <c r="D41" s="83"/>
      <c r="E41" s="83"/>
    </row>
    <row r="42" spans="2:5" x14ac:dyDescent="0.2">
      <c r="B42" s="245"/>
      <c r="C42" s="83"/>
      <c r="D42" s="83"/>
      <c r="E42" s="83"/>
    </row>
    <row r="43" spans="2:5" x14ac:dyDescent="0.2">
      <c r="B43" s="245"/>
      <c r="C43" s="83"/>
      <c r="D43" s="83"/>
      <c r="E43" s="83"/>
    </row>
    <row r="44" spans="2:5" x14ac:dyDescent="0.2">
      <c r="B44" s="258" t="s">
        <v>170</v>
      </c>
      <c r="C44" s="83"/>
      <c r="D44" s="83"/>
      <c r="E44" s="83"/>
    </row>
    <row r="45" spans="2:5" x14ac:dyDescent="0.2">
      <c r="B45" s="249" t="s">
        <v>118</v>
      </c>
      <c r="C45" s="83"/>
      <c r="D45" s="242"/>
      <c r="E45" s="242"/>
    </row>
    <row r="46" spans="2:5" x14ac:dyDescent="0.2">
      <c r="B46" s="249" t="s">
        <v>334</v>
      </c>
      <c r="C46" s="371" t="str">
        <f>IF(C47*0.1&lt;C45,"Exceed 10% Rule","")</f>
        <v/>
      </c>
      <c r="D46" s="250" t="str">
        <f>IF(D47*0.1&lt;D45,"Exceed 10% Rule","")</f>
        <v/>
      </c>
      <c r="E46" s="250" t="str">
        <f>IF(E47*0.1&lt;E45,"Exceed 10% Rule","")</f>
        <v/>
      </c>
    </row>
    <row r="47" spans="2:5" x14ac:dyDescent="0.2">
      <c r="B47" s="251" t="s">
        <v>171</v>
      </c>
      <c r="C47" s="253">
        <f>SUM(C39:C45)</f>
        <v>0</v>
      </c>
      <c r="D47" s="253">
        <f>SUM(D39:D45)</f>
        <v>0</v>
      </c>
      <c r="E47" s="253">
        <f>SUM(E39:E45)</f>
        <v>0</v>
      </c>
    </row>
    <row r="48" spans="2:5" x14ac:dyDescent="0.2">
      <c r="B48" s="251" t="s">
        <v>172</v>
      </c>
      <c r="C48" s="253">
        <f>C37+C47</f>
        <v>0</v>
      </c>
      <c r="D48" s="253">
        <f>D37+D47</f>
        <v>0</v>
      </c>
      <c r="E48" s="253">
        <f>E37+E47</f>
        <v>0</v>
      </c>
    </row>
    <row r="49" spans="2:5" x14ac:dyDescent="0.2">
      <c r="B49" s="118" t="s">
        <v>174</v>
      </c>
      <c r="C49" s="243"/>
      <c r="D49" s="243"/>
      <c r="E49" s="243"/>
    </row>
    <row r="50" spans="2:5" x14ac:dyDescent="0.2">
      <c r="B50" s="245"/>
      <c r="C50" s="83"/>
      <c r="D50" s="83"/>
      <c r="E50" s="83"/>
    </row>
    <row r="51" spans="2:5" x14ac:dyDescent="0.2">
      <c r="B51" s="245"/>
      <c r="C51" s="83"/>
      <c r="D51" s="83"/>
      <c r="E51" s="83"/>
    </row>
    <row r="52" spans="2:5" x14ac:dyDescent="0.2">
      <c r="B52" s="245"/>
      <c r="C52" s="83"/>
      <c r="D52" s="83"/>
      <c r="E52" s="83"/>
    </row>
    <row r="53" spans="2:5" x14ac:dyDescent="0.2">
      <c r="B53" s="245"/>
      <c r="C53" s="83"/>
      <c r="D53" s="83"/>
      <c r="E53" s="83"/>
    </row>
    <row r="54" spans="2:5" x14ac:dyDescent="0.2">
      <c r="B54" s="245"/>
      <c r="C54" s="83"/>
      <c r="D54" s="83"/>
      <c r="E54" s="83"/>
    </row>
    <row r="55" spans="2:5" x14ac:dyDescent="0.2">
      <c r="B55" s="245"/>
      <c r="C55" s="83"/>
      <c r="D55" s="83"/>
      <c r="E55" s="83"/>
    </row>
    <row r="56" spans="2:5" x14ac:dyDescent="0.2">
      <c r="B56" s="249" t="str">
        <f>CONCATENATE("Cash Reserve (",E1," column)")</f>
        <v>Cash Reserve (2025 column)</v>
      </c>
      <c r="C56" s="83"/>
      <c r="D56" s="83"/>
      <c r="E56" s="83"/>
    </row>
    <row r="57" spans="2:5" x14ac:dyDescent="0.2">
      <c r="B57" s="249" t="s">
        <v>118</v>
      </c>
      <c r="C57" s="83"/>
      <c r="D57" s="242"/>
      <c r="E57" s="242"/>
    </row>
    <row r="58" spans="2:5" x14ac:dyDescent="0.2">
      <c r="B58" s="249" t="s">
        <v>333</v>
      </c>
      <c r="C58" s="371" t="str">
        <f>IF(C59*0.1&lt;C57,"Exceed 10% Rule","")</f>
        <v/>
      </c>
      <c r="D58" s="250" t="str">
        <f>IF(D59*0.1&lt;D57,"Exceed 10% Rule","")</f>
        <v/>
      </c>
      <c r="E58" s="250" t="str">
        <f>IF(E59*0.1&lt;E57,"Exceed 10% Rule","")</f>
        <v/>
      </c>
    </row>
    <row r="59" spans="2:5" x14ac:dyDescent="0.2">
      <c r="B59" s="251" t="s">
        <v>178</v>
      </c>
      <c r="C59" s="253">
        <f>SUM(C50:C57)</f>
        <v>0</v>
      </c>
      <c r="D59" s="253">
        <f>SUM(D50:D57)</f>
        <v>0</v>
      </c>
      <c r="E59" s="253">
        <f>SUM(E50:E57)</f>
        <v>0</v>
      </c>
    </row>
    <row r="60" spans="2:5" x14ac:dyDescent="0.2">
      <c r="B60" s="118" t="s">
        <v>19</v>
      </c>
      <c r="C60" s="92">
        <f>C48-C59</f>
        <v>0</v>
      </c>
      <c r="D60" s="92">
        <f>D48-D59</f>
        <v>0</v>
      </c>
      <c r="E60" s="92">
        <f>E48-E59</f>
        <v>0</v>
      </c>
    </row>
    <row r="61" spans="2:5" x14ac:dyDescent="0.2">
      <c r="B61" s="164" t="str">
        <f>CONCATENATE("",E1-2,"/",E1-1,"/",E1," Budget Authority Amount:")</f>
        <v>2023/2024/2025 Budget Authority Amount:</v>
      </c>
      <c r="C61" s="270">
        <f>inputOth!B100</f>
        <v>0</v>
      </c>
      <c r="D61" s="270">
        <f>inputPrYr!D44</f>
        <v>0</v>
      </c>
      <c r="E61" s="527">
        <f>E59</f>
        <v>0</v>
      </c>
    </row>
    <row r="62" spans="2:5" x14ac:dyDescent="0.2">
      <c r="B62" s="135"/>
      <c r="C62" s="255" t="str">
        <f>IF(C59&gt;C61,"See Tab A","")</f>
        <v/>
      </c>
      <c r="D62" s="255" t="str">
        <f>IF(D59&gt;D61,"See Tab C","")</f>
        <v/>
      </c>
      <c r="E62" s="528" t="str">
        <f>IF(E60&lt;0,"See Tab E","")</f>
        <v/>
      </c>
    </row>
    <row r="63" spans="2:5" x14ac:dyDescent="0.2">
      <c r="B63" s="603" t="s">
        <v>513</v>
      </c>
      <c r="C63" s="528"/>
      <c r="D63" s="528"/>
      <c r="E63" s="593"/>
    </row>
    <row r="64" spans="2:5" x14ac:dyDescent="0.2">
      <c r="B64" s="594"/>
      <c r="C64" s="255"/>
      <c r="D64" s="255"/>
      <c r="E64" s="595"/>
    </row>
    <row r="65" spans="2:5" x14ac:dyDescent="0.2">
      <c r="B65" s="596"/>
      <c r="C65" s="597" t="str">
        <f>IF(C60&lt;0,"See Tab B","")</f>
        <v/>
      </c>
      <c r="D65" s="597" t="str">
        <f>IF(D60&lt;0,"See Tab D","")</f>
        <v/>
      </c>
      <c r="E65" s="96"/>
    </row>
    <row r="66" spans="2:5" x14ac:dyDescent="0.2">
      <c r="B66" s="69"/>
      <c r="C66" s="69"/>
      <c r="D66" s="69"/>
      <c r="E66" s="69"/>
    </row>
    <row r="67" spans="2:5" x14ac:dyDescent="0.2">
      <c r="B67" s="135" t="s">
        <v>181</v>
      </c>
      <c r="C67" s="564"/>
      <c r="D67" s="69"/>
      <c r="E67" s="69"/>
    </row>
  </sheetData>
  <sheetProtection sheet="1"/>
  <phoneticPr fontId="0" type="noConversion"/>
  <conditionalFormatting sqref="C13">
    <cfRule type="cellIs" dxfId="155" priority="12" stopIfTrue="1" operator="greaterThan">
      <formula>$C$15*0.1</formula>
    </cfRule>
  </conditionalFormatting>
  <conditionalFormatting sqref="C26">
    <cfRule type="cellIs" dxfId="154" priority="9" stopIfTrue="1" operator="greaterThan">
      <formula>$C$28*0.1</formula>
    </cfRule>
  </conditionalFormatting>
  <conditionalFormatting sqref="C28">
    <cfRule type="cellIs" dxfId="153" priority="17" stopIfTrue="1" operator="greaterThan">
      <formula>$C$30</formula>
    </cfRule>
  </conditionalFormatting>
  <conditionalFormatting sqref="C29 E29 C60 E60">
    <cfRule type="cellIs" dxfId="152" priority="15" stopIfTrue="1" operator="lessThan">
      <formula>0</formula>
    </cfRule>
  </conditionalFormatting>
  <conditionalFormatting sqref="C45">
    <cfRule type="cellIs" dxfId="151" priority="3" stopIfTrue="1" operator="greaterThan">
      <formula>$C$47*0.1</formula>
    </cfRule>
  </conditionalFormatting>
  <conditionalFormatting sqref="C57">
    <cfRule type="cellIs" dxfId="150" priority="6" stopIfTrue="1" operator="greaterThan">
      <formula>$C$59*0.1</formula>
    </cfRule>
  </conditionalFormatting>
  <conditionalFormatting sqref="C59">
    <cfRule type="cellIs" dxfId="149" priority="18" stopIfTrue="1" operator="greaterThan">
      <formula>$C$61</formula>
    </cfRule>
  </conditionalFormatting>
  <conditionalFormatting sqref="D13">
    <cfRule type="cellIs" dxfId="148" priority="13" stopIfTrue="1" operator="greaterThan">
      <formula>$D$15*0.1</formula>
    </cfRule>
  </conditionalFormatting>
  <conditionalFormatting sqref="D26">
    <cfRule type="cellIs" dxfId="147" priority="10" stopIfTrue="1" operator="greaterThan">
      <formula>$D$28*0.1</formula>
    </cfRule>
  </conditionalFormatting>
  <conditionalFormatting sqref="D28">
    <cfRule type="cellIs" dxfId="146" priority="16" stopIfTrue="1" operator="greaterThan">
      <formula>$D$30</formula>
    </cfRule>
  </conditionalFormatting>
  <conditionalFormatting sqref="D29 D60">
    <cfRule type="cellIs" dxfId="145" priority="2" stopIfTrue="1" operator="lessThan">
      <formula>0</formula>
    </cfRule>
  </conditionalFormatting>
  <conditionalFormatting sqref="D45">
    <cfRule type="cellIs" dxfId="144" priority="4" stopIfTrue="1" operator="greaterThan">
      <formula>$D$47*0.1</formula>
    </cfRule>
  </conditionalFormatting>
  <conditionalFormatting sqref="D57">
    <cfRule type="cellIs" dxfId="143" priority="7" stopIfTrue="1" operator="greaterThan">
      <formula>$D$59*0.1</formula>
    </cfRule>
  </conditionalFormatting>
  <conditionalFormatting sqref="D59">
    <cfRule type="cellIs" dxfId="142" priority="19" stopIfTrue="1" operator="greaterThan">
      <formula>$D$61</formula>
    </cfRule>
  </conditionalFormatting>
  <conditionalFormatting sqref="E13">
    <cfRule type="cellIs" dxfId="141" priority="14" stopIfTrue="1" operator="greaterThan">
      <formula>$E$15*0.1</formula>
    </cfRule>
  </conditionalFormatting>
  <conditionalFormatting sqref="E26">
    <cfRule type="cellIs" dxfId="140" priority="11" stopIfTrue="1" operator="greaterThan">
      <formula>$E$28*0.1</formula>
    </cfRule>
  </conditionalFormatting>
  <conditionalFormatting sqref="E45">
    <cfRule type="cellIs" dxfId="139" priority="5" stopIfTrue="1" operator="greaterThan">
      <formula>$E$47*0.1</formula>
    </cfRule>
  </conditionalFormatting>
  <conditionalFormatting sqref="E57">
    <cfRule type="cellIs" dxfId="138" priority="8" stopIfTrue="1" operator="greaterThan">
      <formula>$E$59*0.1</formula>
    </cfRule>
  </conditionalFormatting>
  <pageMargins left="0.5" right="0.5" top="1" bottom="0.5" header="0.5" footer="0.5"/>
  <pageSetup scale="65" orientation="portrait" blackAndWhite="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F0"/>
    <pageSetUpPr fitToPage="1"/>
  </sheetPr>
  <dimension ref="B1:E67"/>
  <sheetViews>
    <sheetView workbookViewId="0">
      <selection activeCell="B4" sqref="B4"/>
    </sheetView>
  </sheetViews>
  <sheetFormatPr defaultColWidth="8.88671875" defaultRowHeight="15.75" x14ac:dyDescent="0.2"/>
  <cols>
    <col min="1" max="1" width="2.44140625" style="65" customWidth="1"/>
    <col min="2" max="2" width="31.109375" style="65" customWidth="1"/>
    <col min="3" max="4" width="15.77734375" style="65" customWidth="1"/>
    <col min="5" max="5" width="16.6640625" style="65" customWidth="1"/>
    <col min="6" max="16384" width="8.88671875" style="65"/>
  </cols>
  <sheetData>
    <row r="1" spans="2:5" x14ac:dyDescent="0.2">
      <c r="B1" s="89">
        <f>(inputPrYr!D3)</f>
        <v>0</v>
      </c>
      <c r="C1" s="69"/>
      <c r="D1" s="69"/>
      <c r="E1" s="135">
        <f>inputPrYr!C10</f>
        <v>2025</v>
      </c>
    </row>
    <row r="2" spans="2:5" x14ac:dyDescent="0.2">
      <c r="B2" s="69"/>
      <c r="C2" s="69"/>
      <c r="D2" s="69"/>
      <c r="E2" s="161"/>
    </row>
    <row r="3" spans="2:5" x14ac:dyDescent="0.2">
      <c r="B3" s="239" t="s">
        <v>6</v>
      </c>
      <c r="C3" s="196"/>
      <c r="D3" s="196"/>
      <c r="E3" s="196"/>
    </row>
    <row r="4" spans="2:5" x14ac:dyDescent="0.2">
      <c r="B4" s="72" t="s">
        <v>162</v>
      </c>
      <c r="C4" s="392" t="s">
        <v>359</v>
      </c>
      <c r="D4" s="393" t="s">
        <v>360</v>
      </c>
      <c r="E4" s="142" t="s">
        <v>361</v>
      </c>
    </row>
    <row r="5" spans="2:5" x14ac:dyDescent="0.2">
      <c r="B5" s="377">
        <f>inputPrYr!B45</f>
        <v>0</v>
      </c>
      <c r="C5" s="318" t="str">
        <f>CONCATENATE("Actual for ",E1-2,"")</f>
        <v>Actual for 2023</v>
      </c>
      <c r="D5" s="318" t="str">
        <f>CONCATENATE("Estimate for ",E1-1,"")</f>
        <v>Estimate for 2024</v>
      </c>
      <c r="E5" s="176" t="str">
        <f>CONCATENATE("Year for ",E1,"")</f>
        <v>Year for 2025</v>
      </c>
    </row>
    <row r="6" spans="2:5" x14ac:dyDescent="0.2">
      <c r="B6" s="256" t="s">
        <v>18</v>
      </c>
      <c r="C6" s="83"/>
      <c r="D6" s="243">
        <f>C29</f>
        <v>0</v>
      </c>
      <c r="E6" s="243">
        <f>D29</f>
        <v>0</v>
      </c>
    </row>
    <row r="7" spans="2:5" x14ac:dyDescent="0.2">
      <c r="B7" s="257" t="s">
        <v>20</v>
      </c>
      <c r="C7" s="95"/>
      <c r="D7" s="95"/>
      <c r="E7" s="95"/>
    </row>
    <row r="8" spans="2:5" x14ac:dyDescent="0.2">
      <c r="B8" s="245"/>
      <c r="C8" s="83"/>
      <c r="D8" s="83"/>
      <c r="E8" s="83"/>
    </row>
    <row r="9" spans="2:5" x14ac:dyDescent="0.2">
      <c r="B9" s="245"/>
      <c r="C9" s="83"/>
      <c r="D9" s="83"/>
      <c r="E9" s="83"/>
    </row>
    <row r="10" spans="2:5" x14ac:dyDescent="0.2">
      <c r="B10" s="245"/>
      <c r="C10" s="83"/>
      <c r="D10" s="83"/>
      <c r="E10" s="83"/>
    </row>
    <row r="11" spans="2:5" x14ac:dyDescent="0.2">
      <c r="B11" s="245"/>
      <c r="C11" s="83"/>
      <c r="D11" s="83"/>
      <c r="E11" s="83"/>
    </row>
    <row r="12" spans="2:5" x14ac:dyDescent="0.2">
      <c r="B12" s="258" t="s">
        <v>170</v>
      </c>
      <c r="C12" s="83"/>
      <c r="D12" s="83"/>
      <c r="E12" s="83"/>
    </row>
    <row r="13" spans="2:5" x14ac:dyDescent="0.2">
      <c r="B13" s="249" t="s">
        <v>118</v>
      </c>
      <c r="C13" s="83"/>
      <c r="D13" s="242"/>
      <c r="E13" s="242"/>
    </row>
    <row r="14" spans="2:5" x14ac:dyDescent="0.2">
      <c r="B14" s="249" t="s">
        <v>334</v>
      </c>
      <c r="C14" s="371" t="str">
        <f>IF(C15*0.1&lt;C13,"Exceed 10% Rule","")</f>
        <v/>
      </c>
      <c r="D14" s="250" t="str">
        <f>IF(D15*0.1&lt;D13,"Exceed 10% Rule","")</f>
        <v/>
      </c>
      <c r="E14" s="250" t="str">
        <f>IF(E15*0.1&lt;E13,"Exceed 10% Rule","")</f>
        <v/>
      </c>
    </row>
    <row r="15" spans="2:5" x14ac:dyDescent="0.2">
      <c r="B15" s="251" t="s">
        <v>171</v>
      </c>
      <c r="C15" s="253">
        <f>SUM(C8:C13)</f>
        <v>0</v>
      </c>
      <c r="D15" s="253">
        <f>SUM(D8:D13)</f>
        <v>0</v>
      </c>
      <c r="E15" s="253">
        <f>SUM(E8:E13)</f>
        <v>0</v>
      </c>
    </row>
    <row r="16" spans="2:5" x14ac:dyDescent="0.2">
      <c r="B16" s="251" t="s">
        <v>172</v>
      </c>
      <c r="C16" s="253">
        <f>C6+C15</f>
        <v>0</v>
      </c>
      <c r="D16" s="253">
        <f>D6+D15</f>
        <v>0</v>
      </c>
      <c r="E16" s="253">
        <f>E6+E15</f>
        <v>0</v>
      </c>
    </row>
    <row r="17" spans="2:5" x14ac:dyDescent="0.2">
      <c r="B17" s="118" t="s">
        <v>174</v>
      </c>
      <c r="C17" s="243"/>
      <c r="D17" s="243"/>
      <c r="E17" s="243"/>
    </row>
    <row r="18" spans="2:5" x14ac:dyDescent="0.2">
      <c r="B18" s="245"/>
      <c r="C18" s="83"/>
      <c r="D18" s="83"/>
      <c r="E18" s="83"/>
    </row>
    <row r="19" spans="2:5" x14ac:dyDescent="0.2">
      <c r="B19" s="245"/>
      <c r="C19" s="83"/>
      <c r="D19" s="83"/>
      <c r="E19" s="83"/>
    </row>
    <row r="20" spans="2:5" x14ac:dyDescent="0.2">
      <c r="B20" s="245"/>
      <c r="C20" s="83"/>
      <c r="D20" s="83"/>
      <c r="E20" s="83"/>
    </row>
    <row r="21" spans="2:5" x14ac:dyDescent="0.2">
      <c r="B21" s="245"/>
      <c r="C21" s="83"/>
      <c r="D21" s="83"/>
      <c r="E21" s="83"/>
    </row>
    <row r="22" spans="2:5" x14ac:dyDescent="0.2">
      <c r="B22" s="245"/>
      <c r="C22" s="83"/>
      <c r="D22" s="83"/>
      <c r="E22" s="83"/>
    </row>
    <row r="23" spans="2:5" x14ac:dyDescent="0.2">
      <c r="B23" s="245"/>
      <c r="C23" s="83"/>
      <c r="D23" s="83"/>
      <c r="E23" s="83"/>
    </row>
    <row r="24" spans="2:5" x14ac:dyDescent="0.2">
      <c r="B24" s="245"/>
      <c r="C24" s="83"/>
      <c r="D24" s="83"/>
      <c r="E24" s="83"/>
    </row>
    <row r="25" spans="2:5" x14ac:dyDescent="0.2">
      <c r="B25" s="249" t="str">
        <f>CONCATENATE("Cash Reserve (",E1," column)")</f>
        <v>Cash Reserve (2025 column)</v>
      </c>
      <c r="C25" s="83"/>
      <c r="D25" s="83"/>
      <c r="E25" s="83"/>
    </row>
    <row r="26" spans="2:5" x14ac:dyDescent="0.2">
      <c r="B26" s="249" t="s">
        <v>118</v>
      </c>
      <c r="C26" s="83"/>
      <c r="D26" s="242"/>
      <c r="E26" s="242"/>
    </row>
    <row r="27" spans="2:5" x14ac:dyDescent="0.2">
      <c r="B27" s="249" t="s">
        <v>333</v>
      </c>
      <c r="C27" s="371" t="str">
        <f>IF(C28*0.1&lt;C26,"Exceed 10% Rule","")</f>
        <v/>
      </c>
      <c r="D27" s="250" t="str">
        <f>IF(D28*0.1&lt;D26,"Exceed 10% Rule","")</f>
        <v/>
      </c>
      <c r="E27" s="250" t="str">
        <f>IF(E28*0.1&lt;E26,"Exceed 10% Rule","")</f>
        <v/>
      </c>
    </row>
    <row r="28" spans="2:5" x14ac:dyDescent="0.2">
      <c r="B28" s="251" t="s">
        <v>178</v>
      </c>
      <c r="C28" s="253">
        <f>SUM(C18:C26)</f>
        <v>0</v>
      </c>
      <c r="D28" s="253">
        <f>SUM(D18:D26)</f>
        <v>0</v>
      </c>
      <c r="E28" s="253">
        <f>SUM(E18:E26)</f>
        <v>0</v>
      </c>
    </row>
    <row r="29" spans="2:5" x14ac:dyDescent="0.2">
      <c r="B29" s="118" t="s">
        <v>19</v>
      </c>
      <c r="C29" s="92">
        <f>C16-C28</f>
        <v>0</v>
      </c>
      <c r="D29" s="92">
        <f>D16-D28</f>
        <v>0</v>
      </c>
      <c r="E29" s="92">
        <f>E16-E28</f>
        <v>0</v>
      </c>
    </row>
    <row r="30" spans="2:5" x14ac:dyDescent="0.2">
      <c r="B30" s="164" t="str">
        <f>CONCATENATE("",E1-2,"/",E1-1,"/",E1," Budget Authority Amount:")</f>
        <v>2023/2024/2025 Budget Authority Amount:</v>
      </c>
      <c r="C30" s="270">
        <f>inputOth!B101</f>
        <v>0</v>
      </c>
      <c r="D30" s="270">
        <f>inputPrYr!D45</f>
        <v>0</v>
      </c>
      <c r="E30" s="527">
        <f>E28</f>
        <v>0</v>
      </c>
    </row>
    <row r="31" spans="2:5" x14ac:dyDescent="0.2">
      <c r="B31" s="135"/>
      <c r="C31" s="255" t="str">
        <f>IF(C28&gt;C30,"See Tab A","")</f>
        <v/>
      </c>
      <c r="D31" s="255" t="str">
        <f>IF(D28&gt;D30,"See Tab C","")</f>
        <v/>
      </c>
      <c r="E31" s="528" t="str">
        <f>IF(E29&lt;0,"See Tab E","")</f>
        <v/>
      </c>
    </row>
    <row r="32" spans="2:5" x14ac:dyDescent="0.2">
      <c r="B32" s="135"/>
      <c r="C32" s="255" t="str">
        <f>IF(C29&lt;0,"See Tab B","")</f>
        <v/>
      </c>
      <c r="D32" s="255" t="str">
        <f>IF(D29&lt;0,"See Tab D","")</f>
        <v/>
      </c>
      <c r="E32" s="101"/>
    </row>
    <row r="33" spans="2:5" x14ac:dyDescent="0.2">
      <c r="B33" s="69"/>
      <c r="C33" s="101"/>
      <c r="D33" s="101"/>
      <c r="E33" s="101"/>
    </row>
    <row r="34" spans="2:5" x14ac:dyDescent="0.2">
      <c r="B34" s="72"/>
      <c r="C34" s="259"/>
      <c r="D34" s="259"/>
      <c r="E34" s="259"/>
    </row>
    <row r="35" spans="2:5" x14ac:dyDescent="0.2">
      <c r="B35" s="72" t="s">
        <v>162</v>
      </c>
      <c r="C35" s="198" t="s">
        <v>359</v>
      </c>
      <c r="D35" s="142" t="s">
        <v>362</v>
      </c>
      <c r="E35" s="142" t="s">
        <v>361</v>
      </c>
    </row>
    <row r="36" spans="2:5" x14ac:dyDescent="0.2">
      <c r="B36" s="377">
        <f>inputPrYr!B46</f>
        <v>0</v>
      </c>
      <c r="C36" s="147" t="str">
        <f>C5</f>
        <v>Actual for 2023</v>
      </c>
      <c r="D36" s="147" t="str">
        <f>D5</f>
        <v>Estimate for 2024</v>
      </c>
      <c r="E36" s="147" t="str">
        <f>E5</f>
        <v>Year for 2025</v>
      </c>
    </row>
    <row r="37" spans="2:5" x14ac:dyDescent="0.2">
      <c r="B37" s="256" t="s">
        <v>18</v>
      </c>
      <c r="C37" s="83"/>
      <c r="D37" s="243">
        <f>C60</f>
        <v>0</v>
      </c>
      <c r="E37" s="243">
        <f>D60</f>
        <v>0</v>
      </c>
    </row>
    <row r="38" spans="2:5" x14ac:dyDescent="0.2">
      <c r="B38" s="257" t="s">
        <v>20</v>
      </c>
      <c r="C38" s="95"/>
      <c r="D38" s="95"/>
      <c r="E38" s="95"/>
    </row>
    <row r="39" spans="2:5" x14ac:dyDescent="0.2">
      <c r="B39" s="245"/>
      <c r="C39" s="83"/>
      <c r="D39" s="83"/>
      <c r="E39" s="83"/>
    </row>
    <row r="40" spans="2:5" x14ac:dyDescent="0.2">
      <c r="B40" s="245"/>
      <c r="C40" s="83"/>
      <c r="D40" s="83"/>
      <c r="E40" s="83"/>
    </row>
    <row r="41" spans="2:5" x14ac:dyDescent="0.2">
      <c r="B41" s="245"/>
      <c r="C41" s="83"/>
      <c r="D41" s="83"/>
      <c r="E41" s="83"/>
    </row>
    <row r="42" spans="2:5" x14ac:dyDescent="0.2">
      <c r="B42" s="245"/>
      <c r="C42" s="83"/>
      <c r="D42" s="83"/>
      <c r="E42" s="83"/>
    </row>
    <row r="43" spans="2:5" x14ac:dyDescent="0.2">
      <c r="B43" s="258" t="s">
        <v>170</v>
      </c>
      <c r="C43" s="83"/>
      <c r="D43" s="83"/>
      <c r="E43" s="83"/>
    </row>
    <row r="44" spans="2:5" x14ac:dyDescent="0.2">
      <c r="B44" s="249" t="s">
        <v>118</v>
      </c>
      <c r="C44" s="83"/>
      <c r="D44" s="242"/>
      <c r="E44" s="242"/>
    </row>
    <row r="45" spans="2:5" x14ac:dyDescent="0.2">
      <c r="B45" s="249" t="s">
        <v>334</v>
      </c>
      <c r="C45" s="371" t="str">
        <f>IF(C46*0.1&lt;C44,"Exceed 10% Rule","")</f>
        <v/>
      </c>
      <c r="D45" s="250" t="str">
        <f>IF(D46*0.1&lt;D44,"Exceed 10% Rule","")</f>
        <v/>
      </c>
      <c r="E45" s="250" t="str">
        <f>IF(E46*0.1&lt;E44,"Exceed 10% Rule","")</f>
        <v/>
      </c>
    </row>
    <row r="46" spans="2:5" x14ac:dyDescent="0.2">
      <c r="B46" s="251" t="s">
        <v>171</v>
      </c>
      <c r="C46" s="253">
        <f>SUM(C39:C44)</f>
        <v>0</v>
      </c>
      <c r="D46" s="253">
        <f>SUM(D39:D44)</f>
        <v>0</v>
      </c>
      <c r="E46" s="253">
        <f>SUM(E39:E44)</f>
        <v>0</v>
      </c>
    </row>
    <row r="47" spans="2:5" x14ac:dyDescent="0.2">
      <c r="B47" s="251" t="s">
        <v>172</v>
      </c>
      <c r="C47" s="253">
        <f>C37+C46</f>
        <v>0</v>
      </c>
      <c r="D47" s="253">
        <f>D37+D46</f>
        <v>0</v>
      </c>
      <c r="E47" s="253">
        <f>E37+E46</f>
        <v>0</v>
      </c>
    </row>
    <row r="48" spans="2:5" x14ac:dyDescent="0.2">
      <c r="B48" s="118" t="s">
        <v>174</v>
      </c>
      <c r="C48" s="243"/>
      <c r="D48" s="243"/>
      <c r="E48" s="243"/>
    </row>
    <row r="49" spans="2:5" x14ac:dyDescent="0.2">
      <c r="B49" s="245"/>
      <c r="C49" s="83"/>
      <c r="D49" s="83"/>
      <c r="E49" s="83"/>
    </row>
    <row r="50" spans="2:5" x14ac:dyDescent="0.2">
      <c r="B50" s="245"/>
      <c r="C50" s="83"/>
      <c r="D50" s="83"/>
      <c r="E50" s="83"/>
    </row>
    <row r="51" spans="2:5" x14ac:dyDescent="0.2">
      <c r="B51" s="245"/>
      <c r="C51" s="83"/>
      <c r="D51" s="83"/>
      <c r="E51" s="83"/>
    </row>
    <row r="52" spans="2:5" x14ac:dyDescent="0.2">
      <c r="B52" s="245"/>
      <c r="C52" s="83"/>
      <c r="D52" s="83"/>
      <c r="E52" s="83"/>
    </row>
    <row r="53" spans="2:5" x14ac:dyDescent="0.2">
      <c r="B53" s="245"/>
      <c r="C53" s="83"/>
      <c r="D53" s="83"/>
      <c r="E53" s="83"/>
    </row>
    <row r="54" spans="2:5" x14ac:dyDescent="0.2">
      <c r="B54" s="245"/>
      <c r="C54" s="83"/>
      <c r="D54" s="83"/>
      <c r="E54" s="83"/>
    </row>
    <row r="55" spans="2:5" x14ac:dyDescent="0.2">
      <c r="B55" s="245"/>
      <c r="C55" s="83"/>
      <c r="D55" s="83"/>
      <c r="E55" s="83"/>
    </row>
    <row r="56" spans="2:5" x14ac:dyDescent="0.2">
      <c r="B56" s="249" t="str">
        <f>CONCATENATE("Cash Reserve (",E1," column)")</f>
        <v>Cash Reserve (2025 column)</v>
      </c>
      <c r="C56" s="83"/>
      <c r="D56" s="83"/>
      <c r="E56" s="83"/>
    </row>
    <row r="57" spans="2:5" x14ac:dyDescent="0.2">
      <c r="B57" s="249" t="s">
        <v>118</v>
      </c>
      <c r="C57" s="83"/>
      <c r="D57" s="242"/>
      <c r="E57" s="242"/>
    </row>
    <row r="58" spans="2:5" x14ac:dyDescent="0.2">
      <c r="B58" s="249" t="s">
        <v>333</v>
      </c>
      <c r="C58" s="371" t="str">
        <f>IF(C59*0.1&lt;C57,"Exceed 10% Rule","")</f>
        <v/>
      </c>
      <c r="D58" s="250" t="str">
        <f>IF(D59*0.1&lt;D57,"Exceed 10% Rule","")</f>
        <v/>
      </c>
      <c r="E58" s="250" t="str">
        <f>IF(E59*0.1&lt;E57,"Exceed 10% Rule","")</f>
        <v/>
      </c>
    </row>
    <row r="59" spans="2:5" x14ac:dyDescent="0.2">
      <c r="B59" s="117" t="s">
        <v>178</v>
      </c>
      <c r="C59" s="253">
        <f>SUM(C49:C57)</f>
        <v>0</v>
      </c>
      <c r="D59" s="253">
        <f>SUM(D49:D57)</f>
        <v>0</v>
      </c>
      <c r="E59" s="253">
        <f>SUM(E49:E57)</f>
        <v>0</v>
      </c>
    </row>
    <row r="60" spans="2:5" x14ac:dyDescent="0.2">
      <c r="B60" s="118" t="s">
        <v>19</v>
      </c>
      <c r="C60" s="92">
        <f>C47-C59</f>
        <v>0</v>
      </c>
      <c r="D60" s="92">
        <f>D47-D59</f>
        <v>0</v>
      </c>
      <c r="E60" s="92">
        <f>E47-E59</f>
        <v>0</v>
      </c>
    </row>
    <row r="61" spans="2:5" x14ac:dyDescent="0.2">
      <c r="B61" s="164" t="str">
        <f>CONCATENATE("",E1-2,"/",E1-1,"/",E1," Budget Authority Amount:")</f>
        <v>2023/2024/2025 Budget Authority Amount:</v>
      </c>
      <c r="C61" s="270">
        <f>inputOth!B102</f>
        <v>0</v>
      </c>
      <c r="D61" s="270">
        <f>inputPrYr!D46</f>
        <v>0</v>
      </c>
      <c r="E61" s="527">
        <f>E59</f>
        <v>0</v>
      </c>
    </row>
    <row r="62" spans="2:5" x14ac:dyDescent="0.2">
      <c r="B62" s="135"/>
      <c r="C62" s="255" t="str">
        <f>IF(C59&gt;C61,"See Tab A","")</f>
        <v/>
      </c>
      <c r="D62" s="255" t="str">
        <f>IF(D59&gt;D61,"See Tab C","")</f>
        <v/>
      </c>
      <c r="E62" s="528" t="str">
        <f>IF(E60&lt;0,"See Tab E","")</f>
        <v/>
      </c>
    </row>
    <row r="63" spans="2:5" x14ac:dyDescent="0.2">
      <c r="B63" s="603" t="s">
        <v>513</v>
      </c>
      <c r="C63" s="528"/>
      <c r="D63" s="528"/>
      <c r="E63" s="593"/>
    </row>
    <row r="64" spans="2:5" x14ac:dyDescent="0.2">
      <c r="B64" s="594"/>
      <c r="C64" s="255"/>
      <c r="D64" s="255"/>
      <c r="E64" s="595"/>
    </row>
    <row r="65" spans="2:5" x14ac:dyDescent="0.2">
      <c r="B65" s="596"/>
      <c r="C65" s="597" t="str">
        <f>IF(C60&lt;0,"See Tab B","")</f>
        <v/>
      </c>
      <c r="D65" s="597" t="str">
        <f>IF(D60&lt;0,"See Tab D","")</f>
        <v/>
      </c>
      <c r="E65" s="96"/>
    </row>
    <row r="66" spans="2:5" x14ac:dyDescent="0.2">
      <c r="B66" s="69"/>
      <c r="C66" s="69"/>
      <c r="D66" s="69"/>
      <c r="E66" s="69"/>
    </row>
    <row r="67" spans="2:5" x14ac:dyDescent="0.2">
      <c r="B67" s="135" t="s">
        <v>181</v>
      </c>
      <c r="C67" s="564"/>
      <c r="D67" s="69"/>
      <c r="E67" s="69"/>
    </row>
  </sheetData>
  <sheetProtection sheet="1"/>
  <phoneticPr fontId="0" type="noConversion"/>
  <conditionalFormatting sqref="C13">
    <cfRule type="cellIs" dxfId="137" priority="12" stopIfTrue="1" operator="greaterThan">
      <formula>$C$15*0.1</formula>
    </cfRule>
  </conditionalFormatting>
  <conditionalFormatting sqref="C26">
    <cfRule type="cellIs" dxfId="136" priority="9" stopIfTrue="1" operator="greaterThan">
      <formula>$C$28*0.1</formula>
    </cfRule>
  </conditionalFormatting>
  <conditionalFormatting sqref="C28">
    <cfRule type="cellIs" dxfId="135" priority="16" stopIfTrue="1" operator="greaterThan">
      <formula>$C$30</formula>
    </cfRule>
  </conditionalFormatting>
  <conditionalFormatting sqref="C29 E29 C60 E60">
    <cfRule type="cellIs" dxfId="134" priority="15" stopIfTrue="1" operator="lessThan">
      <formula>0</formula>
    </cfRule>
  </conditionalFormatting>
  <conditionalFormatting sqref="C44">
    <cfRule type="cellIs" dxfId="133" priority="3" stopIfTrue="1" operator="greaterThan">
      <formula>$C$46*0.1</formula>
    </cfRule>
  </conditionalFormatting>
  <conditionalFormatting sqref="C57">
    <cfRule type="cellIs" dxfId="132" priority="6" stopIfTrue="1" operator="greaterThan">
      <formula>$C$59*0.1</formula>
    </cfRule>
  </conditionalFormatting>
  <conditionalFormatting sqref="C59">
    <cfRule type="cellIs" dxfId="131" priority="18" stopIfTrue="1" operator="greaterThan">
      <formula>$C$61</formula>
    </cfRule>
  </conditionalFormatting>
  <conditionalFormatting sqref="D13">
    <cfRule type="cellIs" dxfId="130" priority="13" stopIfTrue="1" operator="greaterThan">
      <formula>$D$15*0.1</formula>
    </cfRule>
  </conditionalFormatting>
  <conditionalFormatting sqref="D26">
    <cfRule type="cellIs" dxfId="129" priority="10" stopIfTrue="1" operator="greaterThan">
      <formula>$D$28*0.1</formula>
    </cfRule>
  </conditionalFormatting>
  <conditionalFormatting sqref="D28">
    <cfRule type="cellIs" dxfId="128" priority="17" stopIfTrue="1" operator="greaterThan">
      <formula>$D$30</formula>
    </cfRule>
  </conditionalFormatting>
  <conditionalFormatting sqref="D29">
    <cfRule type="cellIs" dxfId="127" priority="1" stopIfTrue="1" operator="lessThan">
      <formula>0</formula>
    </cfRule>
  </conditionalFormatting>
  <conditionalFormatting sqref="D44">
    <cfRule type="cellIs" dxfId="126" priority="4" stopIfTrue="1" operator="greaterThan">
      <formula>$D$46*0.1</formula>
    </cfRule>
  </conditionalFormatting>
  <conditionalFormatting sqref="D57">
    <cfRule type="cellIs" dxfId="125" priority="7" stopIfTrue="1" operator="greaterThan">
      <formula>$D$59*0.1</formula>
    </cfRule>
  </conditionalFormatting>
  <conditionalFormatting sqref="D59">
    <cfRule type="cellIs" dxfId="124" priority="19" stopIfTrue="1" operator="greaterThan">
      <formula>$D$61</formula>
    </cfRule>
  </conditionalFormatting>
  <conditionalFormatting sqref="D60">
    <cfRule type="cellIs" dxfId="123" priority="2" stopIfTrue="1" operator="lessThan">
      <formula>0</formula>
    </cfRule>
  </conditionalFormatting>
  <conditionalFormatting sqref="E13">
    <cfRule type="cellIs" dxfId="122" priority="14" stopIfTrue="1" operator="greaterThan">
      <formula>$E$15*0.1</formula>
    </cfRule>
  </conditionalFormatting>
  <conditionalFormatting sqref="E26">
    <cfRule type="cellIs" dxfId="121" priority="11" stopIfTrue="1" operator="greaterThan">
      <formula>$E$28*0.1</formula>
    </cfRule>
  </conditionalFormatting>
  <conditionalFormatting sqref="E44">
    <cfRule type="cellIs" dxfId="120" priority="5" stopIfTrue="1" operator="greaterThan">
      <formula>$E$46*0.1</formula>
    </cfRule>
  </conditionalFormatting>
  <conditionalFormatting sqref="E57">
    <cfRule type="cellIs" dxfId="119" priority="8" stopIfTrue="1" operator="greaterThan">
      <formula>$E$59*0.1</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F0"/>
    <pageSetUpPr fitToPage="1"/>
  </sheetPr>
  <dimension ref="B1:E68"/>
  <sheetViews>
    <sheetView workbookViewId="0">
      <selection activeCell="B4" sqref="B4"/>
    </sheetView>
  </sheetViews>
  <sheetFormatPr defaultColWidth="8.88671875" defaultRowHeight="15.75" x14ac:dyDescent="0.2"/>
  <cols>
    <col min="1" max="1" width="2.44140625" style="65" customWidth="1"/>
    <col min="2" max="2" width="31.109375" style="65" customWidth="1"/>
    <col min="3" max="4" width="15.77734375" style="65" customWidth="1"/>
    <col min="5" max="5" width="16.21875" style="65" customWidth="1"/>
    <col min="6" max="16384" width="8.88671875" style="65"/>
  </cols>
  <sheetData>
    <row r="1" spans="2:5" x14ac:dyDescent="0.2">
      <c r="B1" s="89">
        <f>(inputPrYr!D3)</f>
        <v>0</v>
      </c>
      <c r="C1" s="69"/>
      <c r="D1" s="69"/>
      <c r="E1" s="135">
        <f>inputPrYr!C10</f>
        <v>2025</v>
      </c>
    </row>
    <row r="2" spans="2:5" x14ac:dyDescent="0.2">
      <c r="B2" s="69"/>
      <c r="C2" s="69"/>
      <c r="D2" s="69"/>
      <c r="E2" s="161"/>
    </row>
    <row r="3" spans="2:5" x14ac:dyDescent="0.2">
      <c r="B3" s="239" t="s">
        <v>6</v>
      </c>
      <c r="C3" s="196"/>
      <c r="D3" s="196"/>
      <c r="E3" s="196"/>
    </row>
    <row r="4" spans="2:5" x14ac:dyDescent="0.2">
      <c r="B4" s="72" t="s">
        <v>162</v>
      </c>
      <c r="C4" s="392" t="s">
        <v>359</v>
      </c>
      <c r="D4" s="393" t="s">
        <v>360</v>
      </c>
      <c r="E4" s="142" t="s">
        <v>361</v>
      </c>
    </row>
    <row r="5" spans="2:5" x14ac:dyDescent="0.2">
      <c r="B5" s="377">
        <f>inputPrYr!B47</f>
        <v>0</v>
      </c>
      <c r="C5" s="318" t="str">
        <f>CONCATENATE("Actual for ",E1-2,"")</f>
        <v>Actual for 2023</v>
      </c>
      <c r="D5" s="318" t="str">
        <f>CONCATENATE("Estimate for ",E1-1,"")</f>
        <v>Estimate for 2024</v>
      </c>
      <c r="E5" s="176" t="str">
        <f>CONCATENATE("Year for ",E1,"")</f>
        <v>Year for 2025</v>
      </c>
    </row>
    <row r="6" spans="2:5" x14ac:dyDescent="0.2">
      <c r="B6" s="256" t="s">
        <v>18</v>
      </c>
      <c r="C6" s="83"/>
      <c r="D6" s="243">
        <f>C29</f>
        <v>0</v>
      </c>
      <c r="E6" s="243">
        <f>D29</f>
        <v>0</v>
      </c>
    </row>
    <row r="7" spans="2:5" x14ac:dyDescent="0.2">
      <c r="B7" s="257" t="s">
        <v>20</v>
      </c>
      <c r="C7" s="95"/>
      <c r="D7" s="95"/>
      <c r="E7" s="95"/>
    </row>
    <row r="8" spans="2:5" x14ac:dyDescent="0.2">
      <c r="B8" s="245"/>
      <c r="C8" s="83"/>
      <c r="D8" s="83"/>
      <c r="E8" s="83"/>
    </row>
    <row r="9" spans="2:5" x14ac:dyDescent="0.2">
      <c r="B9" s="245"/>
      <c r="C9" s="83"/>
      <c r="D9" s="83"/>
      <c r="E9" s="83"/>
    </row>
    <row r="10" spans="2:5" x14ac:dyDescent="0.2">
      <c r="B10" s="245"/>
      <c r="C10" s="83"/>
      <c r="D10" s="83"/>
      <c r="E10" s="83"/>
    </row>
    <row r="11" spans="2:5" x14ac:dyDescent="0.2">
      <c r="B11" s="245"/>
      <c r="C11" s="83"/>
      <c r="D11" s="83"/>
      <c r="E11" s="83"/>
    </row>
    <row r="12" spans="2:5" x14ac:dyDescent="0.2">
      <c r="B12" s="258" t="s">
        <v>170</v>
      </c>
      <c r="C12" s="83"/>
      <c r="D12" s="83"/>
      <c r="E12" s="83"/>
    </row>
    <row r="13" spans="2:5" x14ac:dyDescent="0.2">
      <c r="B13" s="249" t="s">
        <v>118</v>
      </c>
      <c r="C13" s="83"/>
      <c r="D13" s="242"/>
      <c r="E13" s="242"/>
    </row>
    <row r="14" spans="2:5" x14ac:dyDescent="0.2">
      <c r="B14" s="249" t="s">
        <v>334</v>
      </c>
      <c r="C14" s="371" t="str">
        <f>IF(C15*0.1&lt;C13,"Exceed 10% Rule","")</f>
        <v/>
      </c>
      <c r="D14" s="250" t="str">
        <f>IF(D15*0.1&lt;D13,"Exceed 10% Rule","")</f>
        <v/>
      </c>
      <c r="E14" s="250" t="str">
        <f>IF(E15*0.1&lt;E13,"Exceed 10% Rule","")</f>
        <v/>
      </c>
    </row>
    <row r="15" spans="2:5" x14ac:dyDescent="0.2">
      <c r="B15" s="251" t="s">
        <v>171</v>
      </c>
      <c r="C15" s="253">
        <f>SUM(C8:C13)</f>
        <v>0</v>
      </c>
      <c r="D15" s="253">
        <f>SUM(D8:D13)</f>
        <v>0</v>
      </c>
      <c r="E15" s="253">
        <f>SUM(E8:E13)</f>
        <v>0</v>
      </c>
    </row>
    <row r="16" spans="2:5" x14ac:dyDescent="0.2">
      <c r="B16" s="251" t="s">
        <v>172</v>
      </c>
      <c r="C16" s="253">
        <f>C6+C15</f>
        <v>0</v>
      </c>
      <c r="D16" s="253">
        <f>D6+D15</f>
        <v>0</v>
      </c>
      <c r="E16" s="253">
        <f>E6+E15</f>
        <v>0</v>
      </c>
    </row>
    <row r="17" spans="2:5" x14ac:dyDescent="0.2">
      <c r="B17" s="118" t="s">
        <v>174</v>
      </c>
      <c r="C17" s="243"/>
      <c r="D17" s="243"/>
      <c r="E17" s="243"/>
    </row>
    <row r="18" spans="2:5" x14ac:dyDescent="0.2">
      <c r="B18" s="245"/>
      <c r="C18" s="83"/>
      <c r="D18" s="83"/>
      <c r="E18" s="83"/>
    </row>
    <row r="19" spans="2:5" x14ac:dyDescent="0.2">
      <c r="B19" s="245"/>
      <c r="C19" s="83"/>
      <c r="D19" s="83"/>
      <c r="E19" s="83"/>
    </row>
    <row r="20" spans="2:5" x14ac:dyDescent="0.2">
      <c r="B20" s="245"/>
      <c r="C20" s="83"/>
      <c r="D20" s="83"/>
      <c r="E20" s="83"/>
    </row>
    <row r="21" spans="2:5" x14ac:dyDescent="0.2">
      <c r="B21" s="245"/>
      <c r="C21" s="83"/>
      <c r="D21" s="83"/>
      <c r="E21" s="83"/>
    </row>
    <row r="22" spans="2:5" x14ac:dyDescent="0.2">
      <c r="B22" s="245"/>
      <c r="C22" s="83"/>
      <c r="D22" s="83"/>
      <c r="E22" s="83"/>
    </row>
    <row r="23" spans="2:5" x14ac:dyDescent="0.2">
      <c r="B23" s="245"/>
      <c r="C23" s="83"/>
      <c r="D23" s="83"/>
      <c r="E23" s="83"/>
    </row>
    <row r="24" spans="2:5" x14ac:dyDescent="0.2">
      <c r="B24" s="245"/>
      <c r="C24" s="83"/>
      <c r="D24" s="83"/>
      <c r="E24" s="83"/>
    </row>
    <row r="25" spans="2:5" x14ac:dyDescent="0.2">
      <c r="B25" s="249" t="str">
        <f>CONCATENATE("Cash Reserve (",E1," column)")</f>
        <v>Cash Reserve (2025 column)</v>
      </c>
      <c r="C25" s="83"/>
      <c r="D25" s="83"/>
      <c r="E25" s="83"/>
    </row>
    <row r="26" spans="2:5" x14ac:dyDescent="0.2">
      <c r="B26" s="249" t="s">
        <v>118</v>
      </c>
      <c r="C26" s="83"/>
      <c r="D26" s="242"/>
      <c r="E26" s="242"/>
    </row>
    <row r="27" spans="2:5" x14ac:dyDescent="0.2">
      <c r="B27" s="249" t="s">
        <v>333</v>
      </c>
      <c r="C27" s="371" t="str">
        <f>IF(C28*0.1&lt;C26,"Exceed 10% Rule","")</f>
        <v/>
      </c>
      <c r="D27" s="250" t="str">
        <f>IF(D28*0.1&lt;D26,"Exceed 10% Rule","")</f>
        <v/>
      </c>
      <c r="E27" s="250" t="str">
        <f>IF(E28*0.1&lt;E26,"Exceed 10% Rule","")</f>
        <v/>
      </c>
    </row>
    <row r="28" spans="2:5" x14ac:dyDescent="0.2">
      <c r="B28" s="251" t="s">
        <v>178</v>
      </c>
      <c r="C28" s="253">
        <f>SUM(C18:C26)</f>
        <v>0</v>
      </c>
      <c r="D28" s="253">
        <f>SUM(D18:D26)</f>
        <v>0</v>
      </c>
      <c r="E28" s="253">
        <f>SUM(E18:E26)</f>
        <v>0</v>
      </c>
    </row>
    <row r="29" spans="2:5" x14ac:dyDescent="0.2">
      <c r="B29" s="118" t="s">
        <v>19</v>
      </c>
      <c r="C29" s="92">
        <f>C16-C28</f>
        <v>0</v>
      </c>
      <c r="D29" s="92">
        <f>D16-D28</f>
        <v>0</v>
      </c>
      <c r="E29" s="92">
        <f>E16-E28</f>
        <v>0</v>
      </c>
    </row>
    <row r="30" spans="2:5" x14ac:dyDescent="0.2">
      <c r="B30" s="164" t="str">
        <f>CONCATENATE("",E1-2,"/",E1-1,"/",E1," Budget Authority Amount:")</f>
        <v>2023/2024/2025 Budget Authority Amount:</v>
      </c>
      <c r="C30" s="270">
        <f>inputOth!B103</f>
        <v>0</v>
      </c>
      <c r="D30" s="270">
        <f>inputPrYr!D47</f>
        <v>0</v>
      </c>
      <c r="E30" s="527">
        <f>E28</f>
        <v>0</v>
      </c>
    </row>
    <row r="31" spans="2:5" x14ac:dyDescent="0.2">
      <c r="B31" s="135"/>
      <c r="C31" s="255" t="str">
        <f>IF(C28&gt;C30,"See Tab A","")</f>
        <v/>
      </c>
      <c r="D31" s="255" t="str">
        <f>IF(D28&gt;D30,"See Tab C","")</f>
        <v/>
      </c>
      <c r="E31" s="528" t="str">
        <f>IF(E29&lt;0,"See Tab E","")</f>
        <v/>
      </c>
    </row>
    <row r="32" spans="2:5" x14ac:dyDescent="0.2">
      <c r="B32" s="135"/>
      <c r="C32" s="255" t="str">
        <f>IF(C29&lt;0,"See Tab B","")</f>
        <v/>
      </c>
      <c r="D32" s="255" t="str">
        <f>IF(D29&lt;0,"See Tab D","")</f>
        <v/>
      </c>
      <c r="E32" s="101"/>
    </row>
    <row r="33" spans="2:5" x14ac:dyDescent="0.2">
      <c r="B33" s="69"/>
      <c r="C33" s="101"/>
      <c r="D33" s="101"/>
      <c r="E33" s="101"/>
    </row>
    <row r="34" spans="2:5" x14ac:dyDescent="0.2">
      <c r="B34" s="72"/>
      <c r="C34" s="259"/>
      <c r="D34" s="259"/>
      <c r="E34" s="259"/>
    </row>
    <row r="35" spans="2:5" x14ac:dyDescent="0.2">
      <c r="B35" s="72" t="s">
        <v>162</v>
      </c>
      <c r="C35" s="198" t="s">
        <v>359</v>
      </c>
      <c r="D35" s="142" t="s">
        <v>362</v>
      </c>
      <c r="E35" s="142" t="s">
        <v>361</v>
      </c>
    </row>
    <row r="36" spans="2:5" x14ac:dyDescent="0.2">
      <c r="B36" s="377">
        <f>inputPrYr!B48</f>
        <v>0</v>
      </c>
      <c r="C36" s="147" t="str">
        <f>C5</f>
        <v>Actual for 2023</v>
      </c>
      <c r="D36" s="147" t="str">
        <f>D5</f>
        <v>Estimate for 2024</v>
      </c>
      <c r="E36" s="147" t="str">
        <f>E5</f>
        <v>Year for 2025</v>
      </c>
    </row>
    <row r="37" spans="2:5" x14ac:dyDescent="0.2">
      <c r="B37" s="256" t="s">
        <v>18</v>
      </c>
      <c r="C37" s="83"/>
      <c r="D37" s="243">
        <f>C61</f>
        <v>0</v>
      </c>
      <c r="E37" s="243">
        <f>D61</f>
        <v>0</v>
      </c>
    </row>
    <row r="38" spans="2:5" x14ac:dyDescent="0.2">
      <c r="B38" s="257" t="s">
        <v>20</v>
      </c>
      <c r="C38" s="95"/>
      <c r="D38" s="95"/>
      <c r="E38" s="95"/>
    </row>
    <row r="39" spans="2:5" x14ac:dyDescent="0.2">
      <c r="B39" s="245"/>
      <c r="C39" s="83"/>
      <c r="D39" s="83"/>
      <c r="E39" s="83"/>
    </row>
    <row r="40" spans="2:5" x14ac:dyDescent="0.2">
      <c r="B40" s="245"/>
      <c r="C40" s="83"/>
      <c r="D40" s="83"/>
      <c r="E40" s="83"/>
    </row>
    <row r="41" spans="2:5" x14ac:dyDescent="0.2">
      <c r="B41" s="245"/>
      <c r="C41" s="83"/>
      <c r="D41" s="83"/>
      <c r="E41" s="83"/>
    </row>
    <row r="42" spans="2:5" x14ac:dyDescent="0.2">
      <c r="B42" s="245"/>
      <c r="C42" s="83"/>
      <c r="D42" s="83"/>
      <c r="E42" s="83"/>
    </row>
    <row r="43" spans="2:5" x14ac:dyDescent="0.2">
      <c r="B43" s="245"/>
      <c r="C43" s="83"/>
      <c r="D43" s="83"/>
      <c r="E43" s="83"/>
    </row>
    <row r="44" spans="2:5" x14ac:dyDescent="0.2">
      <c r="B44" s="258" t="s">
        <v>170</v>
      </c>
      <c r="C44" s="83"/>
      <c r="D44" s="83"/>
      <c r="E44" s="83"/>
    </row>
    <row r="45" spans="2:5" x14ac:dyDescent="0.2">
      <c r="B45" s="249" t="s">
        <v>118</v>
      </c>
      <c r="C45" s="83"/>
      <c r="D45" s="242"/>
      <c r="E45" s="242"/>
    </row>
    <row r="46" spans="2:5" x14ac:dyDescent="0.2">
      <c r="B46" s="249" t="s">
        <v>334</v>
      </c>
      <c r="C46" s="371" t="str">
        <f>IF(C47*0.1&lt;C45,"Exceed 10% Rule","")</f>
        <v/>
      </c>
      <c r="D46" s="250" t="str">
        <f>IF(D47*0.1&lt;D45,"Exceed 10% Rule","")</f>
        <v/>
      </c>
      <c r="E46" s="250" t="str">
        <f>IF(E47*0.1&lt;E45,"Exceed 10% Rule","")</f>
        <v/>
      </c>
    </row>
    <row r="47" spans="2:5" x14ac:dyDescent="0.2">
      <c r="B47" s="251" t="s">
        <v>171</v>
      </c>
      <c r="C47" s="253">
        <f>SUM(C39:C45)</f>
        <v>0</v>
      </c>
      <c r="D47" s="253">
        <f>SUM(D39:D45)</f>
        <v>0</v>
      </c>
      <c r="E47" s="253">
        <f>SUM(E39:E45)</f>
        <v>0</v>
      </c>
    </row>
    <row r="48" spans="2:5" x14ac:dyDescent="0.2">
      <c r="B48" s="251" t="s">
        <v>172</v>
      </c>
      <c r="C48" s="253">
        <f>C37+C47</f>
        <v>0</v>
      </c>
      <c r="D48" s="253">
        <f>D37+D47</f>
        <v>0</v>
      </c>
      <c r="E48" s="253">
        <f>E37+E47</f>
        <v>0</v>
      </c>
    </row>
    <row r="49" spans="2:5" x14ac:dyDescent="0.2">
      <c r="B49" s="118" t="s">
        <v>174</v>
      </c>
      <c r="C49" s="243"/>
      <c r="D49" s="243"/>
      <c r="E49" s="243"/>
    </row>
    <row r="50" spans="2:5" x14ac:dyDescent="0.2">
      <c r="B50" s="245"/>
      <c r="C50" s="83"/>
      <c r="D50" s="83"/>
      <c r="E50" s="83"/>
    </row>
    <row r="51" spans="2:5" x14ac:dyDescent="0.2">
      <c r="B51" s="245"/>
      <c r="C51" s="83"/>
      <c r="D51" s="83"/>
      <c r="E51" s="83"/>
    </row>
    <row r="52" spans="2:5" x14ac:dyDescent="0.2">
      <c r="B52" s="245"/>
      <c r="C52" s="83"/>
      <c r="D52" s="83"/>
      <c r="E52" s="83"/>
    </row>
    <row r="53" spans="2:5" x14ac:dyDescent="0.2">
      <c r="B53" s="245"/>
      <c r="C53" s="83"/>
      <c r="D53" s="83"/>
      <c r="E53" s="83"/>
    </row>
    <row r="54" spans="2:5" x14ac:dyDescent="0.2">
      <c r="B54" s="245"/>
      <c r="C54" s="83"/>
      <c r="D54" s="83"/>
      <c r="E54" s="83"/>
    </row>
    <row r="55" spans="2:5" x14ac:dyDescent="0.2">
      <c r="B55" s="245"/>
      <c r="C55" s="83"/>
      <c r="D55" s="83"/>
      <c r="E55" s="83"/>
    </row>
    <row r="56" spans="2:5" x14ac:dyDescent="0.2">
      <c r="B56" s="245"/>
      <c r="C56" s="83"/>
      <c r="D56" s="83"/>
      <c r="E56" s="83"/>
    </row>
    <row r="57" spans="2:5" x14ac:dyDescent="0.2">
      <c r="B57" s="249" t="str">
        <f>CONCATENATE("Cash Reserve (",E1," column)")</f>
        <v>Cash Reserve (2025 column)</v>
      </c>
      <c r="C57" s="83"/>
      <c r="D57" s="83"/>
      <c r="E57" s="83"/>
    </row>
    <row r="58" spans="2:5" x14ac:dyDescent="0.2">
      <c r="B58" s="249" t="s">
        <v>118</v>
      </c>
      <c r="C58" s="83"/>
      <c r="D58" s="242"/>
      <c r="E58" s="242"/>
    </row>
    <row r="59" spans="2:5" x14ac:dyDescent="0.2">
      <c r="B59" s="249" t="s">
        <v>333</v>
      </c>
      <c r="C59" s="371" t="str">
        <f>IF(C60*0.1&lt;C58,"Exceed 10% Rule","")</f>
        <v/>
      </c>
      <c r="D59" s="250" t="str">
        <f>IF(D60*0.1&lt;D58,"Exceed 10% Rule","")</f>
        <v/>
      </c>
      <c r="E59" s="250" t="str">
        <f>IF(E60*0.1&lt;E58,"Exceed 10% Rule","")</f>
        <v/>
      </c>
    </row>
    <row r="60" spans="2:5" x14ac:dyDescent="0.2">
      <c r="B60" s="251" t="s">
        <v>178</v>
      </c>
      <c r="C60" s="253">
        <f>SUM(C50:C58)</f>
        <v>0</v>
      </c>
      <c r="D60" s="253">
        <f>SUM(D50:D58)</f>
        <v>0</v>
      </c>
      <c r="E60" s="253">
        <f>SUM(E50:E58)</f>
        <v>0</v>
      </c>
    </row>
    <row r="61" spans="2:5" x14ac:dyDescent="0.2">
      <c r="B61" s="118" t="s">
        <v>19</v>
      </c>
      <c r="C61" s="92">
        <f>C48-C60</f>
        <v>0</v>
      </c>
      <c r="D61" s="92">
        <f>D48-D60</f>
        <v>0</v>
      </c>
      <c r="E61" s="92">
        <f>E48-E60</f>
        <v>0</v>
      </c>
    </row>
    <row r="62" spans="2:5" x14ac:dyDescent="0.2">
      <c r="B62" s="164" t="str">
        <f>CONCATENATE("",E1-2,"/",E1-1,"/",E1," Budget Authority Amount:")</f>
        <v>2023/2024/2025 Budget Authority Amount:</v>
      </c>
      <c r="C62" s="270">
        <f>inputOth!B104</f>
        <v>0</v>
      </c>
      <c r="D62" s="270">
        <f>inputPrYr!D48</f>
        <v>0</v>
      </c>
      <c r="E62" s="527">
        <f>E60</f>
        <v>0</v>
      </c>
    </row>
    <row r="63" spans="2:5" x14ac:dyDescent="0.2">
      <c r="B63" s="135"/>
      <c r="C63" s="255" t="str">
        <f>IF(C60&gt;C62,"See Tab A","")</f>
        <v/>
      </c>
      <c r="D63" s="255" t="str">
        <f>IF(D60&gt;D62,"See Tab C","")</f>
        <v/>
      </c>
      <c r="E63" s="528" t="str">
        <f>IF(E61&lt;0,"See Tab E","")</f>
        <v/>
      </c>
    </row>
    <row r="64" spans="2:5" x14ac:dyDescent="0.2">
      <c r="B64" s="603" t="s">
        <v>513</v>
      </c>
      <c r="C64" s="528"/>
      <c r="D64" s="528"/>
      <c r="E64" s="593"/>
    </row>
    <row r="65" spans="2:5" x14ac:dyDescent="0.2">
      <c r="B65" s="594"/>
      <c r="C65" s="255"/>
      <c r="D65" s="255"/>
      <c r="E65" s="595"/>
    </row>
    <row r="66" spans="2:5" x14ac:dyDescent="0.2">
      <c r="B66" s="596"/>
      <c r="C66" s="597" t="str">
        <f>IF(C61&lt;0,"See Tab B","")</f>
        <v/>
      </c>
      <c r="D66" s="597" t="str">
        <f>IF(D61&lt;0,"See Tab D","")</f>
        <v/>
      </c>
      <c r="E66" s="96"/>
    </row>
    <row r="67" spans="2:5" x14ac:dyDescent="0.2">
      <c r="B67" s="69"/>
      <c r="C67" s="69"/>
      <c r="D67" s="69"/>
      <c r="E67" s="69"/>
    </row>
    <row r="68" spans="2:5" x14ac:dyDescent="0.2">
      <c r="B68" s="135" t="s">
        <v>181</v>
      </c>
      <c r="C68" s="564"/>
      <c r="D68" s="69"/>
      <c r="E68" s="69"/>
    </row>
  </sheetData>
  <sheetProtection sheet="1"/>
  <phoneticPr fontId="0" type="noConversion"/>
  <conditionalFormatting sqref="C13">
    <cfRule type="cellIs" dxfId="118" priority="12" stopIfTrue="1" operator="greaterThan">
      <formula>$C$15*0.1</formula>
    </cfRule>
  </conditionalFormatting>
  <conditionalFormatting sqref="C26">
    <cfRule type="cellIs" dxfId="117" priority="9" stopIfTrue="1" operator="greaterThan">
      <formula>$C$28*0.1</formula>
    </cfRule>
  </conditionalFormatting>
  <conditionalFormatting sqref="C28">
    <cfRule type="cellIs" dxfId="116" priority="16" stopIfTrue="1" operator="greaterThan">
      <formula>$C$30</formula>
    </cfRule>
  </conditionalFormatting>
  <conditionalFormatting sqref="C29 E29 C61 E61">
    <cfRule type="cellIs" dxfId="115" priority="15" stopIfTrue="1" operator="lessThan">
      <formula>0</formula>
    </cfRule>
  </conditionalFormatting>
  <conditionalFormatting sqref="C45">
    <cfRule type="cellIs" dxfId="114" priority="3" stopIfTrue="1" operator="greaterThan">
      <formula>$C$47*0.1</formula>
    </cfRule>
  </conditionalFormatting>
  <conditionalFormatting sqref="C58">
    <cfRule type="cellIs" dxfId="113" priority="6" stopIfTrue="1" operator="greaterThan">
      <formula>$C$60*0.1</formula>
    </cfRule>
  </conditionalFormatting>
  <conditionalFormatting sqref="C60">
    <cfRule type="cellIs" dxfId="112" priority="18" stopIfTrue="1" operator="greaterThan">
      <formula>$C$62</formula>
    </cfRule>
  </conditionalFormatting>
  <conditionalFormatting sqref="D13">
    <cfRule type="cellIs" dxfId="111" priority="13" stopIfTrue="1" operator="greaterThan">
      <formula>$D$15*0.1</formula>
    </cfRule>
  </conditionalFormatting>
  <conditionalFormatting sqref="D26">
    <cfRule type="cellIs" dxfId="110" priority="10" stopIfTrue="1" operator="greaterThan">
      <formula>$D$28*0.1</formula>
    </cfRule>
  </conditionalFormatting>
  <conditionalFormatting sqref="D28">
    <cfRule type="cellIs" dxfId="109" priority="17" stopIfTrue="1" operator="greaterThan">
      <formula>$D$30</formula>
    </cfRule>
  </conditionalFormatting>
  <conditionalFormatting sqref="D29">
    <cfRule type="cellIs" dxfId="108" priority="1" stopIfTrue="1" operator="lessThan">
      <formula>0</formula>
    </cfRule>
  </conditionalFormatting>
  <conditionalFormatting sqref="D45">
    <cfRule type="cellIs" dxfId="107" priority="4" stopIfTrue="1" operator="greaterThan">
      <formula>$D$47*0.1</formula>
    </cfRule>
  </conditionalFormatting>
  <conditionalFormatting sqref="D58">
    <cfRule type="cellIs" dxfId="106" priority="7" stopIfTrue="1" operator="greaterThan">
      <formula>$D$60*0.1</formula>
    </cfRule>
  </conditionalFormatting>
  <conditionalFormatting sqref="D60">
    <cfRule type="cellIs" dxfId="105" priority="19" stopIfTrue="1" operator="greaterThan">
      <formula>$D$62</formula>
    </cfRule>
  </conditionalFormatting>
  <conditionalFormatting sqref="D61">
    <cfRule type="cellIs" dxfId="104" priority="2" stopIfTrue="1" operator="lessThan">
      <formula>0</formula>
    </cfRule>
  </conditionalFormatting>
  <conditionalFormatting sqref="E13">
    <cfRule type="cellIs" dxfId="103" priority="14" stopIfTrue="1" operator="greaterThan">
      <formula>$E$15*0.1</formula>
    </cfRule>
  </conditionalFormatting>
  <conditionalFormatting sqref="E26">
    <cfRule type="cellIs" dxfId="102" priority="11" stopIfTrue="1" operator="greaterThan">
      <formula>$E$28*0.1</formula>
    </cfRule>
  </conditionalFormatting>
  <conditionalFormatting sqref="E45">
    <cfRule type="cellIs" dxfId="101" priority="5" stopIfTrue="1" operator="greaterThan">
      <formula>$E$47*0.1</formula>
    </cfRule>
  </conditionalFormatting>
  <conditionalFormatting sqref="E58">
    <cfRule type="cellIs" dxfId="100" priority="8" stopIfTrue="1" operator="greaterThan">
      <formula>$E$60*0.1</formula>
    </cfRule>
  </conditionalFormatting>
  <pageMargins left="0.5" right="0.5" top="1" bottom="0.5" header="0.5" footer="0.5"/>
  <pageSetup scale="64" orientation="portrait" blackAndWhite="1" horizontalDpi="120" verticalDpi="14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F0"/>
    <pageSetUpPr fitToPage="1"/>
  </sheetPr>
  <dimension ref="B1:E68"/>
  <sheetViews>
    <sheetView workbookViewId="0">
      <selection activeCell="B4" sqref="B4"/>
    </sheetView>
  </sheetViews>
  <sheetFormatPr defaultColWidth="8.88671875" defaultRowHeight="15.75" x14ac:dyDescent="0.2"/>
  <cols>
    <col min="1" max="1" width="2.44140625" style="63" customWidth="1"/>
    <col min="2" max="2" width="31.109375" style="63" customWidth="1"/>
    <col min="3" max="5" width="15.77734375" style="63" customWidth="1"/>
    <col min="6" max="16384" width="8.88671875" style="63"/>
  </cols>
  <sheetData>
    <row r="1" spans="2:5" x14ac:dyDescent="0.2">
      <c r="B1" s="89">
        <f>(inputPrYr!D3)</f>
        <v>0</v>
      </c>
      <c r="C1" s="69"/>
      <c r="D1" s="69"/>
      <c r="E1" s="135">
        <f>inputPrYr!C10</f>
        <v>2025</v>
      </c>
    </row>
    <row r="2" spans="2:5" x14ac:dyDescent="0.2">
      <c r="B2" s="69"/>
      <c r="C2" s="69"/>
      <c r="D2" s="69"/>
      <c r="E2" s="161"/>
    </row>
    <row r="3" spans="2:5" x14ac:dyDescent="0.2">
      <c r="B3" s="239" t="s">
        <v>6</v>
      </c>
      <c r="C3" s="196"/>
      <c r="D3" s="196"/>
      <c r="E3" s="196"/>
    </row>
    <row r="4" spans="2:5" x14ac:dyDescent="0.2">
      <c r="B4" s="72" t="s">
        <v>162</v>
      </c>
      <c r="C4" s="392" t="s">
        <v>359</v>
      </c>
      <c r="D4" s="393" t="s">
        <v>360</v>
      </c>
      <c r="E4" s="142" t="s">
        <v>361</v>
      </c>
    </row>
    <row r="5" spans="2:5" x14ac:dyDescent="0.2">
      <c r="B5" s="377">
        <f>inputPrYr!B49</f>
        <v>0</v>
      </c>
      <c r="C5" s="318" t="str">
        <f>CONCATENATE("Actual for ",E1-2,"")</f>
        <v>Actual for 2023</v>
      </c>
      <c r="D5" s="318" t="str">
        <f>CONCATENATE("Estimate for ",E1-1,"")</f>
        <v>Estimate for 2024</v>
      </c>
      <c r="E5" s="176" t="str">
        <f>CONCATENATE("Year for ",E1,"")</f>
        <v>Year for 2025</v>
      </c>
    </row>
    <row r="6" spans="2:5" x14ac:dyDescent="0.2">
      <c r="B6" s="256" t="s">
        <v>18</v>
      </c>
      <c r="C6" s="83"/>
      <c r="D6" s="243">
        <f>C29</f>
        <v>0</v>
      </c>
      <c r="E6" s="243">
        <f>D29</f>
        <v>0</v>
      </c>
    </row>
    <row r="7" spans="2:5" s="65" customFormat="1" x14ac:dyDescent="0.2">
      <c r="B7" s="257" t="s">
        <v>20</v>
      </c>
      <c r="C7" s="95"/>
      <c r="D7" s="95"/>
      <c r="E7" s="95"/>
    </row>
    <row r="8" spans="2:5" x14ac:dyDescent="0.2">
      <c r="B8" s="245"/>
      <c r="C8" s="83"/>
      <c r="D8" s="83"/>
      <c r="E8" s="83"/>
    </row>
    <row r="9" spans="2:5" x14ac:dyDescent="0.2">
      <c r="B9" s="245"/>
      <c r="C9" s="83"/>
      <c r="D9" s="83"/>
      <c r="E9" s="83"/>
    </row>
    <row r="10" spans="2:5" x14ac:dyDescent="0.2">
      <c r="B10" s="245"/>
      <c r="C10" s="83"/>
      <c r="D10" s="83"/>
      <c r="E10" s="83"/>
    </row>
    <row r="11" spans="2:5" x14ac:dyDescent="0.2">
      <c r="B11" s="245"/>
      <c r="C11" s="83"/>
      <c r="D11" s="83"/>
      <c r="E11" s="83"/>
    </row>
    <row r="12" spans="2:5" x14ac:dyDescent="0.2">
      <c r="B12" s="258" t="s">
        <v>170</v>
      </c>
      <c r="C12" s="83"/>
      <c r="D12" s="83"/>
      <c r="E12" s="83"/>
    </row>
    <row r="13" spans="2:5" x14ac:dyDescent="0.2">
      <c r="B13" s="249" t="s">
        <v>118</v>
      </c>
      <c r="C13" s="83"/>
      <c r="D13" s="242"/>
      <c r="E13" s="242"/>
    </row>
    <row r="14" spans="2:5" x14ac:dyDescent="0.2">
      <c r="B14" s="249" t="s">
        <v>334</v>
      </c>
      <c r="C14" s="371" t="str">
        <f>IF(C15*0.1&lt;C13,"Exceed 10% Rule","")</f>
        <v/>
      </c>
      <c r="D14" s="250" t="str">
        <f>IF(D15*0.1&lt;D13,"Exceed 10% Rule","")</f>
        <v/>
      </c>
      <c r="E14" s="250" t="str">
        <f>IF(E15*0.1&lt;E13,"Exceed 10% Rule","")</f>
        <v/>
      </c>
    </row>
    <row r="15" spans="2:5" x14ac:dyDescent="0.2">
      <c r="B15" s="251" t="s">
        <v>171</v>
      </c>
      <c r="C15" s="253">
        <f>SUM(C8:C13)</f>
        <v>0</v>
      </c>
      <c r="D15" s="253">
        <f>SUM(D8:D13)</f>
        <v>0</v>
      </c>
      <c r="E15" s="253">
        <f>SUM(E8:E13)</f>
        <v>0</v>
      </c>
    </row>
    <row r="16" spans="2:5" x14ac:dyDescent="0.2">
      <c r="B16" s="251" t="s">
        <v>172</v>
      </c>
      <c r="C16" s="253">
        <f>C6+C15</f>
        <v>0</v>
      </c>
      <c r="D16" s="253">
        <f>D6+D15</f>
        <v>0</v>
      </c>
      <c r="E16" s="253">
        <f>E6+E15</f>
        <v>0</v>
      </c>
    </row>
    <row r="17" spans="2:5" x14ac:dyDescent="0.2">
      <c r="B17" s="118" t="s">
        <v>174</v>
      </c>
      <c r="C17" s="243"/>
      <c r="D17" s="243"/>
      <c r="E17" s="243"/>
    </row>
    <row r="18" spans="2:5" x14ac:dyDescent="0.2">
      <c r="B18" s="245"/>
      <c r="C18" s="83"/>
      <c r="D18" s="83"/>
      <c r="E18" s="83"/>
    </row>
    <row r="19" spans="2:5" x14ac:dyDescent="0.2">
      <c r="B19" s="245"/>
      <c r="C19" s="83"/>
      <c r="D19" s="83"/>
      <c r="E19" s="83"/>
    </row>
    <row r="20" spans="2:5" x14ac:dyDescent="0.2">
      <c r="B20" s="245"/>
      <c r="C20" s="83"/>
      <c r="D20" s="83"/>
      <c r="E20" s="83"/>
    </row>
    <row r="21" spans="2:5" x14ac:dyDescent="0.2">
      <c r="B21" s="245"/>
      <c r="C21" s="83"/>
      <c r="D21" s="83"/>
      <c r="E21" s="83"/>
    </row>
    <row r="22" spans="2:5" x14ac:dyDescent="0.2">
      <c r="B22" s="245"/>
      <c r="C22" s="83"/>
      <c r="D22" s="83"/>
      <c r="E22" s="83"/>
    </row>
    <row r="23" spans="2:5" x14ac:dyDescent="0.2">
      <c r="B23" s="245"/>
      <c r="C23" s="83"/>
      <c r="D23" s="83"/>
      <c r="E23" s="83"/>
    </row>
    <row r="24" spans="2:5" x14ac:dyDescent="0.2">
      <c r="B24" s="245"/>
      <c r="C24" s="83"/>
      <c r="D24" s="83"/>
      <c r="E24" s="83"/>
    </row>
    <row r="25" spans="2:5" x14ac:dyDescent="0.2">
      <c r="B25" s="249" t="str">
        <f>CONCATENATE("Cash Reserve (",E1," column)")</f>
        <v>Cash Reserve (2025 column)</v>
      </c>
      <c r="C25" s="83"/>
      <c r="D25" s="83"/>
      <c r="E25" s="83"/>
    </row>
    <row r="26" spans="2:5" x14ac:dyDescent="0.2">
      <c r="B26" s="249" t="s">
        <v>118</v>
      </c>
      <c r="C26" s="83"/>
      <c r="D26" s="242"/>
      <c r="E26" s="242"/>
    </row>
    <row r="27" spans="2:5" x14ac:dyDescent="0.2">
      <c r="B27" s="249" t="s">
        <v>333</v>
      </c>
      <c r="C27" s="371" t="str">
        <f>IF(C28*0.1&lt;C26,"Exceed 10% Rule","")</f>
        <v/>
      </c>
      <c r="D27" s="250" t="str">
        <f>IF(D28*0.1&lt;D26,"Exceed 10% Rule","")</f>
        <v/>
      </c>
      <c r="E27" s="250" t="str">
        <f>IF(E28*0.1&lt;E26,"Exceed 10% Rule","")</f>
        <v/>
      </c>
    </row>
    <row r="28" spans="2:5" x14ac:dyDescent="0.2">
      <c r="B28" s="251" t="s">
        <v>178</v>
      </c>
      <c r="C28" s="253">
        <f>SUM(C18:C26)</f>
        <v>0</v>
      </c>
      <c r="D28" s="253">
        <f>SUM(D18:D26)</f>
        <v>0</v>
      </c>
      <c r="E28" s="253">
        <f>SUM(E18:E26)</f>
        <v>0</v>
      </c>
    </row>
    <row r="29" spans="2:5" x14ac:dyDescent="0.2">
      <c r="B29" s="118" t="s">
        <v>19</v>
      </c>
      <c r="C29" s="92">
        <f>C16-C28</f>
        <v>0</v>
      </c>
      <c r="D29" s="92">
        <f>D16-D28</f>
        <v>0</v>
      </c>
      <c r="E29" s="92">
        <f>E16-E28</f>
        <v>0</v>
      </c>
    </row>
    <row r="30" spans="2:5" x14ac:dyDescent="0.2">
      <c r="B30" s="164" t="str">
        <f>CONCATENATE("",E1-2,"/",E1-1,"/",E1," Budget Authority Amount:")</f>
        <v>2023/2024/2025 Budget Authority Amount:</v>
      </c>
      <c r="C30" s="270">
        <f>inputOth!B105</f>
        <v>0</v>
      </c>
      <c r="D30" s="270">
        <f>inputPrYr!D49</f>
        <v>0</v>
      </c>
      <c r="E30" s="527">
        <f>E28</f>
        <v>0</v>
      </c>
    </row>
    <row r="31" spans="2:5" x14ac:dyDescent="0.2">
      <c r="B31" s="135"/>
      <c r="C31" s="255" t="str">
        <f>IF(C28&gt;C30,"See Tab A","")</f>
        <v/>
      </c>
      <c r="D31" s="255" t="str">
        <f>IF(D28&gt;D30,"See Tab C","")</f>
        <v/>
      </c>
      <c r="E31" s="528" t="str">
        <f>IF(E29&lt;0,"See Tab E","")</f>
        <v/>
      </c>
    </row>
    <row r="32" spans="2:5" x14ac:dyDescent="0.2">
      <c r="B32" s="135"/>
      <c r="C32" s="255" t="str">
        <f>IF(C29&lt;0,"See Tab B","")</f>
        <v/>
      </c>
      <c r="D32" s="255" t="str">
        <f>IF(D29&lt;0,"See Tab D","")</f>
        <v/>
      </c>
      <c r="E32" s="101"/>
    </row>
    <row r="33" spans="2:5" x14ac:dyDescent="0.2">
      <c r="B33" s="69"/>
      <c r="C33" s="101"/>
      <c r="D33" s="101"/>
      <c r="E33" s="101"/>
    </row>
    <row r="34" spans="2:5" x14ac:dyDescent="0.2">
      <c r="B34" s="72"/>
      <c r="C34" s="259"/>
      <c r="D34" s="259"/>
      <c r="E34" s="259"/>
    </row>
    <row r="35" spans="2:5" x14ac:dyDescent="0.2">
      <c r="B35" s="72" t="s">
        <v>162</v>
      </c>
      <c r="C35" s="198" t="s">
        <v>359</v>
      </c>
      <c r="D35" s="142" t="s">
        <v>362</v>
      </c>
      <c r="E35" s="142" t="s">
        <v>361</v>
      </c>
    </row>
    <row r="36" spans="2:5" x14ac:dyDescent="0.2">
      <c r="B36" s="377">
        <f>inputPrYr!B50</f>
        <v>0</v>
      </c>
      <c r="C36" s="147" t="str">
        <f>C5</f>
        <v>Actual for 2023</v>
      </c>
      <c r="D36" s="147" t="str">
        <f>D5</f>
        <v>Estimate for 2024</v>
      </c>
      <c r="E36" s="147" t="str">
        <f>E5</f>
        <v>Year for 2025</v>
      </c>
    </row>
    <row r="37" spans="2:5" x14ac:dyDescent="0.2">
      <c r="B37" s="256" t="s">
        <v>18</v>
      </c>
      <c r="C37" s="83"/>
      <c r="D37" s="243">
        <f>C61</f>
        <v>0</v>
      </c>
      <c r="E37" s="243">
        <f>D61</f>
        <v>0</v>
      </c>
    </row>
    <row r="38" spans="2:5" x14ac:dyDescent="0.2">
      <c r="B38" s="257" t="s">
        <v>20</v>
      </c>
      <c r="C38" s="95"/>
      <c r="D38" s="95"/>
      <c r="E38" s="95"/>
    </row>
    <row r="39" spans="2:5" x14ac:dyDescent="0.2">
      <c r="B39" s="245"/>
      <c r="C39" s="83"/>
      <c r="D39" s="83"/>
      <c r="E39" s="83"/>
    </row>
    <row r="40" spans="2:5" s="65" customFormat="1" x14ac:dyDescent="0.2">
      <c r="B40" s="245"/>
      <c r="C40" s="83"/>
      <c r="D40" s="83"/>
      <c r="E40" s="83"/>
    </row>
    <row r="41" spans="2:5" x14ac:dyDescent="0.2">
      <c r="B41" s="245"/>
      <c r="C41" s="83"/>
      <c r="D41" s="83"/>
      <c r="E41" s="83"/>
    </row>
    <row r="42" spans="2:5" x14ac:dyDescent="0.2">
      <c r="B42" s="245"/>
      <c r="C42" s="83"/>
      <c r="D42" s="83"/>
      <c r="E42" s="83"/>
    </row>
    <row r="43" spans="2:5" x14ac:dyDescent="0.2">
      <c r="B43" s="245"/>
      <c r="C43" s="83"/>
      <c r="D43" s="83"/>
      <c r="E43" s="83"/>
    </row>
    <row r="44" spans="2:5" x14ac:dyDescent="0.2">
      <c r="B44" s="258" t="s">
        <v>170</v>
      </c>
      <c r="C44" s="83"/>
      <c r="D44" s="83"/>
      <c r="E44" s="83"/>
    </row>
    <row r="45" spans="2:5" x14ac:dyDescent="0.2">
      <c r="B45" s="249" t="s">
        <v>118</v>
      </c>
      <c r="C45" s="83"/>
      <c r="D45" s="242"/>
      <c r="E45" s="242"/>
    </row>
    <row r="46" spans="2:5" x14ac:dyDescent="0.2">
      <c r="B46" s="249" t="s">
        <v>334</v>
      </c>
      <c r="C46" s="371" t="str">
        <f>IF(C47*0.1&lt;C45,"Exceed 10% Rule","")</f>
        <v/>
      </c>
      <c r="D46" s="250" t="str">
        <f>IF(D47*0.1&lt;D45,"Exceed 10% Rule","")</f>
        <v/>
      </c>
      <c r="E46" s="250" t="str">
        <f>IF(E47*0.1&lt;E45,"Exceed 10% Rule","")</f>
        <v/>
      </c>
    </row>
    <row r="47" spans="2:5" x14ac:dyDescent="0.2">
      <c r="B47" s="251" t="s">
        <v>171</v>
      </c>
      <c r="C47" s="253">
        <f>SUM(C39:C45)</f>
        <v>0</v>
      </c>
      <c r="D47" s="253">
        <f>SUM(D39:D45)</f>
        <v>0</v>
      </c>
      <c r="E47" s="253">
        <f>SUM(E39:E45)</f>
        <v>0</v>
      </c>
    </row>
    <row r="48" spans="2:5" x14ac:dyDescent="0.2">
      <c r="B48" s="251" t="s">
        <v>172</v>
      </c>
      <c r="C48" s="253">
        <f>C37+C47</f>
        <v>0</v>
      </c>
      <c r="D48" s="253">
        <f>D37+D47</f>
        <v>0</v>
      </c>
      <c r="E48" s="253">
        <f>E37+E47</f>
        <v>0</v>
      </c>
    </row>
    <row r="49" spans="2:5" x14ac:dyDescent="0.2">
      <c r="B49" s="118" t="s">
        <v>174</v>
      </c>
      <c r="C49" s="243"/>
      <c r="D49" s="243"/>
      <c r="E49" s="243"/>
    </row>
    <row r="50" spans="2:5" x14ac:dyDescent="0.2">
      <c r="B50" s="245"/>
      <c r="C50" s="83"/>
      <c r="D50" s="83"/>
      <c r="E50" s="83"/>
    </row>
    <row r="51" spans="2:5" x14ac:dyDescent="0.2">
      <c r="B51" s="245"/>
      <c r="C51" s="83"/>
      <c r="D51" s="83"/>
      <c r="E51" s="83"/>
    </row>
    <row r="52" spans="2:5" x14ac:dyDescent="0.2">
      <c r="B52" s="245"/>
      <c r="C52" s="83"/>
      <c r="D52" s="83"/>
      <c r="E52" s="83"/>
    </row>
    <row r="53" spans="2:5" x14ac:dyDescent="0.2">
      <c r="B53" s="245"/>
      <c r="C53" s="83"/>
      <c r="D53" s="83"/>
      <c r="E53" s="83"/>
    </row>
    <row r="54" spans="2:5" x14ac:dyDescent="0.2">
      <c r="B54" s="245"/>
      <c r="C54" s="83"/>
      <c r="D54" s="83"/>
      <c r="E54" s="83"/>
    </row>
    <row r="55" spans="2:5" x14ac:dyDescent="0.2">
      <c r="B55" s="245"/>
      <c r="C55" s="83"/>
      <c r="D55" s="83"/>
      <c r="E55" s="83"/>
    </row>
    <row r="56" spans="2:5" x14ac:dyDescent="0.2">
      <c r="B56" s="245"/>
      <c r="C56" s="83"/>
      <c r="D56" s="83"/>
      <c r="E56" s="83"/>
    </row>
    <row r="57" spans="2:5" x14ac:dyDescent="0.2">
      <c r="B57" s="249" t="str">
        <f>CONCATENATE("Cash Reserve (",E1," column)")</f>
        <v>Cash Reserve (2025 column)</v>
      </c>
      <c r="C57" s="83"/>
      <c r="D57" s="83"/>
      <c r="E57" s="83"/>
    </row>
    <row r="58" spans="2:5" x14ac:dyDescent="0.2">
      <c r="B58" s="249" t="s">
        <v>118</v>
      </c>
      <c r="C58" s="83"/>
      <c r="D58" s="242"/>
      <c r="E58" s="242"/>
    </row>
    <row r="59" spans="2:5" x14ac:dyDescent="0.2">
      <c r="B59" s="249" t="s">
        <v>333</v>
      </c>
      <c r="C59" s="371" t="str">
        <f>IF(C60*0.1&lt;C58,"Exceed 10% Rule","")</f>
        <v/>
      </c>
      <c r="D59" s="250" t="str">
        <f>IF(D60*0.1&lt;D58,"Exceed 10% Rule","")</f>
        <v/>
      </c>
      <c r="E59" s="250" t="str">
        <f>IF(E60*0.1&lt;E58,"Exceed 10% Rule","")</f>
        <v/>
      </c>
    </row>
    <row r="60" spans="2:5" x14ac:dyDescent="0.2">
      <c r="B60" s="251" t="s">
        <v>178</v>
      </c>
      <c r="C60" s="253">
        <f>SUM(C50:C58)</f>
        <v>0</v>
      </c>
      <c r="D60" s="253">
        <f>SUM(D50:D58)</f>
        <v>0</v>
      </c>
      <c r="E60" s="253">
        <f>SUM(E50:E58)</f>
        <v>0</v>
      </c>
    </row>
    <row r="61" spans="2:5" x14ac:dyDescent="0.2">
      <c r="B61" s="118" t="s">
        <v>19</v>
      </c>
      <c r="C61" s="92">
        <f>C48-C60</f>
        <v>0</v>
      </c>
      <c r="D61" s="92">
        <f>D48-D60</f>
        <v>0</v>
      </c>
      <c r="E61" s="92">
        <f>E48-E60</f>
        <v>0</v>
      </c>
    </row>
    <row r="62" spans="2:5" x14ac:dyDescent="0.2">
      <c r="B62" s="164" t="str">
        <f>CONCATENATE("",E1-2,"/",E1-1,"/",E1," Budget Authority Amount:")</f>
        <v>2023/2024/2025 Budget Authority Amount:</v>
      </c>
      <c r="C62" s="270">
        <f>inputOth!B106</f>
        <v>0</v>
      </c>
      <c r="D62" s="270">
        <f>inputPrYr!D50</f>
        <v>0</v>
      </c>
      <c r="E62" s="527">
        <f>E60</f>
        <v>0</v>
      </c>
    </row>
    <row r="63" spans="2:5" x14ac:dyDescent="0.2">
      <c r="B63" s="135"/>
      <c r="C63" s="255" t="str">
        <f>IF(C60&gt;C62,"See Tab A","")</f>
        <v/>
      </c>
      <c r="D63" s="255" t="str">
        <f>IF(D60&gt;D62,"See Tab C","")</f>
        <v/>
      </c>
      <c r="E63" s="528" t="str">
        <f>IF(E61&lt;0,"See Tab E","")</f>
        <v/>
      </c>
    </row>
    <row r="64" spans="2:5" x14ac:dyDescent="0.2">
      <c r="B64" s="603" t="s">
        <v>513</v>
      </c>
      <c r="C64" s="528"/>
      <c r="D64" s="528"/>
      <c r="E64" s="593"/>
    </row>
    <row r="65" spans="2:5" x14ac:dyDescent="0.2">
      <c r="B65" s="594"/>
      <c r="C65" s="255"/>
      <c r="D65" s="255"/>
      <c r="E65" s="595"/>
    </row>
    <row r="66" spans="2:5" x14ac:dyDescent="0.2">
      <c r="B66" s="596"/>
      <c r="C66" s="597" t="str">
        <f>IF(C61&lt;0,"See Tab B","")</f>
        <v/>
      </c>
      <c r="D66" s="597" t="str">
        <f>IF(D61&lt;0,"See Tab D","")</f>
        <v/>
      </c>
      <c r="E66" s="96"/>
    </row>
    <row r="67" spans="2:5" x14ac:dyDescent="0.2">
      <c r="B67" s="69"/>
      <c r="C67" s="69"/>
      <c r="D67" s="69"/>
      <c r="E67" s="69"/>
    </row>
    <row r="68" spans="2:5" x14ac:dyDescent="0.2">
      <c r="B68" s="135" t="s">
        <v>181</v>
      </c>
      <c r="C68" s="564"/>
      <c r="D68" s="69"/>
      <c r="E68" s="69"/>
    </row>
  </sheetData>
  <sheetProtection sheet="1"/>
  <phoneticPr fontId="0" type="noConversion"/>
  <conditionalFormatting sqref="C13">
    <cfRule type="cellIs" dxfId="99" priority="12" stopIfTrue="1" operator="greaterThan">
      <formula>$C$15*0.1</formula>
    </cfRule>
  </conditionalFormatting>
  <conditionalFormatting sqref="C26">
    <cfRule type="cellIs" dxfId="98" priority="9" stopIfTrue="1" operator="greaterThan">
      <formula>$C$28*0.1</formula>
    </cfRule>
  </conditionalFormatting>
  <conditionalFormatting sqref="C28">
    <cfRule type="cellIs" dxfId="97" priority="16" stopIfTrue="1" operator="greaterThan">
      <formula>$C$30</formula>
    </cfRule>
  </conditionalFormatting>
  <conditionalFormatting sqref="C29 E29 C61 E61">
    <cfRule type="cellIs" dxfId="96" priority="15" stopIfTrue="1" operator="lessThan">
      <formula>0</formula>
    </cfRule>
  </conditionalFormatting>
  <conditionalFormatting sqref="C45">
    <cfRule type="cellIs" dxfId="95" priority="3" stopIfTrue="1" operator="greaterThan">
      <formula>$C$47*0.1</formula>
    </cfRule>
  </conditionalFormatting>
  <conditionalFormatting sqref="C58">
    <cfRule type="cellIs" dxfId="94" priority="6" stopIfTrue="1" operator="greaterThan">
      <formula>$C$60*0.1</formula>
    </cfRule>
  </conditionalFormatting>
  <conditionalFormatting sqref="C60">
    <cfRule type="cellIs" dxfId="93" priority="18" stopIfTrue="1" operator="greaterThan">
      <formula>$C$62</formula>
    </cfRule>
  </conditionalFormatting>
  <conditionalFormatting sqref="D13">
    <cfRule type="cellIs" dxfId="92" priority="13" stopIfTrue="1" operator="greaterThan">
      <formula>$D$15*0.1</formula>
    </cfRule>
  </conditionalFormatting>
  <conditionalFormatting sqref="D26">
    <cfRule type="cellIs" dxfId="91" priority="10" stopIfTrue="1" operator="greaterThan">
      <formula>$D$28*0.1</formula>
    </cfRule>
  </conditionalFormatting>
  <conditionalFormatting sqref="D28">
    <cfRule type="cellIs" dxfId="90" priority="17" stopIfTrue="1" operator="greaterThan">
      <formula>$D$30</formula>
    </cfRule>
  </conditionalFormatting>
  <conditionalFormatting sqref="D29">
    <cfRule type="cellIs" dxfId="89" priority="1" stopIfTrue="1" operator="lessThan">
      <formula>0</formula>
    </cfRule>
  </conditionalFormatting>
  <conditionalFormatting sqref="D45">
    <cfRule type="cellIs" dxfId="88" priority="4" stopIfTrue="1" operator="greaterThan">
      <formula>$D$47*0.1</formula>
    </cfRule>
  </conditionalFormatting>
  <conditionalFormatting sqref="D58">
    <cfRule type="cellIs" dxfId="87" priority="7" stopIfTrue="1" operator="greaterThan">
      <formula>$D$60*0.1</formula>
    </cfRule>
  </conditionalFormatting>
  <conditionalFormatting sqref="D60">
    <cfRule type="cellIs" dxfId="86" priority="19" stopIfTrue="1" operator="greaterThan">
      <formula>$D$62</formula>
    </cfRule>
  </conditionalFormatting>
  <conditionalFormatting sqref="D61">
    <cfRule type="cellIs" dxfId="85" priority="2" stopIfTrue="1" operator="lessThan">
      <formula>0</formula>
    </cfRule>
  </conditionalFormatting>
  <conditionalFormatting sqref="E13">
    <cfRule type="cellIs" dxfId="84" priority="14" stopIfTrue="1" operator="greaterThan">
      <formula>$E$15*0.1</formula>
    </cfRule>
  </conditionalFormatting>
  <conditionalFormatting sqref="E26">
    <cfRule type="cellIs" dxfId="83" priority="11" stopIfTrue="1" operator="greaterThan">
      <formula>$E$28*0.1</formula>
    </cfRule>
  </conditionalFormatting>
  <conditionalFormatting sqref="E45">
    <cfRule type="cellIs" dxfId="82" priority="5" stopIfTrue="1" operator="greaterThan">
      <formula>$E$47*0.1</formula>
    </cfRule>
  </conditionalFormatting>
  <conditionalFormatting sqref="E58">
    <cfRule type="cellIs" dxfId="81" priority="8" stopIfTrue="1" operator="greaterThan">
      <formula>$E$60*0.1</formula>
    </cfRule>
  </conditionalFormatting>
  <pageMargins left="0.5" right="0.5" top="1" bottom="0.5" header="0.5" footer="0.5"/>
  <pageSetup scale="64" orientation="portrait" blackAndWhite="1" horizontalDpi="120" verticalDpi="14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B0F0"/>
    <pageSetUpPr fitToPage="1"/>
  </sheetPr>
  <dimension ref="B1:E68"/>
  <sheetViews>
    <sheetView workbookViewId="0">
      <selection activeCell="B4" sqref="B4"/>
    </sheetView>
  </sheetViews>
  <sheetFormatPr defaultColWidth="8.88671875" defaultRowHeight="15.75" x14ac:dyDescent="0.2"/>
  <cols>
    <col min="1" max="1" width="2.44140625" style="63" customWidth="1"/>
    <col min="2" max="2" width="31.109375" style="63" customWidth="1"/>
    <col min="3" max="5" width="15.77734375" style="63" customWidth="1"/>
    <col min="6" max="16384" width="8.88671875" style="63"/>
  </cols>
  <sheetData>
    <row r="1" spans="2:5" x14ac:dyDescent="0.2">
      <c r="B1" s="89">
        <f>(inputPrYr!D3)</f>
        <v>0</v>
      </c>
      <c r="C1" s="69"/>
      <c r="D1" s="69"/>
      <c r="E1" s="135">
        <f>inputPrYr!C10</f>
        <v>2025</v>
      </c>
    </row>
    <row r="2" spans="2:5" x14ac:dyDescent="0.2">
      <c r="B2" s="69"/>
      <c r="C2" s="69"/>
      <c r="D2" s="69"/>
      <c r="E2" s="161"/>
    </row>
    <row r="3" spans="2:5" x14ac:dyDescent="0.2">
      <c r="B3" s="239" t="s">
        <v>6</v>
      </c>
      <c r="C3" s="196"/>
      <c r="D3" s="196"/>
      <c r="E3" s="196"/>
    </row>
    <row r="4" spans="2:5" x14ac:dyDescent="0.2">
      <c r="B4" s="72" t="s">
        <v>162</v>
      </c>
      <c r="C4" s="392" t="s">
        <v>359</v>
      </c>
      <c r="D4" s="393" t="s">
        <v>360</v>
      </c>
      <c r="E4" s="142" t="s">
        <v>361</v>
      </c>
    </row>
    <row r="5" spans="2:5" x14ac:dyDescent="0.2">
      <c r="B5" s="377">
        <f>inputPrYr!B51</f>
        <v>0</v>
      </c>
      <c r="C5" s="318" t="str">
        <f>CONCATENATE("Actual for ",E1-2,"")</f>
        <v>Actual for 2023</v>
      </c>
      <c r="D5" s="318" t="str">
        <f>CONCATENATE("Estimate for ",E1-1,"")</f>
        <v>Estimate for 2024</v>
      </c>
      <c r="E5" s="176" t="str">
        <f>CONCATENATE("Year for ",E1,"")</f>
        <v>Year for 2025</v>
      </c>
    </row>
    <row r="6" spans="2:5" x14ac:dyDescent="0.2">
      <c r="B6" s="256" t="s">
        <v>18</v>
      </c>
      <c r="C6" s="83"/>
      <c r="D6" s="243">
        <f>C29</f>
        <v>0</v>
      </c>
      <c r="E6" s="243">
        <f>D29</f>
        <v>0</v>
      </c>
    </row>
    <row r="7" spans="2:5" s="65" customFormat="1" x14ac:dyDescent="0.2">
      <c r="B7" s="257" t="s">
        <v>20</v>
      </c>
      <c r="C7" s="95"/>
      <c r="D7" s="95"/>
      <c r="E7" s="95"/>
    </row>
    <row r="8" spans="2:5" x14ac:dyDescent="0.2">
      <c r="B8" s="245"/>
      <c r="C8" s="83"/>
      <c r="D8" s="83"/>
      <c r="E8" s="83"/>
    </row>
    <row r="9" spans="2:5" x14ac:dyDescent="0.2">
      <c r="B9" s="245"/>
      <c r="C9" s="83"/>
      <c r="D9" s="83"/>
      <c r="E9" s="83"/>
    </row>
    <row r="10" spans="2:5" x14ac:dyDescent="0.2">
      <c r="B10" s="245"/>
      <c r="C10" s="83"/>
      <c r="D10" s="83"/>
      <c r="E10" s="83"/>
    </row>
    <row r="11" spans="2:5" x14ac:dyDescent="0.2">
      <c r="B11" s="245"/>
      <c r="C11" s="83"/>
      <c r="D11" s="83"/>
      <c r="E11" s="83"/>
    </row>
    <row r="12" spans="2:5" x14ac:dyDescent="0.2">
      <c r="B12" s="258" t="s">
        <v>170</v>
      </c>
      <c r="C12" s="83"/>
      <c r="D12" s="83"/>
      <c r="E12" s="83"/>
    </row>
    <row r="13" spans="2:5" x14ac:dyDescent="0.2">
      <c r="B13" s="249" t="s">
        <v>118</v>
      </c>
      <c r="C13" s="83"/>
      <c r="D13" s="242"/>
      <c r="E13" s="242"/>
    </row>
    <row r="14" spans="2:5" x14ac:dyDescent="0.2">
      <c r="B14" s="249" t="s">
        <v>334</v>
      </c>
      <c r="C14" s="371" t="str">
        <f>IF(C15*0.1&lt;C13,"Exceed 10% Rule","")</f>
        <v/>
      </c>
      <c r="D14" s="250" t="str">
        <f>IF(D15*0.1&lt;D13,"Exceed 10% Rule","")</f>
        <v/>
      </c>
      <c r="E14" s="250" t="str">
        <f>IF(E15*0.1&lt;E13,"Exceed 10% Rule","")</f>
        <v/>
      </c>
    </row>
    <row r="15" spans="2:5" x14ac:dyDescent="0.2">
      <c r="B15" s="251" t="s">
        <v>171</v>
      </c>
      <c r="C15" s="253">
        <f>SUM(C8:C13)</f>
        <v>0</v>
      </c>
      <c r="D15" s="253">
        <f>SUM(D8:D13)</f>
        <v>0</v>
      </c>
      <c r="E15" s="253">
        <f>SUM(E8:E13)</f>
        <v>0</v>
      </c>
    </row>
    <row r="16" spans="2:5" x14ac:dyDescent="0.2">
      <c r="B16" s="251" t="s">
        <v>172</v>
      </c>
      <c r="C16" s="253">
        <f>C6+C15</f>
        <v>0</v>
      </c>
      <c r="D16" s="253">
        <f>D6+D15</f>
        <v>0</v>
      </c>
      <c r="E16" s="253">
        <f>E6+E15</f>
        <v>0</v>
      </c>
    </row>
    <row r="17" spans="2:5" x14ac:dyDescent="0.2">
      <c r="B17" s="118" t="s">
        <v>174</v>
      </c>
      <c r="C17" s="243"/>
      <c r="D17" s="243"/>
      <c r="E17" s="243"/>
    </row>
    <row r="18" spans="2:5" x14ac:dyDescent="0.2">
      <c r="B18" s="245"/>
      <c r="C18" s="83"/>
      <c r="D18" s="83"/>
      <c r="E18" s="83"/>
    </row>
    <row r="19" spans="2:5" x14ac:dyDescent="0.2">
      <c r="B19" s="245"/>
      <c r="C19" s="83"/>
      <c r="D19" s="83"/>
      <c r="E19" s="83"/>
    </row>
    <row r="20" spans="2:5" x14ac:dyDescent="0.2">
      <c r="B20" s="245"/>
      <c r="C20" s="83"/>
      <c r="D20" s="83"/>
      <c r="E20" s="83"/>
    </row>
    <row r="21" spans="2:5" x14ac:dyDescent="0.2">
      <c r="B21" s="245"/>
      <c r="C21" s="83"/>
      <c r="D21" s="83"/>
      <c r="E21" s="83"/>
    </row>
    <row r="22" spans="2:5" x14ac:dyDescent="0.2">
      <c r="B22" s="245"/>
      <c r="C22" s="83"/>
      <c r="D22" s="83"/>
      <c r="E22" s="83"/>
    </row>
    <row r="23" spans="2:5" x14ac:dyDescent="0.2">
      <c r="B23" s="245"/>
      <c r="C23" s="83"/>
      <c r="D23" s="83"/>
      <c r="E23" s="83"/>
    </row>
    <row r="24" spans="2:5" x14ac:dyDescent="0.2">
      <c r="B24" s="245"/>
      <c r="C24" s="83"/>
      <c r="D24" s="83"/>
      <c r="E24" s="83"/>
    </row>
    <row r="25" spans="2:5" x14ac:dyDescent="0.2">
      <c r="B25" s="249" t="str">
        <f>CONCATENATE("Cash Reserve (",E1," column)")</f>
        <v>Cash Reserve (2025 column)</v>
      </c>
      <c r="C25" s="83"/>
      <c r="D25" s="83"/>
      <c r="E25" s="83"/>
    </row>
    <row r="26" spans="2:5" x14ac:dyDescent="0.2">
      <c r="B26" s="249" t="s">
        <v>118</v>
      </c>
      <c r="C26" s="83"/>
      <c r="D26" s="242"/>
      <c r="E26" s="242"/>
    </row>
    <row r="27" spans="2:5" x14ac:dyDescent="0.2">
      <c r="B27" s="249" t="s">
        <v>333</v>
      </c>
      <c r="C27" s="371" t="str">
        <f>IF(C28*0.1&lt;C26,"Exceed 10% Rule","")</f>
        <v/>
      </c>
      <c r="D27" s="250" t="str">
        <f>IF(D28*0.1&lt;D26,"Exceed 10% Rule","")</f>
        <v/>
      </c>
      <c r="E27" s="250" t="str">
        <f>IF(E28*0.1&lt;E26,"Exceed 10% Rule","")</f>
        <v/>
      </c>
    </row>
    <row r="28" spans="2:5" x14ac:dyDescent="0.2">
      <c r="B28" s="251" t="s">
        <v>178</v>
      </c>
      <c r="C28" s="253">
        <f>SUM(C18:C26)</f>
        <v>0</v>
      </c>
      <c r="D28" s="253">
        <f>SUM(D18:D26)</f>
        <v>0</v>
      </c>
      <c r="E28" s="253">
        <f>SUM(E18:E26)</f>
        <v>0</v>
      </c>
    </row>
    <row r="29" spans="2:5" x14ac:dyDescent="0.2">
      <c r="B29" s="118" t="s">
        <v>19</v>
      </c>
      <c r="C29" s="92">
        <f>C16-C28</f>
        <v>0</v>
      </c>
      <c r="D29" s="92">
        <f>D16-D28</f>
        <v>0</v>
      </c>
      <c r="E29" s="92">
        <f>E16-E28</f>
        <v>0</v>
      </c>
    </row>
    <row r="30" spans="2:5" x14ac:dyDescent="0.2">
      <c r="B30" s="164" t="str">
        <f>CONCATENATE("",E1-2,"/",E1-1,"/",E1," Budget Authority Amount:")</f>
        <v>2023/2024/2025 Budget Authority Amount:</v>
      </c>
      <c r="C30" s="270">
        <f>inputOth!B107</f>
        <v>0</v>
      </c>
      <c r="D30" s="270">
        <f>inputPrYr!D51</f>
        <v>0</v>
      </c>
      <c r="E30" s="527">
        <f>E28</f>
        <v>0</v>
      </c>
    </row>
    <row r="31" spans="2:5" x14ac:dyDescent="0.2">
      <c r="B31" s="135"/>
      <c r="C31" s="255" t="str">
        <f>IF(C28&gt;C30,"See Tab A","")</f>
        <v/>
      </c>
      <c r="D31" s="255" t="str">
        <f>IF(D28&gt;D30,"See Tab C","")</f>
        <v/>
      </c>
      <c r="E31" s="528" t="str">
        <f>IF(E29&lt;0,"See Tab E","")</f>
        <v/>
      </c>
    </row>
    <row r="32" spans="2:5" x14ac:dyDescent="0.2">
      <c r="B32" s="135"/>
      <c r="C32" s="255" t="str">
        <f>IF(C29&lt;0,"See Tab B","")</f>
        <v/>
      </c>
      <c r="D32" s="255" t="str">
        <f>IF(D29&lt;0,"See Tab D","")</f>
        <v/>
      </c>
      <c r="E32" s="101"/>
    </row>
    <row r="33" spans="2:5" x14ac:dyDescent="0.2">
      <c r="B33" s="69"/>
      <c r="C33" s="101"/>
      <c r="D33" s="101"/>
      <c r="E33" s="101"/>
    </row>
    <row r="34" spans="2:5" x14ac:dyDescent="0.2">
      <c r="B34" s="72"/>
      <c r="C34" s="259"/>
      <c r="D34" s="259"/>
      <c r="E34" s="259"/>
    </row>
    <row r="35" spans="2:5" x14ac:dyDescent="0.2">
      <c r="B35" s="72" t="s">
        <v>162</v>
      </c>
      <c r="C35" s="198" t="s">
        <v>359</v>
      </c>
      <c r="D35" s="142" t="s">
        <v>362</v>
      </c>
      <c r="E35" s="142" t="s">
        <v>361</v>
      </c>
    </row>
    <row r="36" spans="2:5" x14ac:dyDescent="0.2">
      <c r="B36" s="377">
        <f>inputPrYr!B52</f>
        <v>0</v>
      </c>
      <c r="C36" s="147" t="str">
        <f>C5</f>
        <v>Actual for 2023</v>
      </c>
      <c r="D36" s="147" t="str">
        <f>D5</f>
        <v>Estimate for 2024</v>
      </c>
      <c r="E36" s="147" t="str">
        <f>E5</f>
        <v>Year for 2025</v>
      </c>
    </row>
    <row r="37" spans="2:5" x14ac:dyDescent="0.2">
      <c r="B37" s="256" t="s">
        <v>18</v>
      </c>
      <c r="C37" s="83"/>
      <c r="D37" s="243">
        <f>C61</f>
        <v>0</v>
      </c>
      <c r="E37" s="243">
        <f>D61</f>
        <v>0</v>
      </c>
    </row>
    <row r="38" spans="2:5" x14ac:dyDescent="0.2">
      <c r="B38" s="257" t="s">
        <v>20</v>
      </c>
      <c r="C38" s="95"/>
      <c r="D38" s="95"/>
      <c r="E38" s="95"/>
    </row>
    <row r="39" spans="2:5" x14ac:dyDescent="0.2">
      <c r="B39" s="245"/>
      <c r="C39" s="83"/>
      <c r="D39" s="83"/>
      <c r="E39" s="83"/>
    </row>
    <row r="40" spans="2:5" s="65" customFormat="1" x14ac:dyDescent="0.2">
      <c r="B40" s="245"/>
      <c r="C40" s="83"/>
      <c r="D40" s="83"/>
      <c r="E40" s="83"/>
    </row>
    <row r="41" spans="2:5" x14ac:dyDescent="0.2">
      <c r="B41" s="245"/>
      <c r="C41" s="83"/>
      <c r="D41" s="83"/>
      <c r="E41" s="83"/>
    </row>
    <row r="42" spans="2:5" x14ac:dyDescent="0.2">
      <c r="B42" s="245"/>
      <c r="C42" s="83"/>
      <c r="D42" s="83"/>
      <c r="E42" s="83"/>
    </row>
    <row r="43" spans="2:5" x14ac:dyDescent="0.2">
      <c r="B43" s="245"/>
      <c r="C43" s="83"/>
      <c r="D43" s="83"/>
      <c r="E43" s="83"/>
    </row>
    <row r="44" spans="2:5" x14ac:dyDescent="0.2">
      <c r="B44" s="258" t="s">
        <v>170</v>
      </c>
      <c r="C44" s="83"/>
      <c r="D44" s="83"/>
      <c r="E44" s="83"/>
    </row>
    <row r="45" spans="2:5" x14ac:dyDescent="0.2">
      <c r="B45" s="249" t="s">
        <v>118</v>
      </c>
      <c r="C45" s="83"/>
      <c r="D45" s="242"/>
      <c r="E45" s="242"/>
    </row>
    <row r="46" spans="2:5" x14ac:dyDescent="0.2">
      <c r="B46" s="249" t="s">
        <v>334</v>
      </c>
      <c r="C46" s="371" t="str">
        <f>IF(C47*0.1&lt;C45,"Exceed 10% Rule","")</f>
        <v/>
      </c>
      <c r="D46" s="250" t="str">
        <f>IF(D47*0.1&lt;D45,"Exceed 10% Rule","")</f>
        <v/>
      </c>
      <c r="E46" s="250" t="str">
        <f>IF(E47*0.1&lt;E45,"Exceed 10% Rule","")</f>
        <v/>
      </c>
    </row>
    <row r="47" spans="2:5" x14ac:dyDescent="0.2">
      <c r="B47" s="251" t="s">
        <v>171</v>
      </c>
      <c r="C47" s="253">
        <f>SUM(C39:C45)</f>
        <v>0</v>
      </c>
      <c r="D47" s="253">
        <f>SUM(D39:D45)</f>
        <v>0</v>
      </c>
      <c r="E47" s="253">
        <f>SUM(E39:E45)</f>
        <v>0</v>
      </c>
    </row>
    <row r="48" spans="2:5" x14ac:dyDescent="0.2">
      <c r="B48" s="251" t="s">
        <v>172</v>
      </c>
      <c r="C48" s="253">
        <f>C37+C47</f>
        <v>0</v>
      </c>
      <c r="D48" s="253">
        <f>D37+D47</f>
        <v>0</v>
      </c>
      <c r="E48" s="253">
        <f>E37+E47</f>
        <v>0</v>
      </c>
    </row>
    <row r="49" spans="2:5" x14ac:dyDescent="0.2">
      <c r="B49" s="118" t="s">
        <v>174</v>
      </c>
      <c r="C49" s="243"/>
      <c r="D49" s="243"/>
      <c r="E49" s="243"/>
    </row>
    <row r="50" spans="2:5" x14ac:dyDescent="0.2">
      <c r="B50" s="245"/>
      <c r="C50" s="83"/>
      <c r="D50" s="83"/>
      <c r="E50" s="83"/>
    </row>
    <row r="51" spans="2:5" x14ac:dyDescent="0.2">
      <c r="B51" s="245"/>
      <c r="C51" s="83"/>
      <c r="D51" s="83"/>
      <c r="E51" s="83"/>
    </row>
    <row r="52" spans="2:5" x14ac:dyDescent="0.2">
      <c r="B52" s="245"/>
      <c r="C52" s="83"/>
      <c r="D52" s="83"/>
      <c r="E52" s="83"/>
    </row>
    <row r="53" spans="2:5" x14ac:dyDescent="0.2">
      <c r="B53" s="245"/>
      <c r="C53" s="83"/>
      <c r="D53" s="83"/>
      <c r="E53" s="83"/>
    </row>
    <row r="54" spans="2:5" x14ac:dyDescent="0.2">
      <c r="B54" s="245"/>
      <c r="C54" s="83"/>
      <c r="D54" s="83"/>
      <c r="E54" s="83"/>
    </row>
    <row r="55" spans="2:5" x14ac:dyDescent="0.2">
      <c r="B55" s="245"/>
      <c r="C55" s="83"/>
      <c r="D55" s="83"/>
      <c r="E55" s="83"/>
    </row>
    <row r="56" spans="2:5" x14ac:dyDescent="0.2">
      <c r="B56" s="245"/>
      <c r="C56" s="83"/>
      <c r="D56" s="83"/>
      <c r="E56" s="83"/>
    </row>
    <row r="57" spans="2:5" x14ac:dyDescent="0.2">
      <c r="B57" s="249" t="str">
        <f>CONCATENATE("Cash Reserve (",E1," column)")</f>
        <v>Cash Reserve (2025 column)</v>
      </c>
      <c r="C57" s="83"/>
      <c r="D57" s="83"/>
      <c r="E57" s="83"/>
    </row>
    <row r="58" spans="2:5" x14ac:dyDescent="0.2">
      <c r="B58" s="249" t="s">
        <v>118</v>
      </c>
      <c r="C58" s="83"/>
      <c r="D58" s="242"/>
      <c r="E58" s="242"/>
    </row>
    <row r="59" spans="2:5" x14ac:dyDescent="0.2">
      <c r="B59" s="249" t="s">
        <v>333</v>
      </c>
      <c r="C59" s="371" t="str">
        <f>IF(C60*0.1&lt;C58,"Exceed 10% Rule","")</f>
        <v/>
      </c>
      <c r="D59" s="250" t="str">
        <f>IF(D60*0.1&lt;D58,"Exceed 10% Rule","")</f>
        <v/>
      </c>
      <c r="E59" s="250" t="str">
        <f>IF(E60*0.1&lt;E58,"Exceed 10% Rule","")</f>
        <v/>
      </c>
    </row>
    <row r="60" spans="2:5" x14ac:dyDescent="0.2">
      <c r="B60" s="251" t="s">
        <v>178</v>
      </c>
      <c r="C60" s="253">
        <f>SUM(C50:C58)</f>
        <v>0</v>
      </c>
      <c r="D60" s="253">
        <f>SUM(D50:D58)</f>
        <v>0</v>
      </c>
      <c r="E60" s="253">
        <f>SUM(E50:E58)</f>
        <v>0</v>
      </c>
    </row>
    <row r="61" spans="2:5" x14ac:dyDescent="0.2">
      <c r="B61" s="118" t="s">
        <v>19</v>
      </c>
      <c r="C61" s="92">
        <f>C48-C60</f>
        <v>0</v>
      </c>
      <c r="D61" s="92">
        <f>D48-D60</f>
        <v>0</v>
      </c>
      <c r="E61" s="92">
        <f>E48-E60</f>
        <v>0</v>
      </c>
    </row>
    <row r="62" spans="2:5" x14ac:dyDescent="0.2">
      <c r="B62" s="164" t="str">
        <f>CONCATENATE("",E1-2,"/",E1-1,"/",E1," Budget Authority Amount:")</f>
        <v>2023/2024/2025 Budget Authority Amount:</v>
      </c>
      <c r="C62" s="270">
        <f>inputOth!B108</f>
        <v>0</v>
      </c>
      <c r="D62" s="270">
        <f>inputPrYr!D52</f>
        <v>0</v>
      </c>
      <c r="E62" s="527">
        <f>E60</f>
        <v>0</v>
      </c>
    </row>
    <row r="63" spans="2:5" x14ac:dyDescent="0.2">
      <c r="B63" s="135"/>
      <c r="C63" s="255" t="str">
        <f>IF(C60&gt;C62,"See Tab A","")</f>
        <v/>
      </c>
      <c r="D63" s="255" t="str">
        <f>IF(D60&gt;D62,"See Tab C","")</f>
        <v/>
      </c>
      <c r="E63" s="528" t="str">
        <f>IF(E61&lt;0,"See Tab E","")</f>
        <v/>
      </c>
    </row>
    <row r="64" spans="2:5" x14ac:dyDescent="0.2">
      <c r="B64" s="603" t="s">
        <v>513</v>
      </c>
      <c r="C64" s="528"/>
      <c r="D64" s="528"/>
      <c r="E64" s="593"/>
    </row>
    <row r="65" spans="2:5" x14ac:dyDescent="0.2">
      <c r="B65" s="594"/>
      <c r="C65" s="255"/>
      <c r="D65" s="255"/>
      <c r="E65" s="595"/>
    </row>
    <row r="66" spans="2:5" x14ac:dyDescent="0.2">
      <c r="B66" s="596"/>
      <c r="C66" s="597" t="str">
        <f>IF(C61&lt;0,"See Tab B","")</f>
        <v/>
      </c>
      <c r="D66" s="597" t="str">
        <f>IF(D61&lt;0,"See Tab D","")</f>
        <v/>
      </c>
      <c r="E66" s="96"/>
    </row>
    <row r="67" spans="2:5" x14ac:dyDescent="0.2">
      <c r="B67" s="69"/>
      <c r="C67" s="69"/>
      <c r="D67" s="69"/>
      <c r="E67" s="69"/>
    </row>
    <row r="68" spans="2:5" x14ac:dyDescent="0.2">
      <c r="B68" s="135" t="s">
        <v>181</v>
      </c>
      <c r="C68" s="564"/>
      <c r="D68" s="69"/>
      <c r="E68" s="69"/>
    </row>
  </sheetData>
  <sheetProtection sheet="1"/>
  <conditionalFormatting sqref="C13">
    <cfRule type="cellIs" dxfId="80" priority="10" stopIfTrue="1" operator="greaterThan">
      <formula>$C$15*0.1</formula>
    </cfRule>
  </conditionalFormatting>
  <conditionalFormatting sqref="C26">
    <cfRule type="cellIs" dxfId="79" priority="13" stopIfTrue="1" operator="greaterThan">
      <formula>$C$28*0.1</formula>
    </cfRule>
  </conditionalFormatting>
  <conditionalFormatting sqref="C28">
    <cfRule type="cellIs" dxfId="78" priority="6" stopIfTrue="1" operator="greaterThan">
      <formula>$C$30</formula>
    </cfRule>
  </conditionalFormatting>
  <conditionalFormatting sqref="C29 E29 C61 E61">
    <cfRule type="cellIs" dxfId="77" priority="7" stopIfTrue="1" operator="lessThan">
      <formula>0</formula>
    </cfRule>
  </conditionalFormatting>
  <conditionalFormatting sqref="C45">
    <cfRule type="cellIs" dxfId="76" priority="19" stopIfTrue="1" operator="greaterThan">
      <formula>$C$47*0.1</formula>
    </cfRule>
  </conditionalFormatting>
  <conditionalFormatting sqref="C58">
    <cfRule type="cellIs" dxfId="75" priority="16" stopIfTrue="1" operator="greaterThan">
      <formula>$C$60*0.1</formula>
    </cfRule>
  </conditionalFormatting>
  <conditionalFormatting sqref="C60">
    <cfRule type="cellIs" dxfId="74" priority="4" stopIfTrue="1" operator="greaterThan">
      <formula>$C$62</formula>
    </cfRule>
  </conditionalFormatting>
  <conditionalFormatting sqref="D13">
    <cfRule type="cellIs" dxfId="73" priority="9" stopIfTrue="1" operator="greaterThan">
      <formula>$D$15*0.1</formula>
    </cfRule>
  </conditionalFormatting>
  <conditionalFormatting sqref="D26">
    <cfRule type="cellIs" dxfId="72" priority="12" stopIfTrue="1" operator="greaterThan">
      <formula>$D$28*0.1</formula>
    </cfRule>
  </conditionalFormatting>
  <conditionalFormatting sqref="D28">
    <cfRule type="cellIs" dxfId="71" priority="5" stopIfTrue="1" operator="greaterThan">
      <formula>$D$30</formula>
    </cfRule>
  </conditionalFormatting>
  <conditionalFormatting sqref="D29">
    <cfRule type="cellIs" dxfId="70" priority="1" stopIfTrue="1" operator="lessThan">
      <formula>0</formula>
    </cfRule>
  </conditionalFormatting>
  <conditionalFormatting sqref="D45">
    <cfRule type="cellIs" dxfId="69" priority="18" stopIfTrue="1" operator="greaterThan">
      <formula>$D$47*0.1</formula>
    </cfRule>
  </conditionalFormatting>
  <conditionalFormatting sqref="D58">
    <cfRule type="cellIs" dxfId="68" priority="15" stopIfTrue="1" operator="greaterThan">
      <formula>$D$60*0.1</formula>
    </cfRule>
  </conditionalFormatting>
  <conditionalFormatting sqref="D60">
    <cfRule type="cellIs" dxfId="67" priority="3" stopIfTrue="1" operator="greaterThan">
      <formula>$D$62</formula>
    </cfRule>
  </conditionalFormatting>
  <conditionalFormatting sqref="D61">
    <cfRule type="cellIs" dxfId="66" priority="2" stopIfTrue="1" operator="lessThan">
      <formula>0</formula>
    </cfRule>
  </conditionalFormatting>
  <conditionalFormatting sqref="E13">
    <cfRule type="cellIs" dxfId="65" priority="8" stopIfTrue="1" operator="greaterThan">
      <formula>$E$15*0.1</formula>
    </cfRule>
  </conditionalFormatting>
  <conditionalFormatting sqref="E26">
    <cfRule type="cellIs" dxfId="64" priority="11" stopIfTrue="1" operator="greaterThan">
      <formula>$E$28*0.1</formula>
    </cfRule>
  </conditionalFormatting>
  <conditionalFormatting sqref="E45">
    <cfRule type="cellIs" dxfId="63" priority="17" stopIfTrue="1" operator="greaterThan">
      <formula>$E$47*0.1</formula>
    </cfRule>
  </conditionalFormatting>
  <conditionalFormatting sqref="E58">
    <cfRule type="cellIs" dxfId="62" priority="14" stopIfTrue="1" operator="greaterThan">
      <formula>$E$60*0.1</formula>
    </cfRule>
  </conditionalFormatting>
  <pageMargins left="0.7" right="0.7" top="0.75" bottom="0.75" header="0.3" footer="0.3"/>
  <pageSetup scale="64"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B0F0"/>
    <pageSetUpPr fitToPage="1"/>
  </sheetPr>
  <dimension ref="B1:E68"/>
  <sheetViews>
    <sheetView workbookViewId="0">
      <selection activeCell="B14" sqref="B14"/>
    </sheetView>
  </sheetViews>
  <sheetFormatPr defaultColWidth="8.88671875" defaultRowHeight="15.75" x14ac:dyDescent="0.2"/>
  <cols>
    <col min="1" max="1" width="2.44140625" style="63" customWidth="1"/>
    <col min="2" max="2" width="31.109375" style="63" customWidth="1"/>
    <col min="3" max="5" width="15.77734375" style="63" customWidth="1"/>
    <col min="6" max="16384" width="8.88671875" style="63"/>
  </cols>
  <sheetData>
    <row r="1" spans="2:5" x14ac:dyDescent="0.2">
      <c r="B1" s="89">
        <f>(inputPrYr!D3)</f>
        <v>0</v>
      </c>
      <c r="C1" s="69"/>
      <c r="D1" s="69"/>
      <c r="E1" s="135">
        <f>inputPrYr!C10</f>
        <v>2025</v>
      </c>
    </row>
    <row r="2" spans="2:5" x14ac:dyDescent="0.2">
      <c r="B2" s="69"/>
      <c r="C2" s="69"/>
      <c r="D2" s="69"/>
      <c r="E2" s="161"/>
    </row>
    <row r="3" spans="2:5" x14ac:dyDescent="0.2">
      <c r="B3" s="239" t="s">
        <v>6</v>
      </c>
      <c r="C3" s="196"/>
      <c r="D3" s="196"/>
      <c r="E3" s="196"/>
    </row>
    <row r="4" spans="2:5" x14ac:dyDescent="0.2">
      <c r="B4" s="72" t="s">
        <v>162</v>
      </c>
      <c r="C4" s="392" t="s">
        <v>359</v>
      </c>
      <c r="D4" s="393" t="s">
        <v>360</v>
      </c>
      <c r="E4" s="142" t="s">
        <v>361</v>
      </c>
    </row>
    <row r="5" spans="2:5" x14ac:dyDescent="0.2">
      <c r="B5" s="377">
        <f>inputPrYr!B53</f>
        <v>0</v>
      </c>
      <c r="C5" s="318" t="str">
        <f>CONCATENATE("Actual for ",E1-2,"")</f>
        <v>Actual for 2023</v>
      </c>
      <c r="D5" s="318" t="str">
        <f>CONCATENATE("Estimate for ",E1-1,"")</f>
        <v>Estimate for 2024</v>
      </c>
      <c r="E5" s="176" t="str">
        <f>CONCATENATE("Year for ",E1,"")</f>
        <v>Year for 2025</v>
      </c>
    </row>
    <row r="6" spans="2:5" x14ac:dyDescent="0.2">
      <c r="B6" s="256" t="s">
        <v>18</v>
      </c>
      <c r="C6" s="83"/>
      <c r="D6" s="243">
        <f>C29</f>
        <v>0</v>
      </c>
      <c r="E6" s="243">
        <f>D29</f>
        <v>0</v>
      </c>
    </row>
    <row r="7" spans="2:5" s="65" customFormat="1" x14ac:dyDescent="0.2">
      <c r="B7" s="257" t="s">
        <v>20</v>
      </c>
      <c r="C7" s="95"/>
      <c r="D7" s="95"/>
      <c r="E7" s="95"/>
    </row>
    <row r="8" spans="2:5" x14ac:dyDescent="0.2">
      <c r="B8" s="245"/>
      <c r="C8" s="83"/>
      <c r="D8" s="83"/>
      <c r="E8" s="83"/>
    </row>
    <row r="9" spans="2:5" x14ac:dyDescent="0.2">
      <c r="B9" s="245"/>
      <c r="C9" s="83"/>
      <c r="D9" s="83"/>
      <c r="E9" s="83"/>
    </row>
    <row r="10" spans="2:5" x14ac:dyDescent="0.2">
      <c r="B10" s="245"/>
      <c r="C10" s="83"/>
      <c r="D10" s="83"/>
      <c r="E10" s="83"/>
    </row>
    <row r="11" spans="2:5" x14ac:dyDescent="0.2">
      <c r="B11" s="245"/>
      <c r="C11" s="83"/>
      <c r="D11" s="83"/>
      <c r="E11" s="83"/>
    </row>
    <row r="12" spans="2:5" x14ac:dyDescent="0.2">
      <c r="B12" s="258" t="s">
        <v>170</v>
      </c>
      <c r="C12" s="83"/>
      <c r="D12" s="83"/>
      <c r="E12" s="83"/>
    </row>
    <row r="13" spans="2:5" x14ac:dyDescent="0.2">
      <c r="B13" s="249" t="s">
        <v>118</v>
      </c>
      <c r="C13" s="83"/>
      <c r="D13" s="242"/>
      <c r="E13" s="242"/>
    </row>
    <row r="14" spans="2:5" x14ac:dyDescent="0.2">
      <c r="B14" s="249" t="s">
        <v>334</v>
      </c>
      <c r="C14" s="371" t="str">
        <f>IF(C15*0.1&lt;C13,"Exceed 10% Rule","")</f>
        <v/>
      </c>
      <c r="D14" s="250" t="str">
        <f>IF(D15*0.1&lt;D13,"Exceed 10% Rule","")</f>
        <v/>
      </c>
      <c r="E14" s="250" t="str">
        <f>IF(E15*0.1&lt;E13,"Exceed 10% Rule","")</f>
        <v/>
      </c>
    </row>
    <row r="15" spans="2:5" x14ac:dyDescent="0.2">
      <c r="B15" s="251" t="s">
        <v>171</v>
      </c>
      <c r="C15" s="253">
        <f>SUM(C8:C13)</f>
        <v>0</v>
      </c>
      <c r="D15" s="253">
        <f>SUM(D8:D13)</f>
        <v>0</v>
      </c>
      <c r="E15" s="253">
        <f>SUM(E8:E13)</f>
        <v>0</v>
      </c>
    </row>
    <row r="16" spans="2:5" x14ac:dyDescent="0.2">
      <c r="B16" s="251" t="s">
        <v>172</v>
      </c>
      <c r="C16" s="253">
        <f>C6+C15</f>
        <v>0</v>
      </c>
      <c r="D16" s="253">
        <f>D6+D15</f>
        <v>0</v>
      </c>
      <c r="E16" s="253">
        <f>E6+E15</f>
        <v>0</v>
      </c>
    </row>
    <row r="17" spans="2:5" x14ac:dyDescent="0.2">
      <c r="B17" s="118" t="s">
        <v>174</v>
      </c>
      <c r="C17" s="243"/>
      <c r="D17" s="243"/>
      <c r="E17" s="243"/>
    </row>
    <row r="18" spans="2:5" x14ac:dyDescent="0.2">
      <c r="B18" s="245"/>
      <c r="C18" s="83"/>
      <c r="D18" s="83"/>
      <c r="E18" s="83"/>
    </row>
    <row r="19" spans="2:5" x14ac:dyDescent="0.2">
      <c r="B19" s="245"/>
      <c r="C19" s="83"/>
      <c r="D19" s="83"/>
      <c r="E19" s="83"/>
    </row>
    <row r="20" spans="2:5" x14ac:dyDescent="0.2">
      <c r="B20" s="245"/>
      <c r="C20" s="83"/>
      <c r="D20" s="83"/>
      <c r="E20" s="83"/>
    </row>
    <row r="21" spans="2:5" x14ac:dyDescent="0.2">
      <c r="B21" s="245"/>
      <c r="C21" s="83"/>
      <c r="D21" s="83"/>
      <c r="E21" s="83"/>
    </row>
    <row r="22" spans="2:5" x14ac:dyDescent="0.2">
      <c r="B22" s="245"/>
      <c r="C22" s="83"/>
      <c r="D22" s="83"/>
      <c r="E22" s="83"/>
    </row>
    <row r="23" spans="2:5" x14ac:dyDescent="0.2">
      <c r="B23" s="245"/>
      <c r="C23" s="83"/>
      <c r="D23" s="83"/>
      <c r="E23" s="83"/>
    </row>
    <row r="24" spans="2:5" x14ac:dyDescent="0.2">
      <c r="B24" s="245"/>
      <c r="C24" s="83"/>
      <c r="D24" s="83"/>
      <c r="E24" s="83"/>
    </row>
    <row r="25" spans="2:5" x14ac:dyDescent="0.2">
      <c r="B25" s="249" t="str">
        <f>CONCATENATE("Cash Reserve (",E1," column)")</f>
        <v>Cash Reserve (2025 column)</v>
      </c>
      <c r="C25" s="83"/>
      <c r="D25" s="83"/>
      <c r="E25" s="83"/>
    </row>
    <row r="26" spans="2:5" x14ac:dyDescent="0.2">
      <c r="B26" s="249" t="s">
        <v>118</v>
      </c>
      <c r="C26" s="83"/>
      <c r="D26" s="242"/>
      <c r="E26" s="242"/>
    </row>
    <row r="27" spans="2:5" x14ac:dyDescent="0.2">
      <c r="B27" s="249" t="s">
        <v>333</v>
      </c>
      <c r="C27" s="371" t="str">
        <f>IF(C28*0.1&lt;C26,"Exceed 10% Rule","")</f>
        <v/>
      </c>
      <c r="D27" s="250" t="str">
        <f>IF(D28*0.1&lt;D26,"Exceed 10% Rule","")</f>
        <v/>
      </c>
      <c r="E27" s="250" t="str">
        <f>IF(E28*0.1&lt;E26,"Exceed 10% Rule","")</f>
        <v/>
      </c>
    </row>
    <row r="28" spans="2:5" x14ac:dyDescent="0.2">
      <c r="B28" s="251" t="s">
        <v>178</v>
      </c>
      <c r="C28" s="253">
        <f>SUM(C18:C26)</f>
        <v>0</v>
      </c>
      <c r="D28" s="253">
        <f>SUM(D18:D26)</f>
        <v>0</v>
      </c>
      <c r="E28" s="253">
        <f>SUM(E18:E26)</f>
        <v>0</v>
      </c>
    </row>
    <row r="29" spans="2:5" x14ac:dyDescent="0.2">
      <c r="B29" s="118" t="s">
        <v>19</v>
      </c>
      <c r="C29" s="92">
        <f>C16-C28</f>
        <v>0</v>
      </c>
      <c r="D29" s="92">
        <f>D16-D28</f>
        <v>0</v>
      </c>
      <c r="E29" s="92">
        <f>E16-E28</f>
        <v>0</v>
      </c>
    </row>
    <row r="30" spans="2:5" x14ac:dyDescent="0.2">
      <c r="B30" s="164" t="str">
        <f>CONCATENATE("",E1-2,"/",E1-1,"/",E1," Budget Authority Amount:")</f>
        <v>2023/2024/2025 Budget Authority Amount:</v>
      </c>
      <c r="C30" s="270">
        <f>inputOth!B109</f>
        <v>0</v>
      </c>
      <c r="D30" s="270">
        <f>inputPrYr!D53</f>
        <v>0</v>
      </c>
      <c r="E30" s="527">
        <f>E28</f>
        <v>0</v>
      </c>
    </row>
    <row r="31" spans="2:5" x14ac:dyDescent="0.2">
      <c r="B31" s="135"/>
      <c r="C31" s="255" t="str">
        <f>IF(C28&gt;C30,"See Tab A","")</f>
        <v/>
      </c>
      <c r="D31" s="255" t="str">
        <f>IF(D28&gt;D30,"See Tab C","")</f>
        <v/>
      </c>
      <c r="E31" s="528" t="str">
        <f>IF(E29&lt;0,"See Tab E","")</f>
        <v/>
      </c>
    </row>
    <row r="32" spans="2:5" x14ac:dyDescent="0.2">
      <c r="B32" s="135"/>
      <c r="C32" s="255" t="str">
        <f>IF(C29&lt;0,"See Tab B","")</f>
        <v/>
      </c>
      <c r="D32" s="255" t="str">
        <f>IF(D29&lt;0,"See Tab D","")</f>
        <v/>
      </c>
      <c r="E32" s="101"/>
    </row>
    <row r="33" spans="2:5" x14ac:dyDescent="0.2">
      <c r="B33" s="69"/>
      <c r="C33" s="101"/>
      <c r="D33" s="101"/>
      <c r="E33" s="101"/>
    </row>
    <row r="34" spans="2:5" x14ac:dyDescent="0.2">
      <c r="B34" s="72"/>
      <c r="C34" s="259"/>
      <c r="D34" s="259"/>
      <c r="E34" s="259"/>
    </row>
    <row r="35" spans="2:5" x14ac:dyDescent="0.2">
      <c r="B35" s="72" t="s">
        <v>162</v>
      </c>
      <c r="C35" s="198" t="s">
        <v>359</v>
      </c>
      <c r="D35" s="142" t="s">
        <v>362</v>
      </c>
      <c r="E35" s="142" t="s">
        <v>361</v>
      </c>
    </row>
    <row r="36" spans="2:5" x14ac:dyDescent="0.2">
      <c r="B36" s="377">
        <f>inputPrYr!B54</f>
        <v>0</v>
      </c>
      <c r="C36" s="147" t="str">
        <f>C5</f>
        <v>Actual for 2023</v>
      </c>
      <c r="D36" s="147" t="str">
        <f>D5</f>
        <v>Estimate for 2024</v>
      </c>
      <c r="E36" s="147" t="str">
        <f>E5</f>
        <v>Year for 2025</v>
      </c>
    </row>
    <row r="37" spans="2:5" x14ac:dyDescent="0.2">
      <c r="B37" s="256" t="s">
        <v>18</v>
      </c>
      <c r="C37" s="83"/>
      <c r="D37" s="243">
        <f>C61</f>
        <v>0</v>
      </c>
      <c r="E37" s="243">
        <f>D61</f>
        <v>0</v>
      </c>
    </row>
    <row r="38" spans="2:5" x14ac:dyDescent="0.2">
      <c r="B38" s="257" t="s">
        <v>20</v>
      </c>
      <c r="C38" s="95"/>
      <c r="D38" s="95"/>
      <c r="E38" s="95"/>
    </row>
    <row r="39" spans="2:5" x14ac:dyDescent="0.2">
      <c r="B39" s="245"/>
      <c r="C39" s="83"/>
      <c r="D39" s="83"/>
      <c r="E39" s="83"/>
    </row>
    <row r="40" spans="2:5" s="65" customFormat="1" x14ac:dyDescent="0.2">
      <c r="B40" s="245"/>
      <c r="C40" s="83"/>
      <c r="D40" s="83"/>
      <c r="E40" s="83"/>
    </row>
    <row r="41" spans="2:5" x14ac:dyDescent="0.2">
      <c r="B41" s="245"/>
      <c r="C41" s="83"/>
      <c r="D41" s="83"/>
      <c r="E41" s="83"/>
    </row>
    <row r="42" spans="2:5" x14ac:dyDescent="0.2">
      <c r="B42" s="245"/>
      <c r="C42" s="83"/>
      <c r="D42" s="83"/>
      <c r="E42" s="83"/>
    </row>
    <row r="43" spans="2:5" x14ac:dyDescent="0.2">
      <c r="B43" s="245"/>
      <c r="C43" s="83"/>
      <c r="D43" s="83"/>
      <c r="E43" s="83"/>
    </row>
    <row r="44" spans="2:5" x14ac:dyDescent="0.2">
      <c r="B44" s="258" t="s">
        <v>170</v>
      </c>
      <c r="C44" s="83"/>
      <c r="D44" s="83"/>
      <c r="E44" s="83"/>
    </row>
    <row r="45" spans="2:5" x14ac:dyDescent="0.2">
      <c r="B45" s="249" t="s">
        <v>118</v>
      </c>
      <c r="C45" s="83"/>
      <c r="D45" s="242"/>
      <c r="E45" s="242"/>
    </row>
    <row r="46" spans="2:5" x14ac:dyDescent="0.2">
      <c r="B46" s="249" t="s">
        <v>334</v>
      </c>
      <c r="C46" s="371" t="str">
        <f>IF(C47*0.1&lt;C45,"Exceed 10% Rule","")</f>
        <v/>
      </c>
      <c r="D46" s="250" t="str">
        <f>IF(D47*0.1&lt;D45,"Exceed 10% Rule","")</f>
        <v/>
      </c>
      <c r="E46" s="250" t="str">
        <f>IF(E47*0.1&lt;E45,"Exceed 10% Rule","")</f>
        <v/>
      </c>
    </row>
    <row r="47" spans="2:5" x14ac:dyDescent="0.2">
      <c r="B47" s="251" t="s">
        <v>171</v>
      </c>
      <c r="C47" s="253">
        <f>SUM(C39:C45)</f>
        <v>0</v>
      </c>
      <c r="D47" s="253">
        <f>SUM(D39:D45)</f>
        <v>0</v>
      </c>
      <c r="E47" s="253">
        <f>SUM(E39:E45)</f>
        <v>0</v>
      </c>
    </row>
    <row r="48" spans="2:5" x14ac:dyDescent="0.2">
      <c r="B48" s="251" t="s">
        <v>172</v>
      </c>
      <c r="C48" s="253">
        <f>C37+C47</f>
        <v>0</v>
      </c>
      <c r="D48" s="253">
        <f>D37+D47</f>
        <v>0</v>
      </c>
      <c r="E48" s="253">
        <f>E37+E47</f>
        <v>0</v>
      </c>
    </row>
    <row r="49" spans="2:5" x14ac:dyDescent="0.2">
      <c r="B49" s="118" t="s">
        <v>174</v>
      </c>
      <c r="C49" s="243"/>
      <c r="D49" s="243"/>
      <c r="E49" s="243"/>
    </row>
    <row r="50" spans="2:5" x14ac:dyDescent="0.2">
      <c r="B50" s="245"/>
      <c r="C50" s="83"/>
      <c r="D50" s="83"/>
      <c r="E50" s="83"/>
    </row>
    <row r="51" spans="2:5" x14ac:dyDescent="0.2">
      <c r="B51" s="245"/>
      <c r="C51" s="83"/>
      <c r="D51" s="83"/>
      <c r="E51" s="83"/>
    </row>
    <row r="52" spans="2:5" x14ac:dyDescent="0.2">
      <c r="B52" s="245"/>
      <c r="C52" s="83"/>
      <c r="D52" s="83"/>
      <c r="E52" s="83"/>
    </row>
    <row r="53" spans="2:5" x14ac:dyDescent="0.2">
      <c r="B53" s="245"/>
      <c r="C53" s="83"/>
      <c r="D53" s="83"/>
      <c r="E53" s="83"/>
    </row>
    <row r="54" spans="2:5" x14ac:dyDescent="0.2">
      <c r="B54" s="245"/>
      <c r="C54" s="83"/>
      <c r="D54" s="83"/>
      <c r="E54" s="83"/>
    </row>
    <row r="55" spans="2:5" x14ac:dyDescent="0.2">
      <c r="B55" s="245"/>
      <c r="C55" s="83"/>
      <c r="D55" s="83"/>
      <c r="E55" s="83"/>
    </row>
    <row r="56" spans="2:5" x14ac:dyDescent="0.2">
      <c r="B56" s="245"/>
      <c r="C56" s="83"/>
      <c r="D56" s="83"/>
      <c r="E56" s="83"/>
    </row>
    <row r="57" spans="2:5" x14ac:dyDescent="0.2">
      <c r="B57" s="249" t="str">
        <f>CONCATENATE("Cash Reserve (",E1," column)")</f>
        <v>Cash Reserve (2025 column)</v>
      </c>
      <c r="C57" s="83"/>
      <c r="D57" s="83"/>
      <c r="E57" s="83"/>
    </row>
    <row r="58" spans="2:5" x14ac:dyDescent="0.2">
      <c r="B58" s="249" t="s">
        <v>118</v>
      </c>
      <c r="C58" s="83"/>
      <c r="D58" s="242"/>
      <c r="E58" s="242"/>
    </row>
    <row r="59" spans="2:5" x14ac:dyDescent="0.2">
      <c r="B59" s="249" t="s">
        <v>333</v>
      </c>
      <c r="C59" s="371" t="str">
        <f>IF(C60*0.1&lt;C58,"Exceed 10% Rule","")</f>
        <v/>
      </c>
      <c r="D59" s="250" t="str">
        <f>IF(D60*0.1&lt;D58,"Exceed 10% Rule","")</f>
        <v/>
      </c>
      <c r="E59" s="250" t="str">
        <f>IF(E60*0.1&lt;E58,"Exceed 10% Rule","")</f>
        <v/>
      </c>
    </row>
    <row r="60" spans="2:5" x14ac:dyDescent="0.2">
      <c r="B60" s="251" t="s">
        <v>178</v>
      </c>
      <c r="C60" s="253">
        <f>SUM(C50:C58)</f>
        <v>0</v>
      </c>
      <c r="D60" s="253">
        <f>SUM(D50:D58)</f>
        <v>0</v>
      </c>
      <c r="E60" s="253">
        <f>SUM(E50:E58)</f>
        <v>0</v>
      </c>
    </row>
    <row r="61" spans="2:5" x14ac:dyDescent="0.2">
      <c r="B61" s="118" t="s">
        <v>19</v>
      </c>
      <c r="C61" s="92">
        <f>C48-C60</f>
        <v>0</v>
      </c>
      <c r="D61" s="92">
        <f>D48-D60</f>
        <v>0</v>
      </c>
      <c r="E61" s="92">
        <f>E48-E60</f>
        <v>0</v>
      </c>
    </row>
    <row r="62" spans="2:5" x14ac:dyDescent="0.2">
      <c r="B62" s="164" t="str">
        <f>CONCATENATE("",E1-2,"/",E1-1,"/",E1," Budget Authority Amount:")</f>
        <v>2023/2024/2025 Budget Authority Amount:</v>
      </c>
      <c r="C62" s="270">
        <f>inputOth!B110</f>
        <v>0</v>
      </c>
      <c r="D62" s="270">
        <f>inputPrYr!D54</f>
        <v>0</v>
      </c>
      <c r="E62" s="527">
        <f>E60</f>
        <v>0</v>
      </c>
    </row>
    <row r="63" spans="2:5" x14ac:dyDescent="0.2">
      <c r="B63" s="135"/>
      <c r="C63" s="255" t="str">
        <f>IF(C60&gt;C62,"See Tab A","")</f>
        <v/>
      </c>
      <c r="D63" s="255" t="str">
        <f>IF(D60&gt;D62,"See Tab C","")</f>
        <v/>
      </c>
      <c r="E63" s="528" t="str">
        <f>IF(E61&lt;0,"See Tab E","")</f>
        <v/>
      </c>
    </row>
    <row r="64" spans="2:5" x14ac:dyDescent="0.2">
      <c r="B64" s="603" t="s">
        <v>513</v>
      </c>
      <c r="C64" s="528"/>
      <c r="D64" s="528"/>
      <c r="E64" s="593"/>
    </row>
    <row r="65" spans="2:5" x14ac:dyDescent="0.2">
      <c r="B65" s="594"/>
      <c r="C65" s="255"/>
      <c r="D65" s="255"/>
      <c r="E65" s="595"/>
    </row>
    <row r="66" spans="2:5" x14ac:dyDescent="0.2">
      <c r="B66" s="596"/>
      <c r="C66" s="597" t="str">
        <f>IF(C61&lt;0,"See Tab B","")</f>
        <v/>
      </c>
      <c r="D66" s="597" t="str">
        <f>IF(D61&lt;0,"See Tab D","")</f>
        <v/>
      </c>
      <c r="E66" s="96"/>
    </row>
    <row r="67" spans="2:5" x14ac:dyDescent="0.2">
      <c r="B67" s="69"/>
      <c r="C67" s="69"/>
      <c r="D67" s="69"/>
      <c r="E67" s="69"/>
    </row>
    <row r="68" spans="2:5" x14ac:dyDescent="0.2">
      <c r="B68" s="135" t="s">
        <v>181</v>
      </c>
      <c r="C68" s="564"/>
      <c r="D68" s="69"/>
      <c r="E68" s="69"/>
    </row>
  </sheetData>
  <sheetProtection sheet="1"/>
  <conditionalFormatting sqref="C13">
    <cfRule type="cellIs" dxfId="61" priority="10" stopIfTrue="1" operator="greaterThan">
      <formula>$C$15*0.1</formula>
    </cfRule>
  </conditionalFormatting>
  <conditionalFormatting sqref="C26">
    <cfRule type="cellIs" dxfId="60" priority="13" stopIfTrue="1" operator="greaterThan">
      <formula>$C$28*0.1</formula>
    </cfRule>
  </conditionalFormatting>
  <conditionalFormatting sqref="C28">
    <cfRule type="cellIs" dxfId="59" priority="6" stopIfTrue="1" operator="greaterThan">
      <formula>$C$30</formula>
    </cfRule>
  </conditionalFormatting>
  <conditionalFormatting sqref="C29 E29 C61 E61">
    <cfRule type="cellIs" dxfId="58" priority="7" stopIfTrue="1" operator="lessThan">
      <formula>0</formula>
    </cfRule>
  </conditionalFormatting>
  <conditionalFormatting sqref="C45">
    <cfRule type="cellIs" dxfId="57" priority="19" stopIfTrue="1" operator="greaterThan">
      <formula>$C$47*0.1</formula>
    </cfRule>
  </conditionalFormatting>
  <conditionalFormatting sqref="C58">
    <cfRule type="cellIs" dxfId="56" priority="16" stopIfTrue="1" operator="greaterThan">
      <formula>$C$60*0.1</formula>
    </cfRule>
  </conditionalFormatting>
  <conditionalFormatting sqref="C60">
    <cfRule type="cellIs" dxfId="55" priority="4" stopIfTrue="1" operator="greaterThan">
      <formula>$C$62</formula>
    </cfRule>
  </conditionalFormatting>
  <conditionalFormatting sqref="D13">
    <cfRule type="cellIs" dxfId="54" priority="9" stopIfTrue="1" operator="greaterThan">
      <formula>$D$15*0.1</formula>
    </cfRule>
  </conditionalFormatting>
  <conditionalFormatting sqref="D26">
    <cfRule type="cellIs" dxfId="53" priority="12" stopIfTrue="1" operator="greaterThan">
      <formula>$D$28*0.1</formula>
    </cfRule>
  </conditionalFormatting>
  <conditionalFormatting sqref="D28">
    <cfRule type="cellIs" dxfId="52" priority="5" stopIfTrue="1" operator="greaterThan">
      <formula>$D$30</formula>
    </cfRule>
  </conditionalFormatting>
  <conditionalFormatting sqref="D29">
    <cfRule type="cellIs" dxfId="51" priority="1" stopIfTrue="1" operator="lessThan">
      <formula>0</formula>
    </cfRule>
  </conditionalFormatting>
  <conditionalFormatting sqref="D45">
    <cfRule type="cellIs" dxfId="50" priority="18" stopIfTrue="1" operator="greaterThan">
      <formula>$D$47*0.1</formula>
    </cfRule>
  </conditionalFormatting>
  <conditionalFormatting sqref="D58">
    <cfRule type="cellIs" dxfId="49" priority="15" stopIfTrue="1" operator="greaterThan">
      <formula>$D$60*0.1</formula>
    </cfRule>
  </conditionalFormatting>
  <conditionalFormatting sqref="D60">
    <cfRule type="cellIs" dxfId="48" priority="3" stopIfTrue="1" operator="greaterThan">
      <formula>$D$62</formula>
    </cfRule>
  </conditionalFormatting>
  <conditionalFormatting sqref="D61">
    <cfRule type="cellIs" dxfId="47" priority="2" stopIfTrue="1" operator="lessThan">
      <formula>0</formula>
    </cfRule>
  </conditionalFormatting>
  <conditionalFormatting sqref="E13">
    <cfRule type="cellIs" dxfId="46" priority="8" stopIfTrue="1" operator="greaterThan">
      <formula>$E$15*0.1</formula>
    </cfRule>
  </conditionalFormatting>
  <conditionalFormatting sqref="E26">
    <cfRule type="cellIs" dxfId="45" priority="11" stopIfTrue="1" operator="greaterThan">
      <formula>$E$28*0.1</formula>
    </cfRule>
  </conditionalFormatting>
  <conditionalFormatting sqref="E45">
    <cfRule type="cellIs" dxfId="44" priority="17" stopIfTrue="1" operator="greaterThan">
      <formula>$E$47*0.1</formula>
    </cfRule>
  </conditionalFormatting>
  <conditionalFormatting sqref="E58">
    <cfRule type="cellIs" dxfId="43" priority="14" stopIfTrue="1" operator="greaterThan">
      <formula>$E$60*0.1</formula>
    </cfRule>
  </conditionalFormatting>
  <pageMargins left="0.7" right="0.7" top="0.75" bottom="0.75" header="0.3" footer="0.3"/>
  <pageSetup scale="64"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B0F0"/>
    <pageSetUpPr fitToPage="1"/>
  </sheetPr>
  <dimension ref="B1:E52"/>
  <sheetViews>
    <sheetView workbookViewId="0">
      <selection activeCell="B42" sqref="B42"/>
    </sheetView>
  </sheetViews>
  <sheetFormatPr defaultColWidth="8.88671875" defaultRowHeight="15" x14ac:dyDescent="0.2"/>
  <cols>
    <col min="1" max="1" width="2.44140625" style="107" customWidth="1"/>
    <col min="2" max="2" width="31.109375" style="107" customWidth="1"/>
    <col min="3" max="4" width="15.77734375" style="107" customWidth="1"/>
    <col min="5" max="5" width="16.21875" style="107" customWidth="1"/>
    <col min="6" max="16384" width="8.88671875" style="107"/>
  </cols>
  <sheetData>
    <row r="1" spans="2:5" ht="15.75" x14ac:dyDescent="0.2">
      <c r="B1" s="89">
        <f>(inputPrYr!D3)</f>
        <v>0</v>
      </c>
      <c r="C1" s="69"/>
      <c r="D1" s="69"/>
      <c r="E1" s="238">
        <f>inputPrYr!$C$10</f>
        <v>2025</v>
      </c>
    </row>
    <row r="2" spans="2:5" ht="15.75" x14ac:dyDescent="0.2">
      <c r="B2" s="69"/>
      <c r="C2" s="69"/>
      <c r="D2" s="69"/>
      <c r="E2" s="161"/>
    </row>
    <row r="3" spans="2:5" ht="15.75" x14ac:dyDescent="0.2">
      <c r="B3" s="239" t="s">
        <v>6</v>
      </c>
      <c r="C3" s="240"/>
      <c r="D3" s="240"/>
      <c r="E3" s="241"/>
    </row>
    <row r="4" spans="2:5" ht="15.75" x14ac:dyDescent="0.2">
      <c r="B4" s="72" t="s">
        <v>162</v>
      </c>
      <c r="C4" s="392" t="s">
        <v>359</v>
      </c>
      <c r="D4" s="393" t="s">
        <v>360</v>
      </c>
      <c r="E4" s="142" t="s">
        <v>361</v>
      </c>
    </row>
    <row r="5" spans="2:5" ht="15.75" x14ac:dyDescent="0.2">
      <c r="B5" s="377">
        <f>(inputPrYr!B56)</f>
        <v>0</v>
      </c>
      <c r="C5" s="318" t="str">
        <f>CONCATENATE("Actual for ",E1-2,"")</f>
        <v>Actual for 2023</v>
      </c>
      <c r="D5" s="318" t="str">
        <f>CONCATENATE("Estimate for ",E1-1,"")</f>
        <v>Estimate for 2024</v>
      </c>
      <c r="E5" s="176" t="str">
        <f>CONCATENATE("Year for ",E1,"")</f>
        <v>Year for 2025</v>
      </c>
    </row>
    <row r="6" spans="2:5" ht="15.75" x14ac:dyDescent="0.2">
      <c r="B6" s="118" t="s">
        <v>18</v>
      </c>
      <c r="C6" s="83"/>
      <c r="D6" s="243">
        <f>C45</f>
        <v>0</v>
      </c>
      <c r="E6" s="243">
        <f>D45</f>
        <v>0</v>
      </c>
    </row>
    <row r="7" spans="2:5" ht="15.75" x14ac:dyDescent="0.2">
      <c r="B7" s="244" t="s">
        <v>20</v>
      </c>
      <c r="C7" s="95"/>
      <c r="D7" s="95"/>
      <c r="E7" s="95"/>
    </row>
    <row r="8" spans="2:5" ht="15.75" x14ac:dyDescent="0.2">
      <c r="B8" s="245"/>
      <c r="C8" s="83"/>
      <c r="D8" s="83"/>
      <c r="E8" s="83"/>
    </row>
    <row r="9" spans="2:5" ht="15.75" x14ac:dyDescent="0.2">
      <c r="B9" s="245"/>
      <c r="C9" s="83"/>
      <c r="D9" s="83"/>
      <c r="E9" s="83"/>
    </row>
    <row r="10" spans="2:5" ht="15.75" x14ac:dyDescent="0.2">
      <c r="B10" s="245"/>
      <c r="C10" s="83"/>
      <c r="D10" s="83"/>
      <c r="E10" s="83"/>
    </row>
    <row r="11" spans="2:5" ht="15.75" x14ac:dyDescent="0.2">
      <c r="B11" s="245"/>
      <c r="C11" s="83"/>
      <c r="D11" s="83"/>
      <c r="E11" s="83"/>
    </row>
    <row r="12" spans="2:5" ht="15.75" x14ac:dyDescent="0.2">
      <c r="B12" s="245"/>
      <c r="C12" s="83"/>
      <c r="D12" s="83"/>
      <c r="E12" s="83"/>
    </row>
    <row r="13" spans="2:5" ht="15.75" x14ac:dyDescent="0.2">
      <c r="B13" s="247"/>
      <c r="C13" s="90"/>
      <c r="D13" s="90"/>
      <c r="E13" s="90"/>
    </row>
    <row r="14" spans="2:5" ht="15.75" x14ac:dyDescent="0.2">
      <c r="B14" s="245"/>
      <c r="C14" s="83"/>
      <c r="D14" s="83"/>
      <c r="E14" s="83"/>
    </row>
    <row r="15" spans="2:5" ht="15.75" x14ac:dyDescent="0.2">
      <c r="B15" s="248" t="s">
        <v>170</v>
      </c>
      <c r="C15" s="83"/>
      <c r="D15" s="83"/>
      <c r="E15" s="83"/>
    </row>
    <row r="16" spans="2:5" ht="15.75" x14ac:dyDescent="0.2">
      <c r="B16" s="249" t="s">
        <v>118</v>
      </c>
      <c r="C16" s="83"/>
      <c r="D16" s="242"/>
      <c r="E16" s="242"/>
    </row>
    <row r="17" spans="2:5" ht="15.75" x14ac:dyDescent="0.2">
      <c r="B17" s="249" t="s">
        <v>334</v>
      </c>
      <c r="C17" s="371" t="str">
        <f>IF(C18*0.1&lt;C16,"Exceed 10% Rule","")</f>
        <v/>
      </c>
      <c r="D17" s="250" t="str">
        <f>IF(D18*0.1&lt;D16,"Exceed 10% Rule","")</f>
        <v/>
      </c>
      <c r="E17" s="250" t="str">
        <f>IF(E18*0.1&lt;E16,"Exceed 10% Rule","")</f>
        <v/>
      </c>
    </row>
    <row r="18" spans="2:5" ht="15.75" x14ac:dyDescent="0.2">
      <c r="B18" s="251" t="s">
        <v>171</v>
      </c>
      <c r="C18" s="253">
        <f>SUM(C8:C16)</f>
        <v>0</v>
      </c>
      <c r="D18" s="253">
        <f>SUM(D8:D16)</f>
        <v>0</v>
      </c>
      <c r="E18" s="253">
        <f>SUM(E8:E16)</f>
        <v>0</v>
      </c>
    </row>
    <row r="19" spans="2:5" ht="15.75" x14ac:dyDescent="0.2">
      <c r="B19" s="251" t="s">
        <v>172</v>
      </c>
      <c r="C19" s="253">
        <f>C6+C18</f>
        <v>0</v>
      </c>
      <c r="D19" s="253">
        <f>D6+D18</f>
        <v>0</v>
      </c>
      <c r="E19" s="253">
        <f>E6+E18</f>
        <v>0</v>
      </c>
    </row>
    <row r="20" spans="2:5" ht="15.75" x14ac:dyDescent="0.2">
      <c r="B20" s="118" t="s">
        <v>174</v>
      </c>
      <c r="C20" s="95"/>
      <c r="D20" s="95"/>
      <c r="E20" s="95"/>
    </row>
    <row r="21" spans="2:5" ht="15.75" x14ac:dyDescent="0.2">
      <c r="B21" s="245" t="s">
        <v>49</v>
      </c>
      <c r="C21" s="83"/>
      <c r="D21" s="83"/>
      <c r="E21" s="83"/>
    </row>
    <row r="22" spans="2:5" ht="15.75" x14ac:dyDescent="0.2">
      <c r="B22" s="245" t="s">
        <v>122</v>
      </c>
      <c r="C22" s="83"/>
      <c r="D22" s="83"/>
      <c r="E22" s="83"/>
    </row>
    <row r="23" spans="2:5" ht="15.75" x14ac:dyDescent="0.2">
      <c r="B23" s="245"/>
      <c r="C23" s="90"/>
      <c r="D23" s="90"/>
      <c r="E23" s="90"/>
    </row>
    <row r="24" spans="2:5" ht="15.75" x14ac:dyDescent="0.2">
      <c r="B24" s="245"/>
      <c r="C24" s="90"/>
      <c r="D24" s="90"/>
      <c r="E24" s="90"/>
    </row>
    <row r="25" spans="2:5" ht="15.75" x14ac:dyDescent="0.2">
      <c r="B25" s="245"/>
      <c r="C25" s="90"/>
      <c r="D25" s="90"/>
      <c r="E25" s="90"/>
    </row>
    <row r="26" spans="2:5" ht="15.75" x14ac:dyDescent="0.2">
      <c r="B26" s="245"/>
      <c r="C26" s="90"/>
      <c r="D26" s="90"/>
      <c r="E26" s="90"/>
    </row>
    <row r="27" spans="2:5" ht="15.75" x14ac:dyDescent="0.2">
      <c r="B27" s="245"/>
      <c r="C27" s="90"/>
      <c r="D27" s="90"/>
      <c r="E27" s="90"/>
    </row>
    <row r="28" spans="2:5" ht="15.75" x14ac:dyDescent="0.2">
      <c r="B28" s="245"/>
      <c r="C28" s="90"/>
      <c r="D28" s="90"/>
      <c r="E28" s="90"/>
    </row>
    <row r="29" spans="2:5" ht="15.75" x14ac:dyDescent="0.2">
      <c r="B29" s="245"/>
      <c r="C29" s="90"/>
      <c r="D29" s="90"/>
      <c r="E29" s="90"/>
    </row>
    <row r="30" spans="2:5" ht="15.75" x14ac:dyDescent="0.2">
      <c r="B30" s="245"/>
      <c r="C30" s="90"/>
      <c r="D30" s="90"/>
      <c r="E30" s="90"/>
    </row>
    <row r="31" spans="2:5" ht="15.75" x14ac:dyDescent="0.2">
      <c r="B31" s="245"/>
      <c r="C31" s="90"/>
      <c r="D31" s="90"/>
      <c r="E31" s="90"/>
    </row>
    <row r="32" spans="2:5" ht="15.75" x14ac:dyDescent="0.2">
      <c r="B32" s="245"/>
      <c r="C32" s="83"/>
      <c r="D32" s="83"/>
      <c r="E32" s="83"/>
    </row>
    <row r="33" spans="2:5" ht="15.75" x14ac:dyDescent="0.2">
      <c r="B33" s="245"/>
      <c r="C33" s="83"/>
      <c r="D33" s="83"/>
      <c r="E33" s="83"/>
    </row>
    <row r="34" spans="2:5" ht="15.75" x14ac:dyDescent="0.2">
      <c r="B34" s="245"/>
      <c r="C34" s="83"/>
      <c r="D34" s="83"/>
      <c r="E34" s="83"/>
    </row>
    <row r="35" spans="2:5" ht="15.75" x14ac:dyDescent="0.2">
      <c r="B35" s="245"/>
      <c r="C35" s="83"/>
      <c r="D35" s="83"/>
      <c r="E35" s="83"/>
    </row>
    <row r="36" spans="2:5" ht="15.75" x14ac:dyDescent="0.2">
      <c r="B36" s="245"/>
      <c r="C36" s="83"/>
      <c r="D36" s="83"/>
      <c r="E36" s="83"/>
    </row>
    <row r="37" spans="2:5" ht="15.75" x14ac:dyDescent="0.2">
      <c r="B37" s="245"/>
      <c r="C37" s="83"/>
      <c r="D37" s="83"/>
      <c r="E37" s="83"/>
    </row>
    <row r="38" spans="2:5" ht="15.75" x14ac:dyDescent="0.2">
      <c r="B38" s="245"/>
      <c r="C38" s="83"/>
      <c r="D38" s="83"/>
      <c r="E38" s="83"/>
    </row>
    <row r="39" spans="2:5" ht="15.75" x14ac:dyDescent="0.2">
      <c r="B39" s="245"/>
      <c r="C39" s="83"/>
      <c r="D39" s="83"/>
      <c r="E39" s="83"/>
    </row>
    <row r="40" spans="2:5" ht="15.75" x14ac:dyDescent="0.2">
      <c r="B40" s="245"/>
      <c r="C40" s="83"/>
      <c r="D40" s="83"/>
      <c r="E40" s="83"/>
    </row>
    <row r="41" spans="2:5" ht="15.75" x14ac:dyDescent="0.2">
      <c r="B41" s="249" t="str">
        <f>CONCATENATE("Cash Reserve (",E1," column)")</f>
        <v>Cash Reserve (2025 column)</v>
      </c>
      <c r="C41" s="83"/>
      <c r="D41" s="83"/>
      <c r="E41" s="83"/>
    </row>
    <row r="42" spans="2:5" ht="15.75" x14ac:dyDescent="0.2">
      <c r="B42" s="249" t="s">
        <v>118</v>
      </c>
      <c r="C42" s="83"/>
      <c r="D42" s="242"/>
      <c r="E42" s="242"/>
    </row>
    <row r="43" spans="2:5" ht="15.75" x14ac:dyDescent="0.2">
      <c r="B43" s="249" t="s">
        <v>333</v>
      </c>
      <c r="C43" s="371" t="str">
        <f>IF(C44*0.1&lt;C42,"Exceed 10% Rule","")</f>
        <v/>
      </c>
      <c r="D43" s="250" t="str">
        <f>IF(D44*0.1&lt;D42,"Exceed 10% Rule","")</f>
        <v/>
      </c>
      <c r="E43" s="250" t="str">
        <f>IF(E44*0.1&lt;E42,"Exceed 10% Rule","")</f>
        <v/>
      </c>
    </row>
    <row r="44" spans="2:5" ht="15.75" x14ac:dyDescent="0.2">
      <c r="B44" s="251" t="s">
        <v>178</v>
      </c>
      <c r="C44" s="253">
        <f>SUM(C21:C42)</f>
        <v>0</v>
      </c>
      <c r="D44" s="253">
        <f>SUM(D21:D42)</f>
        <v>0</v>
      </c>
      <c r="E44" s="253">
        <f>SUM(E21:E42)</f>
        <v>0</v>
      </c>
    </row>
    <row r="45" spans="2:5" ht="15.75" x14ac:dyDescent="0.2">
      <c r="B45" s="118" t="s">
        <v>19</v>
      </c>
      <c r="C45" s="92">
        <f>C19-C44</f>
        <v>0</v>
      </c>
      <c r="D45" s="92">
        <f>D19-D44</f>
        <v>0</v>
      </c>
      <c r="E45" s="92">
        <f>E19-E44</f>
        <v>0</v>
      </c>
    </row>
    <row r="46" spans="2:5" ht="15.75" x14ac:dyDescent="0.2">
      <c r="B46" s="164" t="str">
        <f>CONCATENATE("",E1-2,"/",E1-1,"/",E1," Budget Authority Amount:")</f>
        <v>2023/2024/2025 Budget Authority Amount:</v>
      </c>
      <c r="C46" s="270">
        <f>inputOth!B111</f>
        <v>0</v>
      </c>
      <c r="D46" s="270">
        <f>inputPrYr!D56</f>
        <v>0</v>
      </c>
      <c r="E46" s="527">
        <f>E44</f>
        <v>0</v>
      </c>
    </row>
    <row r="47" spans="2:5" ht="15.75" x14ac:dyDescent="0.2">
      <c r="B47" s="135"/>
      <c r="C47" s="255" t="str">
        <f>IF(C44&gt;C46,"See Tab A","")</f>
        <v/>
      </c>
      <c r="D47" s="255" t="str">
        <f>IF(D44&gt;D46,"See Tab C","")</f>
        <v/>
      </c>
      <c r="E47" s="528" t="str">
        <f>IF(E45&lt;0,"See Tab E","")</f>
        <v/>
      </c>
    </row>
    <row r="48" spans="2:5" ht="15.75" x14ac:dyDescent="0.2">
      <c r="B48" s="603" t="s">
        <v>513</v>
      </c>
      <c r="C48" s="528"/>
      <c r="D48" s="528"/>
      <c r="E48" s="593"/>
    </row>
    <row r="49" spans="2:5" ht="15.75" x14ac:dyDescent="0.2">
      <c r="B49" s="594"/>
      <c r="C49" s="255"/>
      <c r="D49" s="255"/>
      <c r="E49" s="595"/>
    </row>
    <row r="50" spans="2:5" ht="15.75" x14ac:dyDescent="0.2">
      <c r="B50" s="596"/>
      <c r="C50" s="597" t="str">
        <f>IF(C45&lt;0,"See Tab B","")</f>
        <v/>
      </c>
      <c r="D50" s="597" t="str">
        <f>IF(D45&lt;0,"See Tab D","")</f>
        <v/>
      </c>
      <c r="E50" s="126"/>
    </row>
    <row r="51" spans="2:5" x14ac:dyDescent="0.2">
      <c r="B51" s="84"/>
      <c r="C51" s="84"/>
      <c r="D51" s="84"/>
      <c r="E51" s="84"/>
    </row>
    <row r="52" spans="2:5" ht="15.75" x14ac:dyDescent="0.2">
      <c r="B52" s="135" t="s">
        <v>181</v>
      </c>
      <c r="C52" s="564"/>
      <c r="D52" s="84"/>
      <c r="E52" s="84"/>
    </row>
  </sheetData>
  <sheetProtection sheet="1"/>
  <phoneticPr fontId="8" type="noConversion"/>
  <conditionalFormatting sqref="C16">
    <cfRule type="cellIs" dxfId="42" priority="3" stopIfTrue="1" operator="greaterThan">
      <formula>$C$18*0.1</formula>
    </cfRule>
  </conditionalFormatting>
  <conditionalFormatting sqref="C42">
    <cfRule type="cellIs" dxfId="41" priority="6" stopIfTrue="1" operator="greaterThan">
      <formula>$C$44*0.1</formula>
    </cfRule>
  </conditionalFormatting>
  <conditionalFormatting sqref="C44">
    <cfRule type="cellIs" dxfId="40" priority="10" stopIfTrue="1" operator="greaterThan">
      <formula>$C$46</formula>
    </cfRule>
  </conditionalFormatting>
  <conditionalFormatting sqref="C45 E45">
    <cfRule type="cellIs" dxfId="39" priority="9" stopIfTrue="1" operator="lessThan">
      <formula>0</formula>
    </cfRule>
  </conditionalFormatting>
  <conditionalFormatting sqref="D16">
    <cfRule type="cellIs" dxfId="38" priority="4" stopIfTrue="1" operator="greaterThan">
      <formula>$D$18*0.1</formula>
    </cfRule>
  </conditionalFormatting>
  <conditionalFormatting sqref="D42">
    <cfRule type="cellIs" dxfId="37" priority="7" stopIfTrue="1" operator="greaterThan">
      <formula>$D$44*0.1</formula>
    </cfRule>
  </conditionalFormatting>
  <conditionalFormatting sqref="D44">
    <cfRule type="cellIs" dxfId="36" priority="11" stopIfTrue="1" operator="greaterThan">
      <formula>$D$46</formula>
    </cfRule>
  </conditionalFormatting>
  <conditionalFormatting sqref="D45">
    <cfRule type="cellIs" dxfId="35" priority="1" stopIfTrue="1" operator="lessThan">
      <formula>0</formula>
    </cfRule>
  </conditionalFormatting>
  <conditionalFormatting sqref="E16">
    <cfRule type="cellIs" dxfId="34" priority="5" stopIfTrue="1" operator="greaterThan">
      <formula>$E$18*0.1</formula>
    </cfRule>
  </conditionalFormatting>
  <conditionalFormatting sqref="E42">
    <cfRule type="cellIs" dxfId="33" priority="8" stopIfTrue="1" operator="greaterThan">
      <formula>$E$44*0.1</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114"/>
  <sheetViews>
    <sheetView workbookViewId="0">
      <selection activeCell="A64" sqref="A64:H65"/>
    </sheetView>
  </sheetViews>
  <sheetFormatPr defaultColWidth="8.88671875" defaultRowHeight="15" x14ac:dyDescent="0.2"/>
  <cols>
    <col min="1" max="1" width="22.109375" style="107" customWidth="1"/>
    <col min="2" max="2" width="12.5546875" style="107" customWidth="1"/>
    <col min="3" max="3" width="14.44140625" style="107" customWidth="1"/>
    <col min="4" max="5" width="11.33203125" style="107" customWidth="1"/>
    <col min="6" max="6" width="10.77734375" style="107" customWidth="1"/>
    <col min="7" max="16384" width="8.88671875" style="107"/>
  </cols>
  <sheetData>
    <row r="1" spans="1:8" ht="15.75" x14ac:dyDescent="0.2">
      <c r="A1" s="89">
        <f>inputPrYr!$D$3</f>
        <v>0</v>
      </c>
      <c r="B1" s="84"/>
      <c r="C1" s="84"/>
      <c r="D1" s="84"/>
      <c r="E1" s="69">
        <f>inputPrYr!C10</f>
        <v>2025</v>
      </c>
      <c r="F1" s="84"/>
      <c r="G1" s="84"/>
      <c r="H1" s="84"/>
    </row>
    <row r="2" spans="1:8" x14ac:dyDescent="0.2">
      <c r="A2" s="84"/>
      <c r="B2" s="84"/>
      <c r="C2" s="84"/>
      <c r="D2" s="84"/>
      <c r="E2" s="84"/>
      <c r="F2" s="84"/>
      <c r="G2" s="84"/>
      <c r="H2" s="84"/>
    </row>
    <row r="3" spans="1:8" ht="15.75" x14ac:dyDescent="0.2">
      <c r="A3" s="695" t="s">
        <v>488</v>
      </c>
      <c r="B3" s="696"/>
      <c r="C3" s="696"/>
      <c r="D3" s="696"/>
      <c r="E3" s="696"/>
      <c r="F3" s="84"/>
      <c r="G3" s="84"/>
      <c r="H3" s="84"/>
    </row>
    <row r="4" spans="1:8" ht="15.75" x14ac:dyDescent="0.2">
      <c r="A4" s="310"/>
      <c r="B4" s="84"/>
      <c r="C4" s="84"/>
      <c r="D4" s="84"/>
      <c r="E4" s="84"/>
      <c r="F4" s="84"/>
      <c r="G4" s="84"/>
      <c r="H4" s="84"/>
    </row>
    <row r="5" spans="1:8" x14ac:dyDescent="0.2">
      <c r="A5" s="84"/>
      <c r="B5" s="84"/>
      <c r="C5" s="84"/>
      <c r="D5" s="84"/>
      <c r="E5" s="84"/>
      <c r="F5" s="84"/>
      <c r="G5" s="84"/>
      <c r="H5" s="84"/>
    </row>
    <row r="6" spans="1:8" ht="15.75" x14ac:dyDescent="0.2">
      <c r="A6" s="720" t="str">
        <f>CONCATENATE("From the County Clerk's ",E1," Budget Information:")</f>
        <v>From the County Clerk's 2025 Budget Information:</v>
      </c>
      <c r="B6" s="721"/>
      <c r="C6" s="721"/>
      <c r="D6" s="721"/>
      <c r="E6" s="721"/>
      <c r="F6" s="722"/>
      <c r="G6" s="708" t="s">
        <v>617</v>
      </c>
      <c r="H6" s="709"/>
    </row>
    <row r="7" spans="1:8" ht="15.75" customHeight="1" x14ac:dyDescent="0.2">
      <c r="A7" s="72"/>
      <c r="B7" s="713" t="str">
        <f>CONCATENATE("Assessed Valuation for ",E1-1,"          (Required)")</f>
        <v>Assessed Valuation for 2024          (Required)</v>
      </c>
      <c r="C7" s="714" t="str">
        <f>CONCATENATE("New Improvements, Remodeling and Renovations for ",E1-1,"         (Optional)")</f>
        <v>New Improvements, Remodeling and Renovations for 2024         (Optional)</v>
      </c>
      <c r="D7" s="714" t="str">
        <f>CONCATENATE("Personal Property     ",E1-1,"     (Optional)")</f>
        <v>Personal Property     2024     (Optional)</v>
      </c>
      <c r="E7" s="716" t="str">
        <f>CONCATENATE("Property that has changed in use for ",E1-1," (Optional)")</f>
        <v>Property that has changed in use for 2024 (Optional)</v>
      </c>
      <c r="F7" s="714" t="str">
        <f>CONCATENATE("Personal Property      ",E1-2," (Optional)")</f>
        <v>Personal Property      2023 (Optional)</v>
      </c>
      <c r="G7" s="708"/>
      <c r="H7" s="709"/>
    </row>
    <row r="8" spans="1:8" ht="15.75" x14ac:dyDescent="0.2">
      <c r="A8" s="72"/>
      <c r="B8" s="714"/>
      <c r="C8" s="714"/>
      <c r="D8" s="714"/>
      <c r="E8" s="716"/>
      <c r="F8" s="714"/>
      <c r="G8" s="708"/>
      <c r="H8" s="709"/>
    </row>
    <row r="9" spans="1:8" ht="51.75" customHeight="1" x14ac:dyDescent="0.2">
      <c r="A9" s="108"/>
      <c r="B9" s="715"/>
      <c r="C9" s="715"/>
      <c r="D9" s="715"/>
      <c r="E9" s="717"/>
      <c r="F9" s="715"/>
      <c r="G9" s="708"/>
      <c r="H9" s="709"/>
    </row>
    <row r="10" spans="1:8" ht="15.75" x14ac:dyDescent="0.2">
      <c r="A10" s="81">
        <f>inputPrYr!D4</f>
        <v>0</v>
      </c>
      <c r="B10" s="90"/>
      <c r="C10" s="90"/>
      <c r="D10" s="90"/>
      <c r="E10" s="83"/>
      <c r="F10" s="90"/>
      <c r="G10" s="708"/>
      <c r="H10" s="709"/>
    </row>
    <row r="11" spans="1:8" ht="15.75" x14ac:dyDescent="0.2">
      <c r="A11" s="109">
        <f>inputPrYr!D6</f>
        <v>0</v>
      </c>
      <c r="B11" s="90"/>
      <c r="C11" s="90"/>
      <c r="D11" s="90"/>
      <c r="E11" s="83"/>
      <c r="F11" s="90"/>
      <c r="G11" s="708"/>
      <c r="H11" s="709"/>
    </row>
    <row r="12" spans="1:8" ht="15.75" x14ac:dyDescent="0.2">
      <c r="A12" s="109">
        <f>inputPrYr!D7</f>
        <v>0</v>
      </c>
      <c r="B12" s="90"/>
      <c r="C12" s="90"/>
      <c r="D12" s="110"/>
      <c r="E12" s="83"/>
      <c r="F12" s="90"/>
      <c r="G12" s="708"/>
      <c r="H12" s="709"/>
    </row>
    <row r="13" spans="1:8" ht="15.75" x14ac:dyDescent="0.2">
      <c r="A13" s="109">
        <f>inputPrYr!D8</f>
        <v>0</v>
      </c>
      <c r="B13" s="90"/>
      <c r="C13" s="90"/>
      <c r="D13" s="90"/>
      <c r="E13" s="90"/>
      <c r="F13" s="90"/>
      <c r="G13" s="708"/>
      <c r="H13" s="709"/>
    </row>
    <row r="14" spans="1:8" ht="15.75" x14ac:dyDescent="0.2">
      <c r="A14" s="81" t="s">
        <v>151</v>
      </c>
      <c r="B14" s="92">
        <f>SUM(B10:B13)</f>
        <v>0</v>
      </c>
      <c r="C14" s="92">
        <f>SUM(C10:C13)</f>
        <v>0</v>
      </c>
      <c r="D14" s="92">
        <f>SUM(D10:D13)</f>
        <v>0</v>
      </c>
      <c r="E14" s="92">
        <f>SUM(E10:E13)</f>
        <v>0</v>
      </c>
      <c r="F14" s="92">
        <f>SUM(F10:F13)</f>
        <v>0</v>
      </c>
      <c r="G14" s="708"/>
      <c r="H14" s="709"/>
    </row>
    <row r="15" spans="1:8" ht="15.75" x14ac:dyDescent="0.2">
      <c r="A15" s="72"/>
      <c r="B15" s="69"/>
      <c r="C15" s="69"/>
      <c r="D15" s="69"/>
      <c r="E15" s="111"/>
      <c r="F15" s="84"/>
      <c r="G15" s="84"/>
      <c r="H15" s="84"/>
    </row>
    <row r="16" spans="1:8" ht="16.5" hidden="1" thickBot="1" x14ac:dyDescent="0.25">
      <c r="A16" s="718" t="str">
        <f>CONCATENATE("Territory Added for ",E1-1,"")</f>
        <v>Territory Added for 2024</v>
      </c>
      <c r="B16" s="719"/>
      <c r="C16" s="719"/>
      <c r="D16" s="719"/>
      <c r="E16" s="111"/>
      <c r="F16" s="84"/>
      <c r="G16" s="84"/>
      <c r="H16" s="84"/>
    </row>
    <row r="17" spans="1:8" ht="31.5" hidden="1" x14ac:dyDescent="0.2">
      <c r="A17" s="86"/>
      <c r="B17" s="542" t="s">
        <v>489</v>
      </c>
      <c r="C17" s="543" t="s">
        <v>16</v>
      </c>
      <c r="D17" s="543" t="s">
        <v>17</v>
      </c>
      <c r="E17" s="111"/>
      <c r="F17" s="84"/>
      <c r="G17" s="84"/>
      <c r="H17" s="84"/>
    </row>
    <row r="18" spans="1:8" ht="15.75" hidden="1" x14ac:dyDescent="0.2">
      <c r="A18" s="81">
        <f>inputPrYr!D4</f>
        <v>0</v>
      </c>
      <c r="B18" s="112"/>
      <c r="C18" s="112"/>
      <c r="D18" s="112"/>
      <c r="E18" s="111"/>
      <c r="F18" s="84"/>
      <c r="G18" s="84"/>
      <c r="H18" s="84"/>
    </row>
    <row r="19" spans="1:8" ht="15.75" hidden="1" x14ac:dyDescent="0.2">
      <c r="A19" s="81">
        <f>inputPrYr!D6</f>
        <v>0</v>
      </c>
      <c r="B19" s="112"/>
      <c r="C19" s="112"/>
      <c r="D19" s="112"/>
      <c r="E19" s="111"/>
      <c r="F19" s="84"/>
      <c r="G19" s="84"/>
      <c r="H19" s="84"/>
    </row>
    <row r="20" spans="1:8" ht="15.75" hidden="1" x14ac:dyDescent="0.2">
      <c r="A20" s="81">
        <f>inputPrYr!D7</f>
        <v>0</v>
      </c>
      <c r="B20" s="112"/>
      <c r="C20" s="112"/>
      <c r="D20" s="112"/>
      <c r="E20" s="111"/>
      <c r="F20" s="84"/>
      <c r="G20" s="84"/>
      <c r="H20" s="84"/>
    </row>
    <row r="21" spans="1:8" ht="15.75" hidden="1" x14ac:dyDescent="0.2">
      <c r="A21" s="81">
        <f>inputPrYr!D8</f>
        <v>0</v>
      </c>
      <c r="B21" s="112"/>
      <c r="C21" s="112"/>
      <c r="D21" s="112"/>
      <c r="E21" s="111"/>
      <c r="F21" s="84"/>
      <c r="G21" s="84"/>
      <c r="H21" s="84"/>
    </row>
    <row r="22" spans="1:8" ht="15.75" hidden="1" x14ac:dyDescent="0.2">
      <c r="A22" s="81" t="s">
        <v>151</v>
      </c>
      <c r="B22" s="113">
        <f>SUM(B18:B21)</f>
        <v>0</v>
      </c>
      <c r="C22" s="113">
        <f>SUM(C18:C21)</f>
        <v>0</v>
      </c>
      <c r="D22" s="113">
        <f>SUM(D18:D21)</f>
        <v>0</v>
      </c>
      <c r="E22" s="111"/>
      <c r="F22" s="84"/>
      <c r="G22" s="84"/>
      <c r="H22" s="84"/>
    </row>
    <row r="23" spans="1:8" ht="15.75" hidden="1" x14ac:dyDescent="0.2">
      <c r="A23" s="72"/>
      <c r="B23" s="72"/>
      <c r="C23" s="72"/>
      <c r="D23" s="72"/>
      <c r="E23" s="111"/>
      <c r="F23" s="84"/>
      <c r="G23" s="84"/>
      <c r="H23" s="84"/>
    </row>
    <row r="24" spans="1:8" ht="15.75" hidden="1" x14ac:dyDescent="0.2">
      <c r="A24" s="118" t="s">
        <v>514</v>
      </c>
      <c r="B24" s="608"/>
      <c r="C24" s="608"/>
      <c r="D24" s="609"/>
      <c r="E24" s="83"/>
      <c r="F24" s="84"/>
      <c r="G24" s="84"/>
      <c r="H24" s="84"/>
    </row>
    <row r="25" spans="1:8" ht="15.75" x14ac:dyDescent="0.2">
      <c r="A25" s="86" t="str">
        <f>CONCATENATE("Gross earnings (intangible) tax estimate for ",E1,"")</f>
        <v>Gross earnings (intangible) tax estimate for 2025</v>
      </c>
      <c r="B25" s="76"/>
      <c r="C25" s="76"/>
      <c r="D25" s="96"/>
      <c r="E25" s="83"/>
      <c r="F25" s="84"/>
      <c r="G25" s="84"/>
      <c r="H25" s="84"/>
    </row>
    <row r="26" spans="1:8" ht="15.75" x14ac:dyDescent="0.2">
      <c r="A26" s="109" t="s">
        <v>112</v>
      </c>
      <c r="B26" s="98"/>
      <c r="C26" s="98"/>
      <c r="D26" s="98"/>
      <c r="E26" s="90"/>
      <c r="F26" s="84"/>
      <c r="G26" s="84"/>
      <c r="H26" s="84"/>
    </row>
    <row r="27" spans="1:8" ht="15.75" x14ac:dyDescent="0.2">
      <c r="A27" s="72"/>
      <c r="B27" s="69"/>
      <c r="C27" s="69"/>
      <c r="D27" s="69"/>
      <c r="E27" s="94"/>
      <c r="F27" s="84"/>
      <c r="G27" s="84"/>
      <c r="H27" s="84"/>
    </row>
    <row r="28" spans="1:8" ht="15.75" x14ac:dyDescent="0.2">
      <c r="A28" s="68" t="s">
        <v>532</v>
      </c>
      <c r="B28" s="69"/>
      <c r="C28" s="69"/>
      <c r="D28" s="624"/>
      <c r="E28" s="94"/>
      <c r="F28" s="84"/>
      <c r="G28" s="84"/>
      <c r="H28" s="84"/>
    </row>
    <row r="29" spans="1:8" ht="15.75" x14ac:dyDescent="0.2">
      <c r="A29" s="72"/>
      <c r="B29" s="69"/>
      <c r="C29" s="69"/>
      <c r="D29" s="69"/>
      <c r="E29" s="94"/>
      <c r="F29" s="84"/>
      <c r="G29" s="84"/>
      <c r="H29" s="84"/>
    </row>
    <row r="30" spans="1:8" ht="16.5" thickBot="1" x14ac:dyDescent="0.25">
      <c r="A30" s="718" t="str">
        <f>CONCATENATE("Actual Tax Rates for the ",E1-1," Budget:")</f>
        <v>Actual Tax Rates for the 2024 Budget:</v>
      </c>
      <c r="B30" s="723"/>
      <c r="C30" s="723"/>
      <c r="D30" s="723"/>
      <c r="E30" s="94"/>
      <c r="F30" s="84"/>
      <c r="G30" s="84"/>
      <c r="H30" s="84"/>
    </row>
    <row r="31" spans="1:8" ht="15.75" x14ac:dyDescent="0.2">
      <c r="A31" s="697" t="s">
        <v>149</v>
      </c>
      <c r="B31" s="698"/>
      <c r="C31" s="84"/>
      <c r="D31" s="114" t="s">
        <v>204</v>
      </c>
      <c r="E31" s="94"/>
      <c r="F31" s="84"/>
      <c r="G31" s="84"/>
      <c r="H31" s="84"/>
    </row>
    <row r="32" spans="1:8" ht="15.75" x14ac:dyDescent="0.2">
      <c r="A32" s="86" t="s">
        <v>140</v>
      </c>
      <c r="B32" s="76"/>
      <c r="C32" s="69"/>
      <c r="D32" s="532"/>
      <c r="E32" s="94"/>
      <c r="F32" s="84"/>
      <c r="G32" s="84"/>
      <c r="H32" s="84"/>
    </row>
    <row r="33" spans="1:8" ht="15.75" x14ac:dyDescent="0.2">
      <c r="A33" s="109" t="s">
        <v>124</v>
      </c>
      <c r="B33" s="98"/>
      <c r="C33" s="69"/>
      <c r="D33" s="532"/>
      <c r="E33" s="94"/>
      <c r="F33" s="84"/>
      <c r="G33" s="84"/>
      <c r="H33" s="84"/>
    </row>
    <row r="34" spans="1:8" ht="15.75" x14ac:dyDescent="0.2">
      <c r="A34" s="109" t="str">
        <f>IF(inputPrYr!B24&gt;" ",(inputPrYr!B24)," ")</f>
        <v>Library</v>
      </c>
      <c r="B34" s="98"/>
      <c r="C34" s="69"/>
      <c r="D34" s="532"/>
      <c r="E34" s="94"/>
      <c r="F34" s="84"/>
      <c r="G34" s="84"/>
      <c r="H34" s="84"/>
    </row>
    <row r="35" spans="1:8" ht="15.75" x14ac:dyDescent="0.2">
      <c r="A35" s="109" t="str">
        <f>IF(inputPrYr!B26&gt;" ",(inputPrYr!B26)," ")</f>
        <v xml:space="preserve"> </v>
      </c>
      <c r="B35" s="98"/>
      <c r="C35" s="69"/>
      <c r="D35" s="532"/>
      <c r="E35" s="94"/>
      <c r="F35" s="84"/>
      <c r="G35" s="84"/>
      <c r="H35" s="84"/>
    </row>
    <row r="36" spans="1:8" ht="15.75" x14ac:dyDescent="0.2">
      <c r="A36" s="109" t="str">
        <f>IF(inputPrYr!B27&gt;" ",(inputPrYr!B27)," ")</f>
        <v xml:space="preserve"> </v>
      </c>
      <c r="B36" s="98"/>
      <c r="C36" s="69"/>
      <c r="D36" s="532"/>
      <c r="E36" s="94"/>
      <c r="F36" s="84"/>
      <c r="G36" s="84"/>
      <c r="H36" s="84"/>
    </row>
    <row r="37" spans="1:8" ht="15.75" x14ac:dyDescent="0.2">
      <c r="A37" s="109" t="str">
        <f>IF(inputPrYr!B28&gt;" ",(inputPrYr!B28)," ")</f>
        <v xml:space="preserve"> </v>
      </c>
      <c r="B37" s="115"/>
      <c r="C37" s="69"/>
      <c r="D37" s="533"/>
      <c r="E37" s="94"/>
      <c r="F37" s="84"/>
      <c r="G37" s="84"/>
      <c r="H37" s="84"/>
    </row>
    <row r="38" spans="1:8" ht="15.75" x14ac:dyDescent="0.2">
      <c r="A38" s="109" t="str">
        <f>IF(inputPrYr!B29&gt;" ",(inputPrYr!B29)," ")</f>
        <v xml:space="preserve"> </v>
      </c>
      <c r="B38" s="115"/>
      <c r="C38" s="69"/>
      <c r="D38" s="533"/>
      <c r="E38" s="94"/>
      <c r="F38" s="84"/>
      <c r="G38" s="84"/>
      <c r="H38" s="84"/>
    </row>
    <row r="39" spans="1:8" ht="15.75" x14ac:dyDescent="0.2">
      <c r="A39" s="109" t="str">
        <f>IF(inputPrYr!B30&gt;" ",(inputPrYr!B30)," ")</f>
        <v xml:space="preserve"> </v>
      </c>
      <c r="B39" s="115"/>
      <c r="C39" s="69"/>
      <c r="D39" s="533"/>
      <c r="E39" s="94"/>
      <c r="F39" s="84"/>
      <c r="G39" s="84"/>
      <c r="H39" s="84"/>
    </row>
    <row r="40" spans="1:8" ht="15.75" x14ac:dyDescent="0.2">
      <c r="A40" s="109" t="str">
        <f>IF(inputPrYr!B31&gt;" ",(inputPrYr!B31)," ")</f>
        <v xml:space="preserve"> </v>
      </c>
      <c r="B40" s="115"/>
      <c r="C40" s="69"/>
      <c r="D40" s="533"/>
      <c r="E40" s="94"/>
      <c r="F40" s="84"/>
      <c r="G40" s="84"/>
      <c r="H40" s="84"/>
    </row>
    <row r="41" spans="1:8" ht="15.75" x14ac:dyDescent="0.2">
      <c r="A41" s="109" t="str">
        <f>IF(inputPrYr!B32&gt;" ",(inputPrYr!B32)," ")</f>
        <v xml:space="preserve"> </v>
      </c>
      <c r="B41" s="115"/>
      <c r="C41" s="69"/>
      <c r="D41" s="533"/>
      <c r="E41" s="94"/>
      <c r="F41" s="84"/>
      <c r="G41" s="84"/>
      <c r="H41" s="84"/>
    </row>
    <row r="42" spans="1:8" ht="15.75" x14ac:dyDescent="0.2">
      <c r="A42" s="109" t="str">
        <f>IF(inputPrYr!B33&gt;" ",(inputPrYr!B33)," ")</f>
        <v xml:space="preserve"> </v>
      </c>
      <c r="B42" s="115"/>
      <c r="C42" s="69"/>
      <c r="D42" s="533"/>
      <c r="E42" s="94"/>
      <c r="F42" s="84"/>
      <c r="G42" s="84"/>
      <c r="H42" s="84"/>
    </row>
    <row r="43" spans="1:8" ht="15.75" x14ac:dyDescent="0.2">
      <c r="A43" s="109" t="str">
        <f>IF(inputPrYr!B34&gt;" ",(inputPrYr!B34)," ")</f>
        <v xml:space="preserve"> </v>
      </c>
      <c r="B43" s="115"/>
      <c r="C43" s="69"/>
      <c r="D43" s="533"/>
      <c r="E43" s="94"/>
      <c r="F43" s="84"/>
      <c r="G43" s="84"/>
      <c r="H43" s="84"/>
    </row>
    <row r="44" spans="1:8" ht="15.75" x14ac:dyDescent="0.2">
      <c r="A44" s="109" t="str">
        <f>IF(inputPrYr!B35&gt;" ",(inputPrYr!B35)," ")</f>
        <v xml:space="preserve"> </v>
      </c>
      <c r="B44" s="115"/>
      <c r="C44" s="69"/>
      <c r="D44" s="532"/>
      <c r="E44" s="94"/>
      <c r="F44" s="84"/>
      <c r="G44" s="84"/>
      <c r="H44" s="84"/>
    </row>
    <row r="45" spans="1:8" ht="15.75" x14ac:dyDescent="0.2">
      <c r="A45" s="84"/>
      <c r="B45" s="249" t="s">
        <v>142</v>
      </c>
      <c r="C45" s="128"/>
      <c r="D45" s="424">
        <f>SUM(D32:D44)</f>
        <v>0</v>
      </c>
      <c r="E45" s="84"/>
      <c r="F45" s="84"/>
      <c r="G45" s="84"/>
      <c r="H45" s="84"/>
    </row>
    <row r="46" spans="1:8" x14ac:dyDescent="0.2">
      <c r="A46" s="84"/>
      <c r="B46" s="84"/>
      <c r="C46" s="84"/>
      <c r="D46" s="84"/>
      <c r="E46" s="84"/>
      <c r="F46" s="84"/>
      <c r="G46" s="84"/>
      <c r="H46" s="84"/>
    </row>
    <row r="47" spans="1:8" ht="16.5" thickBot="1" x14ac:dyDescent="0.25">
      <c r="A47" s="725" t="str">
        <f>CONCATENATE("Final Assessed Valuation from the November 1, ",E1-2," Abstract:")</f>
        <v>Final Assessed Valuation from the November 1, 2023 Abstract:</v>
      </c>
      <c r="B47" s="726"/>
      <c r="C47" s="726"/>
      <c r="D47" s="726"/>
      <c r="E47" s="116"/>
      <c r="F47" s="84"/>
      <c r="G47" s="84"/>
      <c r="H47" s="84"/>
    </row>
    <row r="48" spans="1:8" ht="15.75" x14ac:dyDescent="0.2">
      <c r="A48" s="114"/>
      <c r="B48" s="84"/>
      <c r="C48" s="84"/>
      <c r="D48" s="84"/>
      <c r="E48" s="116"/>
      <c r="F48" s="84"/>
      <c r="G48" s="84"/>
      <c r="H48" s="84"/>
    </row>
    <row r="49" spans="1:8" ht="15.75" x14ac:dyDescent="0.2">
      <c r="A49" s="81">
        <f>inputPrYr!D4</f>
        <v>0</v>
      </c>
      <c r="B49" s="84"/>
      <c r="C49" s="84"/>
      <c r="D49" s="90"/>
      <c r="E49" s="84"/>
      <c r="F49" s="84"/>
      <c r="G49" s="84"/>
      <c r="H49" s="84"/>
    </row>
    <row r="50" spans="1:8" ht="15.75" x14ac:dyDescent="0.2">
      <c r="A50" s="81">
        <f>inputPrYr!D6</f>
        <v>0</v>
      </c>
      <c r="B50" s="84"/>
      <c r="C50" s="84"/>
      <c r="D50" s="90"/>
      <c r="E50" s="84"/>
      <c r="F50" s="84"/>
      <c r="G50" s="84"/>
      <c r="H50" s="84"/>
    </row>
    <row r="51" spans="1:8" ht="15.75" x14ac:dyDescent="0.2">
      <c r="A51" s="81">
        <f>inputPrYr!D7</f>
        <v>0</v>
      </c>
      <c r="B51" s="84"/>
      <c r="C51" s="84"/>
      <c r="D51" s="90"/>
      <c r="E51" s="84"/>
      <c r="F51" s="84"/>
      <c r="G51" s="84"/>
      <c r="H51" s="84"/>
    </row>
    <row r="52" spans="1:8" ht="15.75" x14ac:dyDescent="0.2">
      <c r="A52" s="81">
        <f>inputPrYr!D8</f>
        <v>0</v>
      </c>
      <c r="B52" s="84"/>
      <c r="C52" s="84"/>
      <c r="D52" s="90"/>
      <c r="E52" s="84"/>
      <c r="F52" s="84"/>
      <c r="G52" s="84"/>
      <c r="H52" s="84"/>
    </row>
    <row r="53" spans="1:8" ht="15.75" x14ac:dyDescent="0.2">
      <c r="A53" s="82" t="s">
        <v>104</v>
      </c>
      <c r="B53" s="84"/>
      <c r="C53" s="84"/>
      <c r="D53" s="92">
        <f>SUM(D49:D52)</f>
        <v>0</v>
      </c>
      <c r="E53" s="84"/>
      <c r="F53" s="84"/>
      <c r="G53" s="84"/>
      <c r="H53" s="84"/>
    </row>
    <row r="54" spans="1:8" x14ac:dyDescent="0.2">
      <c r="A54" s="84"/>
      <c r="B54" s="84"/>
      <c r="C54" s="84"/>
      <c r="D54" s="84"/>
      <c r="E54" s="84"/>
      <c r="F54" s="84"/>
      <c r="G54" s="84"/>
      <c r="H54" s="84"/>
    </row>
    <row r="55" spans="1:8" ht="15.75" x14ac:dyDescent="0.2">
      <c r="A55" s="544" t="str">
        <f>CONCATENATE("From the County Treasurer's Budget Information - ",E1," Budget Year Estimates:")</f>
        <v>From the County Treasurer's Budget Information - 2025 Budget Year Estimates:</v>
      </c>
      <c r="B55" s="557"/>
      <c r="C55" s="557"/>
      <c r="D55" s="545"/>
      <c r="E55" s="569"/>
      <c r="F55" s="569"/>
      <c r="G55" s="556"/>
      <c r="H55" s="84"/>
    </row>
    <row r="56" spans="1:8" ht="15.75" customHeight="1" x14ac:dyDescent="0.2">
      <c r="A56" s="568"/>
      <c r="B56" s="331"/>
      <c r="C56" s="713" t="s">
        <v>109</v>
      </c>
      <c r="D56" s="736" t="s">
        <v>107</v>
      </c>
      <c r="E56" s="713" t="s">
        <v>108</v>
      </c>
      <c r="F56" s="729" t="s">
        <v>492</v>
      </c>
      <c r="G56" s="727" t="s">
        <v>493</v>
      </c>
      <c r="H56" s="84"/>
    </row>
    <row r="57" spans="1:8" ht="15.75" x14ac:dyDescent="0.2">
      <c r="A57" s="730" t="str">
        <f>CONCATENATE("",E1," Vehicle Tax Estimates")</f>
        <v>2025 Vehicle Tax Estimates</v>
      </c>
      <c r="B57" s="731"/>
      <c r="C57" s="724"/>
      <c r="D57" s="724"/>
      <c r="E57" s="724"/>
      <c r="F57" s="728"/>
      <c r="G57" s="728"/>
      <c r="H57" s="84"/>
    </row>
    <row r="58" spans="1:8" ht="15.75" x14ac:dyDescent="0.2">
      <c r="A58" s="118">
        <f>inputPrYr!D4</f>
        <v>0</v>
      </c>
      <c r="B58" s="99"/>
      <c r="C58" s="574"/>
      <c r="D58" s="574"/>
      <c r="E58" s="574"/>
      <c r="F58" s="574"/>
      <c r="G58" s="574"/>
      <c r="H58" s="84"/>
    </row>
    <row r="59" spans="1:8" ht="15.75" x14ac:dyDescent="0.2">
      <c r="A59" s="118">
        <f>inputPrYr!D6</f>
        <v>0</v>
      </c>
      <c r="B59" s="99"/>
      <c r="C59" s="578"/>
      <c r="D59" s="578"/>
      <c r="E59" s="578"/>
      <c r="F59" s="578"/>
      <c r="G59" s="578"/>
      <c r="H59" s="84"/>
    </row>
    <row r="60" spans="1:8" ht="15.75" x14ac:dyDescent="0.2">
      <c r="A60" s="118">
        <f>inputPrYr!D7</f>
        <v>0</v>
      </c>
      <c r="B60" s="99"/>
      <c r="C60" s="578"/>
      <c r="D60" s="578"/>
      <c r="E60" s="578"/>
      <c r="F60" s="578"/>
      <c r="G60" s="578"/>
      <c r="H60" s="84"/>
    </row>
    <row r="61" spans="1:8" ht="15.75" x14ac:dyDescent="0.2">
      <c r="A61" s="118">
        <f>inputPrYr!D8</f>
        <v>0</v>
      </c>
      <c r="B61" s="99"/>
      <c r="C61" s="578"/>
      <c r="D61" s="578"/>
      <c r="E61" s="578"/>
      <c r="F61" s="578"/>
      <c r="G61" s="578"/>
      <c r="H61" s="84"/>
    </row>
    <row r="62" spans="1:8" ht="15.75" x14ac:dyDescent="0.2">
      <c r="A62" s="118" t="s">
        <v>110</v>
      </c>
      <c r="B62" s="99"/>
      <c r="C62" s="119">
        <f>SUM(C58:C61)</f>
        <v>0</v>
      </c>
      <c r="D62" s="92">
        <f>SUM(D58:D61)</f>
        <v>0</v>
      </c>
      <c r="E62" s="92">
        <f>SUM(E58:E61)</f>
        <v>0</v>
      </c>
      <c r="F62" s="92">
        <f>SUM(F58:F61)</f>
        <v>0</v>
      </c>
      <c r="G62" s="92">
        <f>SUM(G58:G61)</f>
        <v>0</v>
      </c>
      <c r="H62" s="84"/>
    </row>
    <row r="63" spans="1:8" ht="15.75" x14ac:dyDescent="0.2">
      <c r="A63" s="86"/>
      <c r="B63" s="76"/>
      <c r="C63" s="76"/>
      <c r="D63" s="120"/>
      <c r="E63" s="94"/>
      <c r="F63" s="84"/>
      <c r="G63" s="84"/>
      <c r="H63" s="84"/>
    </row>
    <row r="64" spans="1:8" ht="15.75" x14ac:dyDescent="0.2">
      <c r="A64" s="69"/>
      <c r="B64" s="69"/>
      <c r="C64" s="69"/>
      <c r="D64" s="69"/>
      <c r="E64" s="69"/>
      <c r="F64" s="84"/>
      <c r="G64" s="84"/>
      <c r="H64" s="84"/>
    </row>
    <row r="65" spans="1:8" ht="15.75" x14ac:dyDescent="0.2">
      <c r="A65" s="68" t="s">
        <v>157</v>
      </c>
      <c r="B65" s="75"/>
      <c r="C65" s="75"/>
      <c r="D65" s="69"/>
      <c r="E65" s="69"/>
      <c r="F65" s="84"/>
      <c r="G65" s="84"/>
      <c r="H65" s="84"/>
    </row>
    <row r="66" spans="1:8" ht="15.75" x14ac:dyDescent="0.2">
      <c r="A66" s="72" t="str">
        <f>CONCATENATE("Actual Delinquency for ",E20-3," Tax - (e.g. rate .01213 = 1.213%;  key in 1.2)")</f>
        <v>Actual Delinquency for -3 Tax - (e.g. rate .01213 = 1.213%;  key in 1.2)</v>
      </c>
      <c r="B66" s="69"/>
      <c r="C66" s="69"/>
      <c r="D66" s="69"/>
      <c r="E66" s="69"/>
      <c r="F66" s="84"/>
      <c r="G66" s="84"/>
      <c r="H66" s="84"/>
    </row>
    <row r="67" spans="1:8" ht="15.75" x14ac:dyDescent="0.2">
      <c r="A67" s="425" t="s">
        <v>419</v>
      </c>
      <c r="B67" s="86"/>
      <c r="C67" s="76"/>
      <c r="D67" s="76"/>
      <c r="E67" s="426"/>
      <c r="F67" s="84"/>
      <c r="G67" s="84"/>
      <c r="H67" s="84"/>
    </row>
    <row r="68" spans="1:8" ht="15.75" x14ac:dyDescent="0.2">
      <c r="A68" s="122" t="s">
        <v>111</v>
      </c>
      <c r="B68" s="123"/>
      <c r="C68" s="123"/>
      <c r="D68" s="123"/>
      <c r="E68" s="123"/>
      <c r="F68" s="124"/>
      <c r="G68" s="84"/>
      <c r="H68" s="84"/>
    </row>
    <row r="69" spans="1:8" ht="15.75" x14ac:dyDescent="0.2">
      <c r="A69" s="69"/>
      <c r="B69" s="69"/>
      <c r="C69" s="69"/>
      <c r="D69" s="69"/>
      <c r="E69" s="69"/>
      <c r="F69" s="84"/>
      <c r="G69" s="84"/>
      <c r="H69" s="84"/>
    </row>
    <row r="70" spans="1:8" ht="15.75" x14ac:dyDescent="0.2">
      <c r="A70" s="710" t="s">
        <v>618</v>
      </c>
      <c r="B70" s="711"/>
      <c r="C70" s="711"/>
      <c r="D70" s="711"/>
      <c r="E70" s="712"/>
      <c r="F70" s="84"/>
      <c r="G70" s="84"/>
      <c r="H70" s="84"/>
    </row>
    <row r="71" spans="1:8" ht="15.75" x14ac:dyDescent="0.2">
      <c r="A71" s="76" t="str">
        <f>CONCATENATE("",E1," State Distribution for Kansas Gas Tax")</f>
        <v>2025 State Distribution for Kansas Gas Tax</v>
      </c>
      <c r="B71" s="125"/>
      <c r="C71" s="125"/>
      <c r="D71" s="126"/>
      <c r="E71" s="127"/>
      <c r="F71" s="84"/>
      <c r="G71" s="84"/>
      <c r="H71" s="84"/>
    </row>
    <row r="72" spans="1:8" ht="15.75" x14ac:dyDescent="0.2">
      <c r="A72" s="98" t="str">
        <f>CONCATENATE("",E1," County Transfers for Gas**")</f>
        <v>2025 County Transfers for Gas**</v>
      </c>
      <c r="B72" s="128"/>
      <c r="C72" s="128"/>
      <c r="D72" s="129"/>
      <c r="E72" s="90"/>
      <c r="F72" s="84"/>
      <c r="G72" s="84"/>
      <c r="H72" s="84"/>
    </row>
    <row r="73" spans="1:8" ht="15.75" x14ac:dyDescent="0.2">
      <c r="A73" s="98" t="str">
        <f>CONCATENATE("Adjusted ",E1-1," State Distribution for Kansas Gas Tax")</f>
        <v>Adjusted 2024 State Distribution for Kansas Gas Tax</v>
      </c>
      <c r="B73" s="128"/>
      <c r="C73" s="128"/>
      <c r="D73" s="129"/>
      <c r="E73" s="90"/>
      <c r="F73" s="84"/>
      <c r="G73" s="84"/>
      <c r="H73" s="84"/>
    </row>
    <row r="74" spans="1:8" ht="15.75" x14ac:dyDescent="0.2">
      <c r="A74" s="98" t="str">
        <f>CONCATENATE("Adjusted ",E1-1," County Transfers for Gas**")</f>
        <v>Adjusted 2024 County Transfers for Gas**</v>
      </c>
      <c r="B74" s="128"/>
      <c r="C74" s="128"/>
      <c r="D74" s="129"/>
      <c r="E74" s="90"/>
      <c r="F74" s="84"/>
      <c r="G74" s="84"/>
      <c r="H74" s="84"/>
    </row>
    <row r="75" spans="1:8" x14ac:dyDescent="0.2">
      <c r="A75" s="737" t="s">
        <v>86</v>
      </c>
      <c r="B75" s="738"/>
      <c r="C75" s="738"/>
      <c r="D75" s="738"/>
      <c r="E75" s="738"/>
      <c r="F75" s="739"/>
      <c r="G75" s="84"/>
      <c r="H75" s="84"/>
    </row>
    <row r="76" spans="1:8" x14ac:dyDescent="0.2">
      <c r="A76" s="124" t="s">
        <v>87</v>
      </c>
      <c r="B76" s="124"/>
      <c r="C76" s="124"/>
      <c r="D76" s="124"/>
      <c r="E76" s="124"/>
      <c r="F76" s="124"/>
      <c r="G76" s="84"/>
      <c r="H76" s="84"/>
    </row>
    <row r="77" spans="1:8" x14ac:dyDescent="0.2">
      <c r="A77" s="84"/>
      <c r="B77" s="84"/>
      <c r="C77" s="84"/>
      <c r="D77" s="84"/>
      <c r="E77" s="84"/>
      <c r="F77" s="84"/>
      <c r="G77" s="84"/>
      <c r="H77" s="84"/>
    </row>
    <row r="78" spans="1:8" ht="15.75" x14ac:dyDescent="0.2">
      <c r="A78" s="740" t="str">
        <f>CONCATENATE("From the ",E1-2," Budget Certificate Page")</f>
        <v>From the 2023 Budget Certificate Page</v>
      </c>
      <c r="B78" s="741"/>
      <c r="C78" s="84"/>
      <c r="D78" s="84"/>
      <c r="E78" s="84"/>
      <c r="F78" s="84"/>
      <c r="G78" s="84"/>
      <c r="H78" s="84"/>
    </row>
    <row r="79" spans="1:8" ht="15.75" x14ac:dyDescent="0.2">
      <c r="A79" s="77"/>
      <c r="B79" s="734" t="str">
        <f>CONCATENATE("",E1-2,"        Expenditure Amt Budget Authority")</f>
        <v>2023        Expenditure Amt Budget Authority</v>
      </c>
      <c r="C79" s="732" t="str">
        <f>CONCATENATE("Note: If the ",E1-2," budget was amended, then")</f>
        <v>Note: If the 2023 budget was amended, then</v>
      </c>
      <c r="D79" s="733"/>
      <c r="E79" s="733"/>
      <c r="F79" s="84"/>
      <c r="G79" s="84"/>
      <c r="H79" s="84"/>
    </row>
    <row r="80" spans="1:8" ht="15.75" x14ac:dyDescent="0.2">
      <c r="A80" s="130" t="s">
        <v>113</v>
      </c>
      <c r="B80" s="735"/>
      <c r="C80" s="131" t="s">
        <v>114</v>
      </c>
      <c r="D80" s="132"/>
      <c r="E80" s="132"/>
      <c r="F80" s="84"/>
      <c r="G80" s="84"/>
      <c r="H80" s="84"/>
    </row>
    <row r="81" spans="1:8" ht="15.75" x14ac:dyDescent="0.2">
      <c r="A81" s="133"/>
      <c r="B81" s="724"/>
      <c r="C81" s="131" t="s">
        <v>115</v>
      </c>
      <c r="D81" s="132"/>
      <c r="E81" s="132"/>
      <c r="F81" s="84"/>
      <c r="G81" s="84"/>
      <c r="H81" s="84"/>
    </row>
    <row r="82" spans="1:8" ht="15.75" x14ac:dyDescent="0.2">
      <c r="A82" s="134" t="str">
        <f>inputPrYr!B22</f>
        <v>General</v>
      </c>
      <c r="B82" s="127"/>
      <c r="C82" s="131"/>
      <c r="D82" s="132"/>
      <c r="E82" s="132"/>
      <c r="F82" s="84"/>
      <c r="G82" s="84"/>
      <c r="H82" s="84"/>
    </row>
    <row r="83" spans="1:8" ht="15.75" x14ac:dyDescent="0.2">
      <c r="A83" s="134" t="str">
        <f>inputPrYr!B23</f>
        <v>Debt Service</v>
      </c>
      <c r="B83" s="90"/>
      <c r="C83" s="131"/>
      <c r="D83" s="132"/>
      <c r="E83" s="132"/>
      <c r="F83" s="84"/>
      <c r="G83" s="84"/>
      <c r="H83" s="84"/>
    </row>
    <row r="84" spans="1:8" ht="15.75" x14ac:dyDescent="0.2">
      <c r="A84" s="95" t="str">
        <f>inputPrYr!B24</f>
        <v>Library</v>
      </c>
      <c r="B84" s="90"/>
      <c r="C84" s="84"/>
      <c r="D84" s="84"/>
      <c r="E84" s="84"/>
      <c r="F84" s="84"/>
      <c r="G84" s="84"/>
      <c r="H84" s="84"/>
    </row>
    <row r="85" spans="1:8" ht="15.75" x14ac:dyDescent="0.2">
      <c r="A85" s="95">
        <f>inputPrYr!B26</f>
        <v>0</v>
      </c>
      <c r="B85" s="90"/>
      <c r="C85" s="84"/>
      <c r="D85" s="84"/>
      <c r="E85" s="84"/>
      <c r="F85" s="84"/>
      <c r="G85" s="84"/>
      <c r="H85" s="84"/>
    </row>
    <row r="86" spans="1:8" ht="15.75" x14ac:dyDescent="0.2">
      <c r="A86" s="95">
        <f>inputPrYr!B27</f>
        <v>0</v>
      </c>
      <c r="B86" s="90"/>
      <c r="C86" s="84"/>
      <c r="D86" s="84"/>
      <c r="E86" s="84"/>
      <c r="F86" s="84"/>
      <c r="G86" s="84"/>
      <c r="H86" s="84"/>
    </row>
    <row r="87" spans="1:8" ht="15.75" x14ac:dyDescent="0.2">
      <c r="A87" s="95">
        <f>inputPrYr!B28</f>
        <v>0</v>
      </c>
      <c r="B87" s="90"/>
      <c r="C87" s="84"/>
      <c r="D87" s="84"/>
      <c r="E87" s="84"/>
      <c r="F87" s="84"/>
      <c r="G87" s="84"/>
      <c r="H87" s="84"/>
    </row>
    <row r="88" spans="1:8" ht="15.75" x14ac:dyDescent="0.2">
      <c r="A88" s="95">
        <f>inputPrYr!B29</f>
        <v>0</v>
      </c>
      <c r="B88" s="90"/>
      <c r="C88" s="84"/>
      <c r="D88" s="84"/>
      <c r="E88" s="84"/>
      <c r="F88" s="84"/>
      <c r="G88" s="84"/>
      <c r="H88" s="84"/>
    </row>
    <row r="89" spans="1:8" ht="15.75" x14ac:dyDescent="0.2">
      <c r="A89" s="95">
        <f>inputPrYr!B30</f>
        <v>0</v>
      </c>
      <c r="B89" s="90"/>
      <c r="C89" s="84"/>
      <c r="D89" s="84"/>
      <c r="E89" s="84"/>
      <c r="F89" s="84"/>
      <c r="G89" s="84"/>
      <c r="H89" s="84"/>
    </row>
    <row r="90" spans="1:8" ht="15.75" x14ac:dyDescent="0.2">
      <c r="A90" s="95">
        <f>inputPrYr!B31</f>
        <v>0</v>
      </c>
      <c r="B90" s="90"/>
      <c r="C90" s="84"/>
      <c r="D90" s="84"/>
      <c r="E90" s="84"/>
      <c r="F90" s="84"/>
      <c r="G90" s="84"/>
      <c r="H90" s="84"/>
    </row>
    <row r="91" spans="1:8" ht="15.75" x14ac:dyDescent="0.2">
      <c r="A91" s="95">
        <f>inputPrYr!B32</f>
        <v>0</v>
      </c>
      <c r="B91" s="90"/>
      <c r="C91" s="84"/>
      <c r="D91" s="84"/>
      <c r="E91" s="84"/>
      <c r="F91" s="84"/>
      <c r="G91" s="84"/>
      <c r="H91" s="84"/>
    </row>
    <row r="92" spans="1:8" ht="15.75" x14ac:dyDescent="0.2">
      <c r="A92" s="95">
        <f>inputPrYr!B33</f>
        <v>0</v>
      </c>
      <c r="B92" s="90"/>
      <c r="C92" s="84"/>
      <c r="D92" s="84"/>
      <c r="E92" s="84"/>
      <c r="F92" s="84"/>
      <c r="G92" s="84"/>
      <c r="H92" s="84"/>
    </row>
    <row r="93" spans="1:8" ht="15.75" x14ac:dyDescent="0.2">
      <c r="A93" s="95">
        <f>inputPrYr!B34</f>
        <v>0</v>
      </c>
      <c r="B93" s="90"/>
      <c r="C93" s="84"/>
      <c r="D93" s="84"/>
      <c r="E93" s="84"/>
      <c r="F93" s="84"/>
      <c r="G93" s="84"/>
      <c r="H93" s="84"/>
    </row>
    <row r="94" spans="1:8" ht="15.75" x14ac:dyDescent="0.2">
      <c r="A94" s="95">
        <f>inputPrYr!B35</f>
        <v>0</v>
      </c>
      <c r="B94" s="90"/>
      <c r="C94" s="84"/>
      <c r="D94" s="84"/>
      <c r="E94" s="84"/>
      <c r="F94" s="84"/>
      <c r="G94" s="84"/>
      <c r="H94" s="84"/>
    </row>
    <row r="95" spans="1:8" ht="15.75" x14ac:dyDescent="0.2">
      <c r="A95" s="95" t="str">
        <f>inputPrYr!B39</f>
        <v>Special Highway</v>
      </c>
      <c r="B95" s="90"/>
      <c r="C95" s="84"/>
      <c r="D95" s="84"/>
      <c r="E95" s="84"/>
      <c r="F95" s="84"/>
      <c r="G95" s="84"/>
      <c r="H95" s="84"/>
    </row>
    <row r="96" spans="1:8" ht="15.75" x14ac:dyDescent="0.2">
      <c r="A96" s="95">
        <f>inputPrYr!B40</f>
        <v>0</v>
      </c>
      <c r="B96" s="90"/>
      <c r="C96" s="84"/>
      <c r="D96" s="84"/>
      <c r="E96" s="84"/>
      <c r="F96" s="84"/>
      <c r="G96" s="84"/>
      <c r="H96" s="84"/>
    </row>
    <row r="97" spans="1:8" ht="15.75" x14ac:dyDescent="0.2">
      <c r="A97" s="95">
        <f>inputPrYr!B41</f>
        <v>0</v>
      </c>
      <c r="B97" s="90"/>
      <c r="C97" s="84"/>
      <c r="D97" s="84"/>
      <c r="E97" s="84"/>
      <c r="F97" s="84"/>
      <c r="G97" s="84"/>
      <c r="H97" s="84"/>
    </row>
    <row r="98" spans="1:8" ht="15.75" x14ac:dyDescent="0.2">
      <c r="A98" s="95">
        <f>inputPrYr!B42</f>
        <v>0</v>
      </c>
      <c r="B98" s="90"/>
      <c r="C98" s="84"/>
      <c r="D98" s="84"/>
      <c r="E98" s="84"/>
      <c r="F98" s="84"/>
      <c r="G98" s="84"/>
      <c r="H98" s="84"/>
    </row>
    <row r="99" spans="1:8" ht="15.75" x14ac:dyDescent="0.2">
      <c r="A99" s="95">
        <f>inputPrYr!B43</f>
        <v>0</v>
      </c>
      <c r="B99" s="90"/>
      <c r="C99" s="84"/>
      <c r="D99" s="84"/>
      <c r="E99" s="84"/>
      <c r="F99" s="84"/>
      <c r="G99" s="84"/>
      <c r="H99" s="84"/>
    </row>
    <row r="100" spans="1:8" ht="15.75" x14ac:dyDescent="0.2">
      <c r="A100" s="95">
        <f>inputPrYr!B44</f>
        <v>0</v>
      </c>
      <c r="B100" s="90"/>
      <c r="C100" s="84"/>
      <c r="D100" s="84"/>
      <c r="E100" s="84"/>
      <c r="F100" s="84"/>
      <c r="G100" s="84"/>
      <c r="H100" s="84"/>
    </row>
    <row r="101" spans="1:8" ht="15.75" x14ac:dyDescent="0.2">
      <c r="A101" s="95">
        <f>inputPrYr!B45</f>
        <v>0</v>
      </c>
      <c r="B101" s="90"/>
      <c r="C101" s="84"/>
      <c r="D101" s="84"/>
      <c r="E101" s="84"/>
      <c r="F101" s="84"/>
      <c r="G101" s="84"/>
      <c r="H101" s="84"/>
    </row>
    <row r="102" spans="1:8" ht="15.75" x14ac:dyDescent="0.2">
      <c r="A102" s="95">
        <f>inputPrYr!B46</f>
        <v>0</v>
      </c>
      <c r="B102" s="90"/>
      <c r="C102" s="84"/>
      <c r="D102" s="84"/>
      <c r="E102" s="84"/>
      <c r="F102" s="84"/>
      <c r="G102" s="84"/>
      <c r="H102" s="84"/>
    </row>
    <row r="103" spans="1:8" ht="15.75" x14ac:dyDescent="0.2">
      <c r="A103" s="95">
        <f>inputPrYr!B47</f>
        <v>0</v>
      </c>
      <c r="B103" s="90"/>
      <c r="C103" s="84"/>
      <c r="D103" s="84"/>
      <c r="E103" s="84"/>
      <c r="F103" s="84"/>
      <c r="G103" s="84"/>
      <c r="H103" s="84"/>
    </row>
    <row r="104" spans="1:8" ht="15.75" x14ac:dyDescent="0.2">
      <c r="A104" s="95">
        <f>inputPrYr!B48</f>
        <v>0</v>
      </c>
      <c r="B104" s="90"/>
      <c r="C104" s="84"/>
      <c r="D104" s="84"/>
      <c r="E104" s="84"/>
      <c r="F104" s="84"/>
      <c r="G104" s="84"/>
      <c r="H104" s="84"/>
    </row>
    <row r="105" spans="1:8" ht="15.75" x14ac:dyDescent="0.2">
      <c r="A105" s="95">
        <f>inputPrYr!B49</f>
        <v>0</v>
      </c>
      <c r="B105" s="90"/>
      <c r="C105" s="84"/>
      <c r="D105" s="84"/>
      <c r="E105" s="84"/>
      <c r="F105" s="84"/>
      <c r="G105" s="84"/>
      <c r="H105" s="84"/>
    </row>
    <row r="106" spans="1:8" ht="15.75" x14ac:dyDescent="0.2">
      <c r="A106" s="95">
        <f>inputPrYr!B50</f>
        <v>0</v>
      </c>
      <c r="B106" s="90"/>
      <c r="C106" s="84"/>
      <c r="D106" s="84"/>
      <c r="E106" s="84"/>
      <c r="F106" s="84"/>
      <c r="G106" s="84"/>
      <c r="H106" s="84"/>
    </row>
    <row r="107" spans="1:8" ht="15.75" x14ac:dyDescent="0.2">
      <c r="A107" s="95">
        <f>inputPrYr!B51</f>
        <v>0</v>
      </c>
      <c r="B107" s="90"/>
      <c r="C107" s="84"/>
      <c r="D107" s="84"/>
      <c r="E107" s="84"/>
      <c r="F107" s="84"/>
      <c r="G107" s="84"/>
      <c r="H107" s="84"/>
    </row>
    <row r="108" spans="1:8" ht="15.75" x14ac:dyDescent="0.2">
      <c r="A108" s="95">
        <f>inputPrYr!B52</f>
        <v>0</v>
      </c>
      <c r="B108" s="90"/>
      <c r="C108" s="84"/>
      <c r="D108" s="84"/>
      <c r="E108" s="84"/>
      <c r="F108" s="84"/>
      <c r="G108" s="84"/>
      <c r="H108" s="84"/>
    </row>
    <row r="109" spans="1:8" ht="15.75" x14ac:dyDescent="0.2">
      <c r="A109" s="95">
        <f>inputPrYr!B53</f>
        <v>0</v>
      </c>
      <c r="B109" s="90"/>
      <c r="C109" s="84"/>
      <c r="D109" s="84"/>
      <c r="E109" s="84"/>
      <c r="F109" s="84"/>
      <c r="G109" s="84"/>
      <c r="H109" s="84"/>
    </row>
    <row r="110" spans="1:8" ht="15.75" x14ac:dyDescent="0.2">
      <c r="A110" s="95">
        <f>inputPrYr!B54</f>
        <v>0</v>
      </c>
      <c r="B110" s="90"/>
      <c r="C110" s="84"/>
      <c r="D110" s="84"/>
      <c r="E110" s="84"/>
      <c r="F110" s="84"/>
      <c r="G110" s="84"/>
      <c r="H110" s="84"/>
    </row>
    <row r="111" spans="1:8" ht="15.75" x14ac:dyDescent="0.2">
      <c r="A111" s="95">
        <f>inputPrYr!B56</f>
        <v>0</v>
      </c>
      <c r="B111" s="90"/>
      <c r="C111" s="84"/>
      <c r="D111" s="84"/>
      <c r="E111" s="84"/>
      <c r="F111" s="84"/>
      <c r="G111" s="84"/>
      <c r="H111" s="84"/>
    </row>
    <row r="112" spans="1:8" ht="15.75" x14ac:dyDescent="0.2">
      <c r="A112" s="95">
        <f>inputPrYr!B57</f>
        <v>0</v>
      </c>
      <c r="B112" s="90"/>
      <c r="C112" s="84"/>
      <c r="D112" s="84"/>
      <c r="E112" s="84"/>
      <c r="F112" s="84"/>
      <c r="G112" s="84"/>
      <c r="H112" s="84"/>
    </row>
    <row r="113" spans="1:8" ht="15.75" x14ac:dyDescent="0.2">
      <c r="A113" s="95">
        <f>inputPrYr!B58</f>
        <v>0</v>
      </c>
      <c r="B113" s="90"/>
      <c r="C113" s="84"/>
      <c r="D113" s="84"/>
      <c r="E113" s="84"/>
      <c r="F113" s="84"/>
      <c r="G113" s="84"/>
      <c r="H113" s="84"/>
    </row>
    <row r="114" spans="1:8" ht="15.75" x14ac:dyDescent="0.2">
      <c r="A114" s="95">
        <f>inputPrYr!B59</f>
        <v>0</v>
      </c>
      <c r="B114" s="90"/>
      <c r="C114" s="84"/>
      <c r="D114" s="84"/>
      <c r="E114" s="84"/>
      <c r="F114" s="84"/>
      <c r="G114" s="84"/>
      <c r="H114" s="84"/>
    </row>
  </sheetData>
  <sheetProtection sheet="1"/>
  <mergeCells count="23">
    <mergeCell ref="A57:B57"/>
    <mergeCell ref="C79:E79"/>
    <mergeCell ref="B79:B81"/>
    <mergeCell ref="D56:D57"/>
    <mergeCell ref="A75:F75"/>
    <mergeCell ref="E56:E57"/>
    <mergeCell ref="A78:B78"/>
    <mergeCell ref="G6:H14"/>
    <mergeCell ref="A70:E70"/>
    <mergeCell ref="A3:E3"/>
    <mergeCell ref="B7:B9"/>
    <mergeCell ref="C7:C9"/>
    <mergeCell ref="D7:D9"/>
    <mergeCell ref="E7:E9"/>
    <mergeCell ref="A16:D16"/>
    <mergeCell ref="A6:F6"/>
    <mergeCell ref="F7:F9"/>
    <mergeCell ref="A31:B31"/>
    <mergeCell ref="A30:D30"/>
    <mergeCell ref="C56:C57"/>
    <mergeCell ref="A47:D47"/>
    <mergeCell ref="G56:G57"/>
    <mergeCell ref="F56:F57"/>
  </mergeCells>
  <phoneticPr fontId="8" type="noConversion"/>
  <pageMargins left="0.75" right="0.75" top="1" bottom="1" header="0.5" footer="0.5"/>
  <pageSetup scale="37"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F0"/>
    <pageSetUpPr fitToPage="1"/>
  </sheetPr>
  <dimension ref="B1:E52"/>
  <sheetViews>
    <sheetView workbookViewId="0">
      <selection activeCell="B42" sqref="B42"/>
    </sheetView>
  </sheetViews>
  <sheetFormatPr defaultColWidth="8.88671875" defaultRowHeight="15" x14ac:dyDescent="0.2"/>
  <cols>
    <col min="1" max="1" width="2.44140625" style="107" customWidth="1"/>
    <col min="2" max="2" width="31.109375" style="107" customWidth="1"/>
    <col min="3" max="4" width="15.77734375" style="107" customWidth="1"/>
    <col min="5" max="5" width="16.109375" style="107" customWidth="1"/>
    <col min="6" max="16384" width="8.88671875" style="107"/>
  </cols>
  <sheetData>
    <row r="1" spans="2:5" ht="15.75" x14ac:dyDescent="0.2">
      <c r="B1" s="89">
        <f>(inputPrYr!D3)</f>
        <v>0</v>
      </c>
      <c r="C1" s="69"/>
      <c r="D1" s="69"/>
      <c r="E1" s="238">
        <f>inputPrYr!$C$10</f>
        <v>2025</v>
      </c>
    </row>
    <row r="2" spans="2:5" ht="15.75" x14ac:dyDescent="0.2">
      <c r="B2" s="69"/>
      <c r="C2" s="69"/>
      <c r="D2" s="69"/>
      <c r="E2" s="161"/>
    </row>
    <row r="3" spans="2:5" ht="15.75" x14ac:dyDescent="0.2">
      <c r="B3" s="239" t="s">
        <v>6</v>
      </c>
      <c r="C3" s="240"/>
      <c r="D3" s="240"/>
      <c r="E3" s="241"/>
    </row>
    <row r="4" spans="2:5" ht="15.75" x14ac:dyDescent="0.2">
      <c r="B4" s="72" t="s">
        <v>162</v>
      </c>
      <c r="C4" s="392" t="s">
        <v>359</v>
      </c>
      <c r="D4" s="393" t="s">
        <v>360</v>
      </c>
      <c r="E4" s="142" t="s">
        <v>361</v>
      </c>
    </row>
    <row r="5" spans="2:5" ht="15.75" x14ac:dyDescent="0.2">
      <c r="B5" s="377">
        <f>(inputPrYr!B57)</f>
        <v>0</v>
      </c>
      <c r="C5" s="318" t="str">
        <f>CONCATENATE("Actual for ",E1-2,"")</f>
        <v>Actual for 2023</v>
      </c>
      <c r="D5" s="318" t="str">
        <f>CONCATENATE("Estimate for ",E1-1,"")</f>
        <v>Estimate for 2024</v>
      </c>
      <c r="E5" s="176" t="str">
        <f>CONCATENATE("Year for ",E1,"")</f>
        <v>Year for 2025</v>
      </c>
    </row>
    <row r="6" spans="2:5" ht="15.75" x14ac:dyDescent="0.2">
      <c r="B6" s="118" t="s">
        <v>18</v>
      </c>
      <c r="C6" s="83"/>
      <c r="D6" s="243">
        <f>C45</f>
        <v>0</v>
      </c>
      <c r="E6" s="243">
        <f>D45</f>
        <v>0</v>
      </c>
    </row>
    <row r="7" spans="2:5" ht="15.75" x14ac:dyDescent="0.2">
      <c r="B7" s="244" t="s">
        <v>20</v>
      </c>
      <c r="C7" s="95"/>
      <c r="D7" s="95"/>
      <c r="E7" s="95"/>
    </row>
    <row r="8" spans="2:5" ht="15.75" x14ac:dyDescent="0.2">
      <c r="B8" s="245"/>
      <c r="C8" s="83"/>
      <c r="D8" s="83"/>
      <c r="E8" s="83"/>
    </row>
    <row r="9" spans="2:5" ht="15.75" x14ac:dyDescent="0.2">
      <c r="B9" s="245"/>
      <c r="C9" s="83"/>
      <c r="D9" s="83"/>
      <c r="E9" s="83"/>
    </row>
    <row r="10" spans="2:5" ht="15.75" x14ac:dyDescent="0.2">
      <c r="B10" s="245"/>
      <c r="C10" s="83"/>
      <c r="D10" s="83"/>
      <c r="E10" s="83"/>
    </row>
    <row r="11" spans="2:5" ht="15.75" x14ac:dyDescent="0.2">
      <c r="B11" s="245"/>
      <c r="C11" s="83"/>
      <c r="D11" s="83"/>
      <c r="E11" s="83"/>
    </row>
    <row r="12" spans="2:5" ht="15.75" x14ac:dyDescent="0.2">
      <c r="B12" s="245"/>
      <c r="C12" s="83"/>
      <c r="D12" s="83"/>
      <c r="E12" s="83"/>
    </row>
    <row r="13" spans="2:5" ht="15.75" x14ac:dyDescent="0.2">
      <c r="B13" s="247"/>
      <c r="C13" s="90"/>
      <c r="D13" s="90"/>
      <c r="E13" s="90"/>
    </row>
    <row r="14" spans="2:5" ht="15.75" x14ac:dyDescent="0.2">
      <c r="B14" s="245"/>
      <c r="C14" s="83"/>
      <c r="D14" s="83"/>
      <c r="E14" s="83"/>
    </row>
    <row r="15" spans="2:5" ht="15.75" x14ac:dyDescent="0.2">
      <c r="B15" s="248" t="s">
        <v>170</v>
      </c>
      <c r="C15" s="83"/>
      <c r="D15" s="83"/>
      <c r="E15" s="83"/>
    </row>
    <row r="16" spans="2:5" ht="15.75" x14ac:dyDescent="0.2">
      <c r="B16" s="249" t="s">
        <v>118</v>
      </c>
      <c r="C16" s="83"/>
      <c r="D16" s="242"/>
      <c r="E16" s="242"/>
    </row>
    <row r="17" spans="2:5" ht="15.75" x14ac:dyDescent="0.2">
      <c r="B17" s="249" t="s">
        <v>334</v>
      </c>
      <c r="C17" s="371" t="str">
        <f>IF(C18*0.1&lt;C16,"Exceed 10% Rule","")</f>
        <v/>
      </c>
      <c r="D17" s="250" t="str">
        <f>IF(D18*0.1&lt;D16,"Exceed 10% Rule","")</f>
        <v/>
      </c>
      <c r="E17" s="250" t="str">
        <f>IF(E18*0.1&lt;E16,"Exceed 10% Rule","")</f>
        <v/>
      </c>
    </row>
    <row r="18" spans="2:5" ht="15.75" x14ac:dyDescent="0.2">
      <c r="B18" s="251" t="s">
        <v>171</v>
      </c>
      <c r="C18" s="253">
        <f>SUM(C8:C16)</f>
        <v>0</v>
      </c>
      <c r="D18" s="253">
        <f>SUM(D8:D16)</f>
        <v>0</v>
      </c>
      <c r="E18" s="253">
        <f>SUM(E8:E16)</f>
        <v>0</v>
      </c>
    </row>
    <row r="19" spans="2:5" ht="15.75" x14ac:dyDescent="0.2">
      <c r="B19" s="251" t="s">
        <v>172</v>
      </c>
      <c r="C19" s="253">
        <f>C6+C18</f>
        <v>0</v>
      </c>
      <c r="D19" s="253">
        <f>D6+D18</f>
        <v>0</v>
      </c>
      <c r="E19" s="253">
        <f>E6+E18</f>
        <v>0</v>
      </c>
    </row>
    <row r="20" spans="2:5" ht="15.75" x14ac:dyDescent="0.2">
      <c r="B20" s="118" t="s">
        <v>174</v>
      </c>
      <c r="C20" s="95"/>
      <c r="D20" s="95"/>
      <c r="E20" s="95"/>
    </row>
    <row r="21" spans="2:5" ht="15.75" x14ac:dyDescent="0.2">
      <c r="B21" s="245" t="s">
        <v>49</v>
      </c>
      <c r="C21" s="83"/>
      <c r="D21" s="83"/>
      <c r="E21" s="83"/>
    </row>
    <row r="22" spans="2:5" ht="15.75" x14ac:dyDescent="0.2">
      <c r="B22" s="245" t="s">
        <v>122</v>
      </c>
      <c r="C22" s="83"/>
      <c r="D22" s="83"/>
      <c r="E22" s="83"/>
    </row>
    <row r="23" spans="2:5" ht="15.75" x14ac:dyDescent="0.2">
      <c r="B23" s="245"/>
      <c r="C23" s="90"/>
      <c r="D23" s="90"/>
      <c r="E23" s="90"/>
    </row>
    <row r="24" spans="2:5" ht="15.75" x14ac:dyDescent="0.2">
      <c r="B24" s="245"/>
      <c r="C24" s="90"/>
      <c r="D24" s="90"/>
      <c r="E24" s="90"/>
    </row>
    <row r="25" spans="2:5" ht="15.75" x14ac:dyDescent="0.2">
      <c r="B25" s="245"/>
      <c r="C25" s="90"/>
      <c r="D25" s="90"/>
      <c r="E25" s="90"/>
    </row>
    <row r="26" spans="2:5" ht="15.75" x14ac:dyDescent="0.2">
      <c r="B26" s="245"/>
      <c r="C26" s="90"/>
      <c r="D26" s="90"/>
      <c r="E26" s="90"/>
    </row>
    <row r="27" spans="2:5" ht="15.75" x14ac:dyDescent="0.2">
      <c r="B27" s="245"/>
      <c r="C27" s="90"/>
      <c r="D27" s="90"/>
      <c r="E27" s="90"/>
    </row>
    <row r="28" spans="2:5" ht="15.75" x14ac:dyDescent="0.2">
      <c r="B28" s="245"/>
      <c r="C28" s="90"/>
      <c r="D28" s="90"/>
      <c r="E28" s="90"/>
    </row>
    <row r="29" spans="2:5" ht="15.75" x14ac:dyDescent="0.2">
      <c r="B29" s="245"/>
      <c r="C29" s="90"/>
      <c r="D29" s="90"/>
      <c r="E29" s="90"/>
    </row>
    <row r="30" spans="2:5" ht="15.75" x14ac:dyDescent="0.2">
      <c r="B30" s="245"/>
      <c r="C30" s="90"/>
      <c r="D30" s="90"/>
      <c r="E30" s="90"/>
    </row>
    <row r="31" spans="2:5" ht="15.75" x14ac:dyDescent="0.2">
      <c r="B31" s="245"/>
      <c r="C31" s="90"/>
      <c r="D31" s="90"/>
      <c r="E31" s="90"/>
    </row>
    <row r="32" spans="2:5" ht="15.75" x14ac:dyDescent="0.2">
      <c r="B32" s="245"/>
      <c r="C32" s="83"/>
      <c r="D32" s="83"/>
      <c r="E32" s="83"/>
    </row>
    <row r="33" spans="2:5" ht="15.75" x14ac:dyDescent="0.2">
      <c r="B33" s="245"/>
      <c r="C33" s="83"/>
      <c r="D33" s="83"/>
      <c r="E33" s="83"/>
    </row>
    <row r="34" spans="2:5" ht="15.75" x14ac:dyDescent="0.2">
      <c r="B34" s="245"/>
      <c r="C34" s="83"/>
      <c r="D34" s="83"/>
      <c r="E34" s="83"/>
    </row>
    <row r="35" spans="2:5" ht="15.75" x14ac:dyDescent="0.2">
      <c r="B35" s="245"/>
      <c r="C35" s="83"/>
      <c r="D35" s="83"/>
      <c r="E35" s="83"/>
    </row>
    <row r="36" spans="2:5" ht="15.75" x14ac:dyDescent="0.2">
      <c r="B36" s="245"/>
      <c r="C36" s="83"/>
      <c r="D36" s="83"/>
      <c r="E36" s="83"/>
    </row>
    <row r="37" spans="2:5" ht="15.75" x14ac:dyDescent="0.2">
      <c r="B37" s="245"/>
      <c r="C37" s="83"/>
      <c r="D37" s="83"/>
      <c r="E37" s="83"/>
    </row>
    <row r="38" spans="2:5" ht="15.75" x14ac:dyDescent="0.2">
      <c r="B38" s="245"/>
      <c r="C38" s="83"/>
      <c r="D38" s="83"/>
      <c r="E38" s="83"/>
    </row>
    <row r="39" spans="2:5" ht="15.75" x14ac:dyDescent="0.2">
      <c r="B39" s="245"/>
      <c r="C39" s="83"/>
      <c r="D39" s="83"/>
      <c r="E39" s="83"/>
    </row>
    <row r="40" spans="2:5" ht="15.75" x14ac:dyDescent="0.2">
      <c r="B40" s="245"/>
      <c r="C40" s="83"/>
      <c r="D40" s="83"/>
      <c r="E40" s="83"/>
    </row>
    <row r="41" spans="2:5" ht="15.75" x14ac:dyDescent="0.2">
      <c r="B41" s="249" t="str">
        <f>CONCATENATE("Cash Reserve (",E1," column)")</f>
        <v>Cash Reserve (2025 column)</v>
      </c>
      <c r="C41" s="83"/>
      <c r="D41" s="83"/>
      <c r="E41" s="83"/>
    </row>
    <row r="42" spans="2:5" ht="15.75" x14ac:dyDescent="0.2">
      <c r="B42" s="249" t="s">
        <v>118</v>
      </c>
      <c r="C42" s="83"/>
      <c r="D42" s="242"/>
      <c r="E42" s="242"/>
    </row>
    <row r="43" spans="2:5" ht="15.75" x14ac:dyDescent="0.2">
      <c r="B43" s="249" t="s">
        <v>333</v>
      </c>
      <c r="C43" s="371" t="str">
        <f>IF(C44*0.1&lt;C42,"Exceed 10% Rule","")</f>
        <v/>
      </c>
      <c r="D43" s="250" t="str">
        <f>IF(D44*0.1&lt;D42,"Exceed 10% Rule","")</f>
        <v/>
      </c>
      <c r="E43" s="250" t="str">
        <f>IF(E44*0.1&lt;E42,"Exceed 10% Rule","")</f>
        <v/>
      </c>
    </row>
    <row r="44" spans="2:5" ht="15.75" x14ac:dyDescent="0.2">
      <c r="B44" s="251" t="s">
        <v>178</v>
      </c>
      <c r="C44" s="253">
        <f>SUM(C21:C42)</f>
        <v>0</v>
      </c>
      <c r="D44" s="253">
        <f>SUM(D21:D42)</f>
        <v>0</v>
      </c>
      <c r="E44" s="253">
        <f>SUM(E21:E42)</f>
        <v>0</v>
      </c>
    </row>
    <row r="45" spans="2:5" ht="15.75" x14ac:dyDescent="0.2">
      <c r="B45" s="118" t="s">
        <v>19</v>
      </c>
      <c r="C45" s="92">
        <f>C19-C44</f>
        <v>0</v>
      </c>
      <c r="D45" s="92">
        <f>D19-D44</f>
        <v>0</v>
      </c>
      <c r="E45" s="92">
        <f>E19-E44</f>
        <v>0</v>
      </c>
    </row>
    <row r="46" spans="2:5" ht="15.75" x14ac:dyDescent="0.2">
      <c r="B46" s="164" t="str">
        <f>CONCATENATE("",E1-2,"/",E1-1,"/",E1," Budget Authority Amount:")</f>
        <v>2023/2024/2025 Budget Authority Amount:</v>
      </c>
      <c r="C46" s="270">
        <f>inputOth!B112</f>
        <v>0</v>
      </c>
      <c r="D46" s="270">
        <f>inputPrYr!D57</f>
        <v>0</v>
      </c>
      <c r="E46" s="527">
        <f>E44</f>
        <v>0</v>
      </c>
    </row>
    <row r="47" spans="2:5" ht="15.75" x14ac:dyDescent="0.2">
      <c r="B47" s="135"/>
      <c r="C47" s="255" t="str">
        <f>IF(C44&gt;C46,"See Tab A","")</f>
        <v/>
      </c>
      <c r="D47" s="255" t="str">
        <f>IF(D44&gt;D46,"See Tab C","")</f>
        <v/>
      </c>
      <c r="E47" s="528" t="str">
        <f>IF(E45&lt;0,"See Tab E","")</f>
        <v/>
      </c>
    </row>
    <row r="48" spans="2:5" ht="15.75" x14ac:dyDescent="0.2">
      <c r="B48" s="603" t="s">
        <v>513</v>
      </c>
      <c r="C48" s="528"/>
      <c r="D48" s="528"/>
      <c r="E48" s="593"/>
    </row>
    <row r="49" spans="2:5" ht="15.75" x14ac:dyDescent="0.2">
      <c r="B49" s="594"/>
      <c r="C49" s="255"/>
      <c r="D49" s="255"/>
      <c r="E49" s="595"/>
    </row>
    <row r="50" spans="2:5" ht="15.75" x14ac:dyDescent="0.2">
      <c r="B50" s="596"/>
      <c r="C50" s="597" t="str">
        <f>IF(C45&lt;0,"See Tab B","")</f>
        <v/>
      </c>
      <c r="D50" s="597" t="str">
        <f>IF(D45&lt;0,"See Tab D","")</f>
        <v/>
      </c>
      <c r="E50" s="126"/>
    </row>
    <row r="51" spans="2:5" x14ac:dyDescent="0.2">
      <c r="B51" s="84"/>
      <c r="C51" s="84"/>
      <c r="D51" s="84"/>
      <c r="E51" s="84"/>
    </row>
    <row r="52" spans="2:5" ht="15.75" x14ac:dyDescent="0.2">
      <c r="B52" s="135" t="s">
        <v>181</v>
      </c>
      <c r="C52" s="564"/>
      <c r="D52" s="84"/>
      <c r="E52" s="84"/>
    </row>
  </sheetData>
  <sheetProtection sheet="1"/>
  <phoneticPr fontId="8" type="noConversion"/>
  <conditionalFormatting sqref="C16">
    <cfRule type="cellIs" dxfId="32" priority="2" stopIfTrue="1" operator="greaterThan">
      <formula>$C$18*0.1</formula>
    </cfRule>
  </conditionalFormatting>
  <conditionalFormatting sqref="C42">
    <cfRule type="cellIs" dxfId="31" priority="5" stopIfTrue="1" operator="greaterThan">
      <formula>$C$44*0.1</formula>
    </cfRule>
  </conditionalFormatting>
  <conditionalFormatting sqref="C44">
    <cfRule type="cellIs" dxfId="30" priority="9" stopIfTrue="1" operator="greaterThan">
      <formula>$C$46</formula>
    </cfRule>
  </conditionalFormatting>
  <conditionalFormatting sqref="C45 E45">
    <cfRule type="cellIs" dxfId="29" priority="8" stopIfTrue="1" operator="lessThan">
      <formula>0</formula>
    </cfRule>
  </conditionalFormatting>
  <conditionalFormatting sqref="D16">
    <cfRule type="cellIs" dxfId="28" priority="3" stopIfTrue="1" operator="greaterThan">
      <formula>$D$18*0.1</formula>
    </cfRule>
  </conditionalFormatting>
  <conditionalFormatting sqref="D42">
    <cfRule type="cellIs" dxfId="27" priority="6" stopIfTrue="1" operator="greaterThan">
      <formula>$D$44*0.1</formula>
    </cfRule>
  </conditionalFormatting>
  <conditionalFormatting sqref="D44">
    <cfRule type="cellIs" dxfId="26" priority="10" stopIfTrue="1" operator="greaterThan">
      <formula>$D$46</formula>
    </cfRule>
  </conditionalFormatting>
  <conditionalFormatting sqref="D45">
    <cfRule type="cellIs" dxfId="25" priority="1" stopIfTrue="1" operator="lessThan">
      <formula>0</formula>
    </cfRule>
  </conditionalFormatting>
  <conditionalFormatting sqref="E16">
    <cfRule type="cellIs" dxfId="24" priority="4" stopIfTrue="1" operator="greaterThan">
      <formula>$E$18*0.1</formula>
    </cfRule>
  </conditionalFormatting>
  <conditionalFormatting sqref="E42">
    <cfRule type="cellIs" dxfId="23" priority="7" stopIfTrue="1" operator="greaterThan">
      <formula>$E$44*0.1</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B0F0"/>
    <pageSetUpPr fitToPage="1"/>
  </sheetPr>
  <dimension ref="B1:E52"/>
  <sheetViews>
    <sheetView workbookViewId="0">
      <selection activeCell="B42" sqref="B42"/>
    </sheetView>
  </sheetViews>
  <sheetFormatPr defaultColWidth="8.88671875" defaultRowHeight="15" x14ac:dyDescent="0.2"/>
  <cols>
    <col min="1" max="1" width="2.44140625" style="107" customWidth="1"/>
    <col min="2" max="2" width="31.109375" style="107" customWidth="1"/>
    <col min="3" max="4" width="15.77734375" style="107" customWidth="1"/>
    <col min="5" max="5" width="16.109375" style="107" customWidth="1"/>
    <col min="6" max="16384" width="8.88671875" style="107"/>
  </cols>
  <sheetData>
    <row r="1" spans="2:5" ht="15.75" x14ac:dyDescent="0.2">
      <c r="B1" s="89">
        <f>(inputPrYr!D3)</f>
        <v>0</v>
      </c>
      <c r="C1" s="69"/>
      <c r="D1" s="69"/>
      <c r="E1" s="238">
        <f>inputPrYr!$C$10</f>
        <v>2025</v>
      </c>
    </row>
    <row r="2" spans="2:5" ht="15.75" x14ac:dyDescent="0.2">
      <c r="B2" s="69"/>
      <c r="C2" s="69"/>
      <c r="D2" s="69"/>
      <c r="E2" s="161"/>
    </row>
    <row r="3" spans="2:5" ht="15.75" x14ac:dyDescent="0.2">
      <c r="B3" s="239" t="s">
        <v>6</v>
      </c>
      <c r="C3" s="240"/>
      <c r="D3" s="240"/>
      <c r="E3" s="241"/>
    </row>
    <row r="4" spans="2:5" ht="15.75" x14ac:dyDescent="0.2">
      <c r="B4" s="72" t="s">
        <v>162</v>
      </c>
      <c r="C4" s="392" t="s">
        <v>359</v>
      </c>
      <c r="D4" s="393" t="s">
        <v>360</v>
      </c>
      <c r="E4" s="142" t="s">
        <v>361</v>
      </c>
    </row>
    <row r="5" spans="2:5" ht="15.75" x14ac:dyDescent="0.2">
      <c r="B5" s="377">
        <f>(inputPrYr!B58)</f>
        <v>0</v>
      </c>
      <c r="C5" s="318" t="str">
        <f>CONCATENATE("Actual for ",E1-2,"")</f>
        <v>Actual for 2023</v>
      </c>
      <c r="D5" s="318" t="str">
        <f>CONCATENATE("Estimate for ",E1-1,"")</f>
        <v>Estimate for 2024</v>
      </c>
      <c r="E5" s="176" t="str">
        <f>CONCATENATE("Year for ",E1,"")</f>
        <v>Year for 2025</v>
      </c>
    </row>
    <row r="6" spans="2:5" ht="15.75" x14ac:dyDescent="0.2">
      <c r="B6" s="118" t="s">
        <v>18</v>
      </c>
      <c r="C6" s="83"/>
      <c r="D6" s="243">
        <f>C45</f>
        <v>0</v>
      </c>
      <c r="E6" s="243">
        <f>D45</f>
        <v>0</v>
      </c>
    </row>
    <row r="7" spans="2:5" ht="15.75" x14ac:dyDescent="0.2">
      <c r="B7" s="244" t="s">
        <v>20</v>
      </c>
      <c r="C7" s="95"/>
      <c r="D7" s="95"/>
      <c r="E7" s="95"/>
    </row>
    <row r="8" spans="2:5" ht="15.75" x14ac:dyDescent="0.2">
      <c r="B8" s="245"/>
      <c r="C8" s="83"/>
      <c r="D8" s="83"/>
      <c r="E8" s="83"/>
    </row>
    <row r="9" spans="2:5" ht="15.75" x14ac:dyDescent="0.2">
      <c r="B9" s="245"/>
      <c r="C9" s="83"/>
      <c r="D9" s="83"/>
      <c r="E9" s="83"/>
    </row>
    <row r="10" spans="2:5" ht="15.75" x14ac:dyDescent="0.2">
      <c r="B10" s="245"/>
      <c r="C10" s="83"/>
      <c r="D10" s="83"/>
      <c r="E10" s="83"/>
    </row>
    <row r="11" spans="2:5" ht="15.75" x14ac:dyDescent="0.2">
      <c r="B11" s="245"/>
      <c r="C11" s="83"/>
      <c r="D11" s="83"/>
      <c r="E11" s="83"/>
    </row>
    <row r="12" spans="2:5" ht="15.75" x14ac:dyDescent="0.2">
      <c r="B12" s="245"/>
      <c r="C12" s="83"/>
      <c r="D12" s="83"/>
      <c r="E12" s="83"/>
    </row>
    <row r="13" spans="2:5" ht="15.75" x14ac:dyDescent="0.2">
      <c r="B13" s="247"/>
      <c r="C13" s="90"/>
      <c r="D13" s="90"/>
      <c r="E13" s="90"/>
    </row>
    <row r="14" spans="2:5" ht="15.75" x14ac:dyDescent="0.2">
      <c r="B14" s="245"/>
      <c r="C14" s="83"/>
      <c r="D14" s="83"/>
      <c r="E14" s="83"/>
    </row>
    <row r="15" spans="2:5" ht="15.75" x14ac:dyDescent="0.2">
      <c r="B15" s="248" t="s">
        <v>170</v>
      </c>
      <c r="C15" s="83"/>
      <c r="D15" s="83"/>
      <c r="E15" s="83"/>
    </row>
    <row r="16" spans="2:5" ht="15.75" x14ac:dyDescent="0.2">
      <c r="B16" s="249" t="s">
        <v>118</v>
      </c>
      <c r="C16" s="83"/>
      <c r="D16" s="242"/>
      <c r="E16" s="242"/>
    </row>
    <row r="17" spans="2:5" ht="15.75" x14ac:dyDescent="0.2">
      <c r="B17" s="249" t="s">
        <v>334</v>
      </c>
      <c r="C17" s="371" t="str">
        <f>IF(C18*0.1&lt;C16,"Exceed 10% Rule","")</f>
        <v/>
      </c>
      <c r="D17" s="250" t="str">
        <f>IF(D18*0.1&lt;D16,"Exceed 10% Rule","")</f>
        <v/>
      </c>
      <c r="E17" s="250" t="str">
        <f>IF(E18*0.1&lt;E16,"Exceed 10% Rule","")</f>
        <v/>
      </c>
    </row>
    <row r="18" spans="2:5" ht="15.75" x14ac:dyDescent="0.2">
      <c r="B18" s="251" t="s">
        <v>171</v>
      </c>
      <c r="C18" s="253">
        <f>SUM(C8:C16)</f>
        <v>0</v>
      </c>
      <c r="D18" s="253">
        <f>SUM(D8:D16)</f>
        <v>0</v>
      </c>
      <c r="E18" s="253">
        <f>SUM(E8:E16)</f>
        <v>0</v>
      </c>
    </row>
    <row r="19" spans="2:5" ht="15.75" x14ac:dyDescent="0.2">
      <c r="B19" s="251" t="s">
        <v>172</v>
      </c>
      <c r="C19" s="253">
        <f>C6+C18</f>
        <v>0</v>
      </c>
      <c r="D19" s="253">
        <f>D6+D18</f>
        <v>0</v>
      </c>
      <c r="E19" s="253">
        <f>E6+E18</f>
        <v>0</v>
      </c>
    </row>
    <row r="20" spans="2:5" ht="15.75" x14ac:dyDescent="0.2">
      <c r="B20" s="118" t="s">
        <v>174</v>
      </c>
      <c r="C20" s="95"/>
      <c r="D20" s="95"/>
      <c r="E20" s="95"/>
    </row>
    <row r="21" spans="2:5" ht="15.75" x14ac:dyDescent="0.2">
      <c r="B21" s="245" t="s">
        <v>49</v>
      </c>
      <c r="C21" s="83"/>
      <c r="D21" s="83"/>
      <c r="E21" s="83"/>
    </row>
    <row r="22" spans="2:5" ht="15.75" x14ac:dyDescent="0.2">
      <c r="B22" s="245" t="s">
        <v>122</v>
      </c>
      <c r="C22" s="83"/>
      <c r="D22" s="83"/>
      <c r="E22" s="83"/>
    </row>
    <row r="23" spans="2:5" ht="15.75" x14ac:dyDescent="0.2">
      <c r="B23" s="245"/>
      <c r="C23" s="90"/>
      <c r="D23" s="90"/>
      <c r="E23" s="90"/>
    </row>
    <row r="24" spans="2:5" ht="15.75" x14ac:dyDescent="0.2">
      <c r="B24" s="245"/>
      <c r="C24" s="90"/>
      <c r="D24" s="90"/>
      <c r="E24" s="90"/>
    </row>
    <row r="25" spans="2:5" ht="15.75" x14ac:dyDescent="0.2">
      <c r="B25" s="245"/>
      <c r="C25" s="90"/>
      <c r="D25" s="90"/>
      <c r="E25" s="90"/>
    </row>
    <row r="26" spans="2:5" ht="15.75" x14ac:dyDescent="0.2">
      <c r="B26" s="245"/>
      <c r="C26" s="90"/>
      <c r="D26" s="90"/>
      <c r="E26" s="90"/>
    </row>
    <row r="27" spans="2:5" ht="15.75" x14ac:dyDescent="0.2">
      <c r="B27" s="245"/>
      <c r="C27" s="90"/>
      <c r="D27" s="90"/>
      <c r="E27" s="90"/>
    </row>
    <row r="28" spans="2:5" ht="15.75" x14ac:dyDescent="0.2">
      <c r="B28" s="245"/>
      <c r="C28" s="90"/>
      <c r="D28" s="90"/>
      <c r="E28" s="90"/>
    </row>
    <row r="29" spans="2:5" ht="15.75" x14ac:dyDescent="0.2">
      <c r="B29" s="245"/>
      <c r="C29" s="90"/>
      <c r="D29" s="90"/>
      <c r="E29" s="90"/>
    </row>
    <row r="30" spans="2:5" ht="15.75" x14ac:dyDescent="0.2">
      <c r="B30" s="245"/>
      <c r="C30" s="90"/>
      <c r="D30" s="90"/>
      <c r="E30" s="90"/>
    </row>
    <row r="31" spans="2:5" ht="15.75" x14ac:dyDescent="0.2">
      <c r="B31" s="245"/>
      <c r="C31" s="90"/>
      <c r="D31" s="90"/>
      <c r="E31" s="90"/>
    </row>
    <row r="32" spans="2:5" ht="15.75" x14ac:dyDescent="0.2">
      <c r="B32" s="245"/>
      <c r="C32" s="83"/>
      <c r="D32" s="83"/>
      <c r="E32" s="83"/>
    </row>
    <row r="33" spans="2:5" ht="15.75" x14ac:dyDescent="0.2">
      <c r="B33" s="245"/>
      <c r="C33" s="83"/>
      <c r="D33" s="83"/>
      <c r="E33" s="83"/>
    </row>
    <row r="34" spans="2:5" ht="15.75" x14ac:dyDescent="0.2">
      <c r="B34" s="245"/>
      <c r="C34" s="83"/>
      <c r="D34" s="83"/>
      <c r="E34" s="83"/>
    </row>
    <row r="35" spans="2:5" ht="15.75" x14ac:dyDescent="0.2">
      <c r="B35" s="245"/>
      <c r="C35" s="83"/>
      <c r="D35" s="83"/>
      <c r="E35" s="83"/>
    </row>
    <row r="36" spans="2:5" ht="15.75" x14ac:dyDescent="0.2">
      <c r="B36" s="245"/>
      <c r="C36" s="83"/>
      <c r="D36" s="83"/>
      <c r="E36" s="83"/>
    </row>
    <row r="37" spans="2:5" ht="15.75" x14ac:dyDescent="0.2">
      <c r="B37" s="245"/>
      <c r="C37" s="83"/>
      <c r="D37" s="83"/>
      <c r="E37" s="83"/>
    </row>
    <row r="38" spans="2:5" ht="15.75" x14ac:dyDescent="0.2">
      <c r="B38" s="245"/>
      <c r="C38" s="83"/>
      <c r="D38" s="83"/>
      <c r="E38" s="83"/>
    </row>
    <row r="39" spans="2:5" ht="15.75" x14ac:dyDescent="0.2">
      <c r="B39" s="245"/>
      <c r="C39" s="83"/>
      <c r="D39" s="83"/>
      <c r="E39" s="83"/>
    </row>
    <row r="40" spans="2:5" ht="15.75" x14ac:dyDescent="0.2">
      <c r="B40" s="245"/>
      <c r="C40" s="83"/>
      <c r="D40" s="83"/>
      <c r="E40" s="83"/>
    </row>
    <row r="41" spans="2:5" ht="15.75" x14ac:dyDescent="0.2">
      <c r="B41" s="249" t="str">
        <f>CONCATENATE("Cash Reserve (",E1," column)")</f>
        <v>Cash Reserve (2025 column)</v>
      </c>
      <c r="C41" s="83"/>
      <c r="D41" s="83"/>
      <c r="E41" s="83"/>
    </row>
    <row r="42" spans="2:5" ht="15.75" x14ac:dyDescent="0.2">
      <c r="B42" s="249" t="s">
        <v>118</v>
      </c>
      <c r="C42" s="83"/>
      <c r="D42" s="242"/>
      <c r="E42" s="242"/>
    </row>
    <row r="43" spans="2:5" ht="15.75" x14ac:dyDescent="0.2">
      <c r="B43" s="249" t="s">
        <v>333</v>
      </c>
      <c r="C43" s="371" t="str">
        <f>IF(C44*0.1&lt;C42,"Exceed 10% Rule","")</f>
        <v/>
      </c>
      <c r="D43" s="250" t="str">
        <f>IF(D44*0.1&lt;D42,"Exceed 10% Rule","")</f>
        <v/>
      </c>
      <c r="E43" s="250" t="str">
        <f>IF(E44*0.1&lt;E42,"Exceed 10% Rule","")</f>
        <v/>
      </c>
    </row>
    <row r="44" spans="2:5" ht="15.75" x14ac:dyDescent="0.2">
      <c r="B44" s="251" t="s">
        <v>178</v>
      </c>
      <c r="C44" s="253">
        <f>SUM(C21:C42)</f>
        <v>0</v>
      </c>
      <c r="D44" s="253">
        <f>SUM(D21:D42)</f>
        <v>0</v>
      </c>
      <c r="E44" s="253">
        <f>SUM(E21:E42)</f>
        <v>0</v>
      </c>
    </row>
    <row r="45" spans="2:5" ht="15.75" x14ac:dyDescent="0.2">
      <c r="B45" s="118" t="s">
        <v>19</v>
      </c>
      <c r="C45" s="92">
        <f>C19-C44</f>
        <v>0</v>
      </c>
      <c r="D45" s="92">
        <f>D19-D44</f>
        <v>0</v>
      </c>
      <c r="E45" s="92">
        <f>E19-E44</f>
        <v>0</v>
      </c>
    </row>
    <row r="46" spans="2:5" ht="15.75" x14ac:dyDescent="0.2">
      <c r="B46" s="164" t="str">
        <f>CONCATENATE("",E1-2,"/",E1-1,"/",E1," Budget Authority Amount:")</f>
        <v>2023/2024/2025 Budget Authority Amount:</v>
      </c>
      <c r="C46" s="270">
        <f>inputOth!B113</f>
        <v>0</v>
      </c>
      <c r="D46" s="270">
        <f>inputPrYr!D58</f>
        <v>0</v>
      </c>
      <c r="E46" s="527">
        <f>E44</f>
        <v>0</v>
      </c>
    </row>
    <row r="47" spans="2:5" ht="15.75" x14ac:dyDescent="0.2">
      <c r="B47" s="135"/>
      <c r="C47" s="255" t="str">
        <f>IF(C44&gt;C46,"See Tab A","")</f>
        <v/>
      </c>
      <c r="D47" s="255" t="str">
        <f>IF(D44&gt;D46,"See Tab C","")</f>
        <v/>
      </c>
      <c r="E47" s="528" t="str">
        <f>IF(E45&lt;0,"See Tab E","")</f>
        <v/>
      </c>
    </row>
    <row r="48" spans="2:5" ht="15.75" x14ac:dyDescent="0.2">
      <c r="B48" s="603" t="s">
        <v>513</v>
      </c>
      <c r="C48" s="528"/>
      <c r="D48" s="528"/>
      <c r="E48" s="593"/>
    </row>
    <row r="49" spans="2:5" ht="15.75" x14ac:dyDescent="0.2">
      <c r="B49" s="594"/>
      <c r="C49" s="255"/>
      <c r="D49" s="255"/>
      <c r="E49" s="595"/>
    </row>
    <row r="50" spans="2:5" ht="15.75" x14ac:dyDescent="0.2">
      <c r="B50" s="596"/>
      <c r="C50" s="597" t="str">
        <f>IF(C45&lt;0,"See Tab B","")</f>
        <v/>
      </c>
      <c r="D50" s="597" t="str">
        <f>IF(D45&lt;0,"See Tab D","")</f>
        <v/>
      </c>
      <c r="E50" s="126"/>
    </row>
    <row r="51" spans="2:5" ht="15.75" x14ac:dyDescent="0.2">
      <c r="B51" s="135"/>
      <c r="C51" s="255"/>
      <c r="D51" s="255"/>
      <c r="E51" s="84"/>
    </row>
    <row r="52" spans="2:5" ht="15.75" x14ac:dyDescent="0.2">
      <c r="B52" s="135" t="s">
        <v>181</v>
      </c>
      <c r="C52" s="564"/>
      <c r="D52" s="84"/>
      <c r="E52" s="84"/>
    </row>
  </sheetData>
  <sheetProtection sheet="1"/>
  <phoneticPr fontId="8" type="noConversion"/>
  <conditionalFormatting sqref="C16">
    <cfRule type="cellIs" dxfId="22" priority="2" stopIfTrue="1" operator="greaterThan">
      <formula>$C$18*0.1</formula>
    </cfRule>
  </conditionalFormatting>
  <conditionalFormatting sqref="C42">
    <cfRule type="cellIs" dxfId="21" priority="5" stopIfTrue="1" operator="greaterThan">
      <formula>$C$44*0.1</formula>
    </cfRule>
  </conditionalFormatting>
  <conditionalFormatting sqref="C44">
    <cfRule type="cellIs" dxfId="20" priority="9" stopIfTrue="1" operator="greaterThan">
      <formula>$C$46</formula>
    </cfRule>
  </conditionalFormatting>
  <conditionalFormatting sqref="C45 E45">
    <cfRule type="cellIs" dxfId="19" priority="8" stopIfTrue="1" operator="lessThan">
      <formula>0</formula>
    </cfRule>
  </conditionalFormatting>
  <conditionalFormatting sqref="D16">
    <cfRule type="cellIs" dxfId="18" priority="3" stopIfTrue="1" operator="greaterThan">
      <formula>$D$18*0.1</formula>
    </cfRule>
  </conditionalFormatting>
  <conditionalFormatting sqref="D42">
    <cfRule type="cellIs" dxfId="17" priority="6" stopIfTrue="1" operator="greaterThan">
      <formula>$D$44*0.1</formula>
    </cfRule>
  </conditionalFormatting>
  <conditionalFormatting sqref="D44">
    <cfRule type="cellIs" dxfId="16" priority="10" stopIfTrue="1" operator="greaterThan">
      <formula>$D$46</formula>
    </cfRule>
  </conditionalFormatting>
  <conditionalFormatting sqref="D45">
    <cfRule type="cellIs" dxfId="15" priority="1" stopIfTrue="1" operator="lessThan">
      <formula>0</formula>
    </cfRule>
  </conditionalFormatting>
  <conditionalFormatting sqref="E16">
    <cfRule type="cellIs" dxfId="14" priority="4" stopIfTrue="1" operator="greaterThan">
      <formula>$E$18*0.1</formula>
    </cfRule>
  </conditionalFormatting>
  <conditionalFormatting sqref="E42">
    <cfRule type="cellIs" dxfId="13" priority="7" stopIfTrue="1" operator="greaterThan">
      <formula>$E$44*0.1</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B0F0"/>
    <pageSetUpPr fitToPage="1"/>
  </sheetPr>
  <dimension ref="B1:E52"/>
  <sheetViews>
    <sheetView workbookViewId="0">
      <selection activeCell="B42" sqref="B42"/>
    </sheetView>
  </sheetViews>
  <sheetFormatPr defaultRowHeight="15" x14ac:dyDescent="0.2"/>
  <cols>
    <col min="1" max="1" width="2.44140625" customWidth="1"/>
    <col min="2" max="2" width="31.109375" customWidth="1"/>
    <col min="3" max="4" width="15.77734375" customWidth="1"/>
    <col min="5" max="5" width="16.21875" customWidth="1"/>
  </cols>
  <sheetData>
    <row r="1" spans="2:5" ht="15.75" x14ac:dyDescent="0.25">
      <c r="B1" s="14">
        <f>(inputPrYr!D3)</f>
        <v>0</v>
      </c>
      <c r="C1" s="6"/>
      <c r="D1" s="6"/>
      <c r="E1" s="28">
        <f>inputPrYr!$C$10</f>
        <v>2025</v>
      </c>
    </row>
    <row r="2" spans="2:5" ht="15.75" x14ac:dyDescent="0.25">
      <c r="B2" s="6"/>
      <c r="C2" s="6"/>
      <c r="D2" s="6"/>
      <c r="E2" s="8"/>
    </row>
    <row r="3" spans="2:5" ht="15.75" x14ac:dyDescent="0.25">
      <c r="B3" s="27" t="s">
        <v>6</v>
      </c>
      <c r="C3" s="31"/>
      <c r="D3" s="31"/>
      <c r="E3" s="32"/>
    </row>
    <row r="4" spans="2:5" ht="15.75" x14ac:dyDescent="0.25">
      <c r="B4" s="9" t="s">
        <v>162</v>
      </c>
      <c r="C4" s="392" t="s">
        <v>359</v>
      </c>
      <c r="D4" s="393" t="s">
        <v>360</v>
      </c>
      <c r="E4" s="142" t="s">
        <v>361</v>
      </c>
    </row>
    <row r="5" spans="2:5" ht="15.75" x14ac:dyDescent="0.25">
      <c r="B5" s="386">
        <f>(inputPrYr!B59)</f>
        <v>0</v>
      </c>
      <c r="C5" s="318" t="str">
        <f>CONCATENATE("Actual for ",E1-2,"")</f>
        <v>Actual for 2023</v>
      </c>
      <c r="D5" s="318" t="str">
        <f>CONCATENATE("Estimate for ",E1-1,"")</f>
        <v>Estimate for 2024</v>
      </c>
      <c r="E5" s="176" t="str">
        <f>CONCATENATE("Year for ",E1,"")</f>
        <v>Year for 2025</v>
      </c>
    </row>
    <row r="6" spans="2:5" ht="15.75" x14ac:dyDescent="0.25">
      <c r="B6" s="11" t="s">
        <v>18</v>
      </c>
      <c r="C6" s="359"/>
      <c r="D6" s="24">
        <f>C45</f>
        <v>0</v>
      </c>
      <c r="E6" s="24">
        <f>D45</f>
        <v>0</v>
      </c>
    </row>
    <row r="7" spans="2:5" ht="15.75" x14ac:dyDescent="0.25">
      <c r="B7" s="57" t="s">
        <v>20</v>
      </c>
      <c r="C7" s="12"/>
      <c r="D7" s="12"/>
      <c r="E7" s="12"/>
    </row>
    <row r="8" spans="2:5" ht="15.75" x14ac:dyDescent="0.25">
      <c r="B8" s="54"/>
      <c r="C8" s="359"/>
      <c r="D8" s="359"/>
      <c r="E8" s="359"/>
    </row>
    <row r="9" spans="2:5" ht="15.75" x14ac:dyDescent="0.25">
      <c r="B9" s="54"/>
      <c r="C9" s="359"/>
      <c r="D9" s="359"/>
      <c r="E9" s="359"/>
    </row>
    <row r="10" spans="2:5" ht="15.75" x14ac:dyDescent="0.25">
      <c r="B10" s="54"/>
      <c r="C10" s="359"/>
      <c r="D10" s="359"/>
      <c r="E10" s="359"/>
    </row>
    <row r="11" spans="2:5" ht="15.75" x14ac:dyDescent="0.25">
      <c r="B11" s="54"/>
      <c r="C11" s="359"/>
      <c r="D11" s="359"/>
      <c r="E11" s="359"/>
    </row>
    <row r="12" spans="2:5" ht="15.75" x14ac:dyDescent="0.25">
      <c r="B12" s="54"/>
      <c r="C12" s="359"/>
      <c r="D12" s="359"/>
      <c r="E12" s="359"/>
    </row>
    <row r="13" spans="2:5" ht="15.75" x14ac:dyDescent="0.25">
      <c r="B13" s="55"/>
      <c r="C13" s="360"/>
      <c r="D13" s="360"/>
      <c r="E13" s="360"/>
    </row>
    <row r="14" spans="2:5" ht="15.75" x14ac:dyDescent="0.25">
      <c r="B14" s="54"/>
      <c r="C14" s="359"/>
      <c r="D14" s="359"/>
      <c r="E14" s="359"/>
    </row>
    <row r="15" spans="2:5" ht="15.75" x14ac:dyDescent="0.25">
      <c r="B15" s="56" t="s">
        <v>170</v>
      </c>
      <c r="C15" s="359"/>
      <c r="D15" s="359"/>
      <c r="E15" s="359"/>
    </row>
    <row r="16" spans="2:5" ht="15.75" x14ac:dyDescent="0.25">
      <c r="B16" s="59" t="s">
        <v>118</v>
      </c>
      <c r="C16" s="359"/>
      <c r="D16" s="58"/>
      <c r="E16" s="58"/>
    </row>
    <row r="17" spans="2:5" ht="15.75" x14ac:dyDescent="0.25">
      <c r="B17" s="59" t="s">
        <v>334</v>
      </c>
      <c r="C17" s="372" t="str">
        <f>IF(C18*0.1&lt;C16,"Exceed 10% Rule","")</f>
        <v/>
      </c>
      <c r="D17" s="60" t="str">
        <f>IF(D18*0.1&lt;D16,"Exceed 10% Rule","")</f>
        <v/>
      </c>
      <c r="E17" s="60" t="str">
        <f>IF(E18*0.1&lt;E16,"Exceed 10% Rule","")</f>
        <v/>
      </c>
    </row>
    <row r="18" spans="2:5" ht="15.75" x14ac:dyDescent="0.25">
      <c r="B18" s="29" t="s">
        <v>171</v>
      </c>
      <c r="C18" s="51">
        <f>SUM(C8:C16)</f>
        <v>0</v>
      </c>
      <c r="D18" s="51">
        <f>SUM(D8:D16)</f>
        <v>0</v>
      </c>
      <c r="E18" s="51">
        <f>SUM(E8:E16)</f>
        <v>0</v>
      </c>
    </row>
    <row r="19" spans="2:5" ht="15.75" x14ac:dyDescent="0.25">
      <c r="B19" s="29" t="s">
        <v>172</v>
      </c>
      <c r="C19" s="51">
        <f>C6+C18</f>
        <v>0</v>
      </c>
      <c r="D19" s="51">
        <f>D6+D18</f>
        <v>0</v>
      </c>
      <c r="E19" s="51">
        <f>E6+E18</f>
        <v>0</v>
      </c>
    </row>
    <row r="20" spans="2:5" ht="15.75" x14ac:dyDescent="0.25">
      <c r="B20" s="11" t="s">
        <v>174</v>
      </c>
      <c r="C20" s="12"/>
      <c r="D20" s="12"/>
      <c r="E20" s="12"/>
    </row>
    <row r="21" spans="2:5" ht="15.75" x14ac:dyDescent="0.25">
      <c r="B21" s="54" t="s">
        <v>49</v>
      </c>
      <c r="C21" s="359"/>
      <c r="D21" s="359"/>
      <c r="E21" s="359"/>
    </row>
    <row r="22" spans="2:5" ht="15.75" x14ac:dyDescent="0.25">
      <c r="B22" s="54" t="s">
        <v>122</v>
      </c>
      <c r="C22" s="359"/>
      <c r="D22" s="359"/>
      <c r="E22" s="359"/>
    </row>
    <row r="23" spans="2:5" ht="15.75" x14ac:dyDescent="0.25">
      <c r="B23" s="54"/>
      <c r="C23" s="360"/>
      <c r="D23" s="360"/>
      <c r="E23" s="360"/>
    </row>
    <row r="24" spans="2:5" ht="15.75" x14ac:dyDescent="0.25">
      <c r="B24" s="54"/>
      <c r="C24" s="360"/>
      <c r="D24" s="360"/>
      <c r="E24" s="360"/>
    </row>
    <row r="25" spans="2:5" ht="15.75" x14ac:dyDescent="0.25">
      <c r="B25" s="54"/>
      <c r="C25" s="360"/>
      <c r="D25" s="360"/>
      <c r="E25" s="360"/>
    </row>
    <row r="26" spans="2:5" ht="15.75" x14ac:dyDescent="0.25">
      <c r="B26" s="54"/>
      <c r="C26" s="360"/>
      <c r="D26" s="360"/>
      <c r="E26" s="360"/>
    </row>
    <row r="27" spans="2:5" ht="15.75" x14ac:dyDescent="0.25">
      <c r="B27" s="54"/>
      <c r="C27" s="360"/>
      <c r="D27" s="360"/>
      <c r="E27" s="360"/>
    </row>
    <row r="28" spans="2:5" ht="15.75" x14ac:dyDescent="0.25">
      <c r="B28" s="54"/>
      <c r="C28" s="360"/>
      <c r="D28" s="360"/>
      <c r="E28" s="360"/>
    </row>
    <row r="29" spans="2:5" ht="15.75" x14ac:dyDescent="0.25">
      <c r="B29" s="54"/>
      <c r="C29" s="360"/>
      <c r="D29" s="360"/>
      <c r="E29" s="360"/>
    </row>
    <row r="30" spans="2:5" ht="15.75" x14ac:dyDescent="0.25">
      <c r="B30" s="54"/>
      <c r="C30" s="360"/>
      <c r="D30" s="360"/>
      <c r="E30" s="360"/>
    </row>
    <row r="31" spans="2:5" ht="15.75" x14ac:dyDescent="0.25">
      <c r="B31" s="54"/>
      <c r="C31" s="360"/>
      <c r="D31" s="360"/>
      <c r="E31" s="360"/>
    </row>
    <row r="32" spans="2:5" ht="15.75" x14ac:dyDescent="0.25">
      <c r="B32" s="54"/>
      <c r="C32" s="359"/>
      <c r="D32" s="359"/>
      <c r="E32" s="359"/>
    </row>
    <row r="33" spans="2:5" ht="15.75" x14ac:dyDescent="0.25">
      <c r="B33" s="54"/>
      <c r="C33" s="359"/>
      <c r="D33" s="359"/>
      <c r="E33" s="359"/>
    </row>
    <row r="34" spans="2:5" ht="15.75" x14ac:dyDescent="0.25">
      <c r="B34" s="54"/>
      <c r="C34" s="359"/>
      <c r="D34" s="359"/>
      <c r="E34" s="359"/>
    </row>
    <row r="35" spans="2:5" ht="15.75" x14ac:dyDescent="0.25">
      <c r="B35" s="54"/>
      <c r="C35" s="359"/>
      <c r="D35" s="359"/>
      <c r="E35" s="359"/>
    </row>
    <row r="36" spans="2:5" ht="15.75" x14ac:dyDescent="0.25">
      <c r="B36" s="54"/>
      <c r="C36" s="359"/>
      <c r="D36" s="359"/>
      <c r="E36" s="359"/>
    </row>
    <row r="37" spans="2:5" ht="15.75" x14ac:dyDescent="0.25">
      <c r="B37" s="54"/>
      <c r="C37" s="359"/>
      <c r="D37" s="359"/>
      <c r="E37" s="359"/>
    </row>
    <row r="38" spans="2:5" ht="15.75" x14ac:dyDescent="0.25">
      <c r="B38" s="54"/>
      <c r="C38" s="359"/>
      <c r="D38" s="359"/>
      <c r="E38" s="359"/>
    </row>
    <row r="39" spans="2:5" ht="15.75" x14ac:dyDescent="0.25">
      <c r="B39" s="54"/>
      <c r="C39" s="359"/>
      <c r="D39" s="359"/>
      <c r="E39" s="359"/>
    </row>
    <row r="40" spans="2:5" ht="15.75" x14ac:dyDescent="0.25">
      <c r="B40" s="54"/>
      <c r="C40" s="359"/>
      <c r="D40" s="359"/>
      <c r="E40" s="359"/>
    </row>
    <row r="41" spans="2:5" ht="15.75" x14ac:dyDescent="0.25">
      <c r="B41" s="59" t="str">
        <f>CONCATENATE("Cash Reserve (",E1," column)")</f>
        <v>Cash Reserve (2025 column)</v>
      </c>
      <c r="C41" s="359"/>
      <c r="D41" s="359"/>
      <c r="E41" s="359"/>
    </row>
    <row r="42" spans="2:5" ht="15.75" x14ac:dyDescent="0.25">
      <c r="B42" s="59" t="s">
        <v>118</v>
      </c>
      <c r="C42" s="359"/>
      <c r="D42" s="58"/>
      <c r="E42" s="58"/>
    </row>
    <row r="43" spans="2:5" ht="15.75" x14ac:dyDescent="0.25">
      <c r="B43" s="59" t="s">
        <v>333</v>
      </c>
      <c r="C43" s="372" t="str">
        <f>IF(C44*0.1&lt;C42,"Exceed 10% Rule","")</f>
        <v/>
      </c>
      <c r="D43" s="60" t="str">
        <f>IF(D44*0.1&lt;D42,"Exceed 10% Rule","")</f>
        <v/>
      </c>
      <c r="E43" s="60" t="str">
        <f>IF(E44*0.1&lt;E42,"Exceed 10% Rule","")</f>
        <v/>
      </c>
    </row>
    <row r="44" spans="2:5" ht="15.75" x14ac:dyDescent="0.25">
      <c r="B44" s="29" t="s">
        <v>178</v>
      </c>
      <c r="C44" s="51">
        <f>SUM(C21:C42)</f>
        <v>0</v>
      </c>
      <c r="D44" s="51">
        <f>SUM(D21:D42)</f>
        <v>0</v>
      </c>
      <c r="E44" s="51">
        <f>SUM(E21:E42)</f>
        <v>0</v>
      </c>
    </row>
    <row r="45" spans="2:5" ht="15.75" x14ac:dyDescent="0.25">
      <c r="B45" s="11" t="s">
        <v>19</v>
      </c>
      <c r="C45" s="50">
        <f>C19-C44</f>
        <v>0</v>
      </c>
      <c r="D45" s="50">
        <f>D19-D44</f>
        <v>0</v>
      </c>
      <c r="E45" s="50">
        <f>E19-E44</f>
        <v>0</v>
      </c>
    </row>
    <row r="46" spans="2:5" ht="15.75" x14ac:dyDescent="0.25">
      <c r="B46" s="530" t="str">
        <f>CONCATENATE("",E1-2,"/",E1-1,"/",E1," Budget Authority Amount:")</f>
        <v>2023/2024/2025 Budget Authority Amount:</v>
      </c>
      <c r="C46" s="529">
        <f>inputOth!B114</f>
        <v>0</v>
      </c>
      <c r="D46" s="529">
        <f>inputPrYr!D59</f>
        <v>0</v>
      </c>
      <c r="E46" s="531">
        <f>E44</f>
        <v>0</v>
      </c>
    </row>
    <row r="47" spans="2:5" ht="15.75" x14ac:dyDescent="0.25">
      <c r="B47" s="7"/>
      <c r="C47" s="255" t="str">
        <f>IF(C44&gt;C46,"See Tab A","")</f>
        <v/>
      </c>
      <c r="D47" s="255" t="str">
        <f>IF(D44&gt;D46,"See Tab C","")</f>
        <v/>
      </c>
      <c r="E47" s="528" t="str">
        <f>IF(E45&lt;0,"See Tab E","")</f>
        <v/>
      </c>
    </row>
    <row r="48" spans="2:5" ht="15.75" x14ac:dyDescent="0.25">
      <c r="B48" s="604" t="s">
        <v>513</v>
      </c>
      <c r="C48" s="528"/>
      <c r="D48" s="528"/>
      <c r="E48" s="593"/>
    </row>
    <row r="49" spans="2:5" ht="15.75" x14ac:dyDescent="0.25">
      <c r="B49" s="598"/>
      <c r="C49" s="255"/>
      <c r="D49" s="255"/>
      <c r="E49" s="595"/>
    </row>
    <row r="50" spans="2:5" ht="15.75" x14ac:dyDescent="0.25">
      <c r="B50" s="599"/>
      <c r="C50" s="597" t="str">
        <f>IF(C45&lt;0,"See Tab B","")</f>
        <v/>
      </c>
      <c r="D50" s="597" t="str">
        <f>IF(D45&lt;0,"See Tab D","")</f>
        <v/>
      </c>
      <c r="E50" s="600"/>
    </row>
    <row r="51" spans="2:5" x14ac:dyDescent="0.2">
      <c r="B51" s="30"/>
      <c r="C51" s="30"/>
      <c r="D51" s="30"/>
      <c r="E51" s="30"/>
    </row>
    <row r="52" spans="2:5" ht="15.75" x14ac:dyDescent="0.25">
      <c r="B52" s="135" t="s">
        <v>181</v>
      </c>
      <c r="C52" s="565"/>
      <c r="D52" s="30"/>
      <c r="E52" s="30"/>
    </row>
  </sheetData>
  <sheetProtection sheet="1"/>
  <phoneticPr fontId="8" type="noConversion"/>
  <conditionalFormatting sqref="C16">
    <cfRule type="cellIs" dxfId="12" priority="2" stopIfTrue="1" operator="greaterThan">
      <formula>$C$18*0.1</formula>
    </cfRule>
  </conditionalFormatting>
  <conditionalFormatting sqref="C42">
    <cfRule type="cellIs" dxfId="11" priority="5" stopIfTrue="1" operator="greaterThan">
      <formula>$C$44*0.1</formula>
    </cfRule>
  </conditionalFormatting>
  <conditionalFormatting sqref="C44">
    <cfRule type="cellIs" dxfId="10" priority="9" stopIfTrue="1" operator="greaterThan">
      <formula>$C$46</formula>
    </cfRule>
  </conditionalFormatting>
  <conditionalFormatting sqref="C45 E45">
    <cfRule type="cellIs" dxfId="9" priority="8" stopIfTrue="1" operator="lessThan">
      <formula>0</formula>
    </cfRule>
  </conditionalFormatting>
  <conditionalFormatting sqref="D16">
    <cfRule type="cellIs" dxfId="8" priority="3" stopIfTrue="1" operator="greaterThan">
      <formula>$D$18*0.1</formula>
    </cfRule>
  </conditionalFormatting>
  <conditionalFormatting sqref="D42">
    <cfRule type="cellIs" dxfId="7" priority="6" stopIfTrue="1" operator="greaterThan">
      <formula>$D$44*0.1</formula>
    </cfRule>
  </conditionalFormatting>
  <conditionalFormatting sqref="D44">
    <cfRule type="cellIs" dxfId="6" priority="10" stopIfTrue="1" operator="greaterThan">
      <formula>$D$46</formula>
    </cfRule>
  </conditionalFormatting>
  <conditionalFormatting sqref="D45">
    <cfRule type="cellIs" dxfId="5" priority="1" stopIfTrue="1" operator="lessThan">
      <formula>0</formula>
    </cfRule>
  </conditionalFormatting>
  <conditionalFormatting sqref="E16">
    <cfRule type="cellIs" dxfId="4" priority="4" stopIfTrue="1" operator="greaterThan">
      <formula>$E$18*0.1</formula>
    </cfRule>
  </conditionalFormatting>
  <conditionalFormatting sqref="E42">
    <cfRule type="cellIs" dxfId="3" priority="7" stopIfTrue="1" operator="greaterThan">
      <formula>$E$44*0.1</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B0F0"/>
    <pageSetUpPr fitToPage="1"/>
  </sheetPr>
  <dimension ref="A1:L45"/>
  <sheetViews>
    <sheetView workbookViewId="0">
      <selection activeCell="L1" sqref="L1"/>
    </sheetView>
  </sheetViews>
  <sheetFormatPr defaultColWidth="8.88671875" defaultRowHeight="15.75" x14ac:dyDescent="0.2"/>
  <cols>
    <col min="1" max="1" width="11.5546875" style="63" customWidth="1"/>
    <col min="2" max="2" width="7.44140625" style="63" customWidth="1"/>
    <col min="3" max="3" width="11.5546875" style="63" customWidth="1"/>
    <col min="4" max="4" width="7.44140625" style="63" customWidth="1"/>
    <col min="5" max="5" width="11.5546875" style="63" customWidth="1"/>
    <col min="6" max="6" width="7.44140625" style="63" customWidth="1"/>
    <col min="7" max="7" width="11.5546875" style="63" customWidth="1"/>
    <col min="8" max="8" width="7.44140625" style="63" customWidth="1"/>
    <col min="9" max="9" width="11.5546875" style="63" customWidth="1"/>
    <col min="10" max="16384" width="8.88671875" style="63"/>
  </cols>
  <sheetData>
    <row r="1" spans="1:11" x14ac:dyDescent="0.2">
      <c r="A1" s="89">
        <f>inputPrYr!$D$3</f>
        <v>0</v>
      </c>
      <c r="B1" s="121"/>
      <c r="C1" s="69"/>
      <c r="D1" s="69"/>
      <c r="E1" s="69"/>
      <c r="F1" s="165" t="s">
        <v>32</v>
      </c>
      <c r="G1" s="69"/>
      <c r="H1" s="69"/>
      <c r="I1" s="69"/>
      <c r="J1" s="69"/>
      <c r="K1" s="69">
        <f>inputPrYr!$C$10</f>
        <v>2025</v>
      </c>
    </row>
    <row r="2" spans="1:11" x14ac:dyDescent="0.2">
      <c r="A2" s="811" t="str">
        <f>CONCATENATE("(Only the actual budget year for ",K1-2," is reported)")</f>
        <v>(Only the actual budget year for 2023 is reported)</v>
      </c>
      <c r="B2" s="811"/>
      <c r="C2" s="811"/>
      <c r="D2" s="811"/>
      <c r="E2" s="811"/>
      <c r="F2" s="811"/>
      <c r="G2" s="811"/>
      <c r="H2" s="811"/>
      <c r="I2" s="811"/>
      <c r="J2" s="811"/>
      <c r="K2" s="811"/>
    </row>
    <row r="3" spans="1:11" x14ac:dyDescent="0.2">
      <c r="A3" s="69" t="s">
        <v>69</v>
      </c>
      <c r="B3" s="69"/>
      <c r="C3" s="69"/>
      <c r="D3" s="69"/>
      <c r="E3" s="69"/>
      <c r="F3" s="121"/>
      <c r="G3" s="69"/>
      <c r="H3" s="69"/>
      <c r="I3" s="69"/>
      <c r="J3" s="69"/>
      <c r="K3" s="69"/>
    </row>
    <row r="4" spans="1:11" x14ac:dyDescent="0.2">
      <c r="A4" s="69" t="s">
        <v>33</v>
      </c>
      <c r="B4" s="69"/>
      <c r="C4" s="69" t="s">
        <v>34</v>
      </c>
      <c r="D4" s="69"/>
      <c r="E4" s="69" t="s">
        <v>35</v>
      </c>
      <c r="F4" s="121"/>
      <c r="G4" s="69" t="s">
        <v>36</v>
      </c>
      <c r="H4" s="69"/>
      <c r="I4" s="69" t="s">
        <v>37</v>
      </c>
      <c r="J4" s="69"/>
      <c r="K4" s="69"/>
    </row>
    <row r="5" spans="1:11" x14ac:dyDescent="0.2">
      <c r="A5" s="813" t="str">
        <f>IF(inputPrYr!B62&gt;" ",(inputPrYr!B62)," ")</f>
        <v xml:space="preserve"> </v>
      </c>
      <c r="B5" s="814"/>
      <c r="C5" s="813" t="str">
        <f>IF(inputPrYr!B63&gt;" ",(inputPrYr!B63)," ")</f>
        <v xml:space="preserve"> </v>
      </c>
      <c r="D5" s="814"/>
      <c r="E5" s="813" t="str">
        <f>IF(inputPrYr!B64&gt;" ",(inputPrYr!B64)," ")</f>
        <v xml:space="preserve"> </v>
      </c>
      <c r="F5" s="814"/>
      <c r="G5" s="813" t="str">
        <f>IF(inputPrYr!B65&gt;" ",(inputPrYr!B65)," ")</f>
        <v xml:space="preserve"> </v>
      </c>
      <c r="H5" s="814"/>
      <c r="I5" s="813" t="str">
        <f>IF(inputPrYr!B66&gt;" ",(inputPrYr!B66)," ")</f>
        <v xml:space="preserve"> </v>
      </c>
      <c r="J5" s="814"/>
      <c r="K5" s="76"/>
    </row>
    <row r="6" spans="1:11" x14ac:dyDescent="0.2">
      <c r="A6" s="217" t="s">
        <v>38</v>
      </c>
      <c r="B6" s="218"/>
      <c r="C6" s="219" t="s">
        <v>38</v>
      </c>
      <c r="D6" s="220"/>
      <c r="E6" s="219" t="s">
        <v>38</v>
      </c>
      <c r="F6" s="157"/>
      <c r="G6" s="219" t="s">
        <v>38</v>
      </c>
      <c r="H6" s="99"/>
      <c r="I6" s="219" t="s">
        <v>38</v>
      </c>
      <c r="J6" s="69"/>
      <c r="K6" s="153" t="s">
        <v>142</v>
      </c>
    </row>
    <row r="7" spans="1:11" x14ac:dyDescent="0.2">
      <c r="A7" s="221" t="s">
        <v>121</v>
      </c>
      <c r="B7" s="222"/>
      <c r="C7" s="223" t="s">
        <v>121</v>
      </c>
      <c r="D7" s="222"/>
      <c r="E7" s="223" t="s">
        <v>121</v>
      </c>
      <c r="F7" s="222"/>
      <c r="G7" s="223" t="s">
        <v>121</v>
      </c>
      <c r="H7" s="222"/>
      <c r="I7" s="223" t="s">
        <v>121</v>
      </c>
      <c r="J7" s="222"/>
      <c r="K7" s="224">
        <f>SUM(B7+D7+F7+H7+J7)</f>
        <v>0</v>
      </c>
    </row>
    <row r="8" spans="1:11" x14ac:dyDescent="0.2">
      <c r="A8" s="225" t="s">
        <v>20</v>
      </c>
      <c r="B8" s="226"/>
      <c r="C8" s="225" t="s">
        <v>20</v>
      </c>
      <c r="D8" s="227"/>
      <c r="E8" s="225" t="s">
        <v>20</v>
      </c>
      <c r="F8" s="121"/>
      <c r="G8" s="225" t="s">
        <v>20</v>
      </c>
      <c r="H8" s="69"/>
      <c r="I8" s="225" t="s">
        <v>20</v>
      </c>
      <c r="J8" s="69"/>
      <c r="K8" s="121"/>
    </row>
    <row r="9" spans="1:11" x14ac:dyDescent="0.2">
      <c r="A9" s="228"/>
      <c r="B9" s="222"/>
      <c r="C9" s="228"/>
      <c r="D9" s="222"/>
      <c r="E9" s="228"/>
      <c r="F9" s="222"/>
      <c r="G9" s="228"/>
      <c r="H9" s="222"/>
      <c r="I9" s="228"/>
      <c r="J9" s="222"/>
      <c r="K9" s="121"/>
    </row>
    <row r="10" spans="1:11" x14ac:dyDescent="0.2">
      <c r="A10" s="228"/>
      <c r="B10" s="222"/>
      <c r="C10" s="228"/>
      <c r="D10" s="222"/>
      <c r="E10" s="228"/>
      <c r="F10" s="222"/>
      <c r="G10" s="228"/>
      <c r="H10" s="222"/>
      <c r="I10" s="228"/>
      <c r="J10" s="222"/>
      <c r="K10" s="121"/>
    </row>
    <row r="11" spans="1:11" x14ac:dyDescent="0.2">
      <c r="A11" s="228"/>
      <c r="B11" s="222"/>
      <c r="C11" s="229"/>
      <c r="D11" s="222"/>
      <c r="E11" s="230"/>
      <c r="F11" s="222"/>
      <c r="G11" s="230"/>
      <c r="H11" s="222"/>
      <c r="I11" s="231"/>
      <c r="J11" s="222"/>
      <c r="K11" s="121"/>
    </row>
    <row r="12" spans="1:11" x14ac:dyDescent="0.2">
      <c r="A12" s="228"/>
      <c r="B12" s="222"/>
      <c r="C12" s="228"/>
      <c r="D12" s="222"/>
      <c r="E12" s="232"/>
      <c r="F12" s="222"/>
      <c r="G12" s="232"/>
      <c r="H12" s="222"/>
      <c r="I12" s="232"/>
      <c r="J12" s="222"/>
      <c r="K12" s="121"/>
    </row>
    <row r="13" spans="1:11" x14ac:dyDescent="0.2">
      <c r="A13" s="233"/>
      <c r="B13" s="222"/>
      <c r="C13" s="234"/>
      <c r="D13" s="222"/>
      <c r="E13" s="234"/>
      <c r="F13" s="222"/>
      <c r="G13" s="234"/>
      <c r="H13" s="222"/>
      <c r="I13" s="231"/>
      <c r="J13" s="222"/>
      <c r="K13" s="121"/>
    </row>
    <row r="14" spans="1:11" x14ac:dyDescent="0.2">
      <c r="A14" s="228"/>
      <c r="B14" s="222"/>
      <c r="C14" s="232"/>
      <c r="D14" s="222"/>
      <c r="E14" s="232"/>
      <c r="F14" s="222"/>
      <c r="G14" s="232"/>
      <c r="H14" s="222"/>
      <c r="I14" s="232"/>
      <c r="J14" s="222"/>
      <c r="K14" s="121"/>
    </row>
    <row r="15" spans="1:11" x14ac:dyDescent="0.2">
      <c r="A15" s="228"/>
      <c r="B15" s="222"/>
      <c r="C15" s="232"/>
      <c r="D15" s="222"/>
      <c r="E15" s="232"/>
      <c r="F15" s="222"/>
      <c r="G15" s="232"/>
      <c r="H15" s="222"/>
      <c r="I15" s="232"/>
      <c r="J15" s="222"/>
      <c r="K15" s="121"/>
    </row>
    <row r="16" spans="1:11" x14ac:dyDescent="0.2">
      <c r="A16" s="228"/>
      <c r="B16" s="222"/>
      <c r="C16" s="228"/>
      <c r="D16" s="222"/>
      <c r="E16" s="228"/>
      <c r="F16" s="222"/>
      <c r="G16" s="232"/>
      <c r="H16" s="222"/>
      <c r="I16" s="228"/>
      <c r="J16" s="222"/>
      <c r="K16" s="121"/>
    </row>
    <row r="17" spans="1:12" x14ac:dyDescent="0.2">
      <c r="A17" s="225" t="s">
        <v>171</v>
      </c>
      <c r="B17" s="224">
        <f>SUM(B9:B16)</f>
        <v>0</v>
      </c>
      <c r="C17" s="225" t="s">
        <v>171</v>
      </c>
      <c r="D17" s="224">
        <f>SUM(D9:D16)</f>
        <v>0</v>
      </c>
      <c r="E17" s="225" t="s">
        <v>171</v>
      </c>
      <c r="F17" s="309">
        <f>SUM(F9:F16)</f>
        <v>0</v>
      </c>
      <c r="G17" s="225" t="s">
        <v>171</v>
      </c>
      <c r="H17" s="224">
        <f>SUM(H9:H16)</f>
        <v>0</v>
      </c>
      <c r="I17" s="225" t="s">
        <v>171</v>
      </c>
      <c r="J17" s="224">
        <f>SUM(J9:J16)</f>
        <v>0</v>
      </c>
      <c r="K17" s="224">
        <f>SUM(B17+D17+F17+H17+J17)</f>
        <v>0</v>
      </c>
    </row>
    <row r="18" spans="1:12" x14ac:dyDescent="0.2">
      <c r="A18" s="225" t="s">
        <v>172</v>
      </c>
      <c r="B18" s="224">
        <f>SUM(B7+B17)</f>
        <v>0</v>
      </c>
      <c r="C18" s="225" t="s">
        <v>172</v>
      </c>
      <c r="D18" s="224">
        <f>SUM(D7+D17)</f>
        <v>0</v>
      </c>
      <c r="E18" s="225" t="s">
        <v>172</v>
      </c>
      <c r="F18" s="224">
        <f>SUM(F7+F17)</f>
        <v>0</v>
      </c>
      <c r="G18" s="225" t="s">
        <v>172</v>
      </c>
      <c r="H18" s="224">
        <f>SUM(H7+H17)</f>
        <v>0</v>
      </c>
      <c r="I18" s="225" t="s">
        <v>172</v>
      </c>
      <c r="J18" s="224">
        <f>SUM(J7+J17)</f>
        <v>0</v>
      </c>
      <c r="K18" s="224">
        <f>SUM(B18+D18+F18+H18+J18)</f>
        <v>0</v>
      </c>
    </row>
    <row r="19" spans="1:12" x14ac:dyDescent="0.2">
      <c r="A19" s="225" t="s">
        <v>174</v>
      </c>
      <c r="B19" s="226"/>
      <c r="C19" s="225" t="s">
        <v>174</v>
      </c>
      <c r="D19" s="227"/>
      <c r="E19" s="225" t="s">
        <v>174</v>
      </c>
      <c r="F19" s="121"/>
      <c r="G19" s="225" t="s">
        <v>174</v>
      </c>
      <c r="H19" s="69"/>
      <c r="I19" s="225" t="s">
        <v>174</v>
      </c>
      <c r="J19" s="69"/>
      <c r="K19" s="121"/>
    </row>
    <row r="20" spans="1:12" x14ac:dyDescent="0.2">
      <c r="A20" s="228"/>
      <c r="B20" s="222"/>
      <c r="C20" s="232"/>
      <c r="D20" s="222"/>
      <c r="E20" s="232"/>
      <c r="F20" s="222"/>
      <c r="G20" s="232"/>
      <c r="H20" s="222"/>
      <c r="I20" s="232"/>
      <c r="J20" s="222"/>
      <c r="K20" s="121"/>
    </row>
    <row r="21" spans="1:12" x14ac:dyDescent="0.2">
      <c r="A21" s="228"/>
      <c r="B21" s="222"/>
      <c r="C21" s="232"/>
      <c r="D21" s="222"/>
      <c r="E21" s="232"/>
      <c r="F21" s="222"/>
      <c r="G21" s="232"/>
      <c r="H21" s="222"/>
      <c r="I21" s="232"/>
      <c r="J21" s="222"/>
      <c r="K21" s="121"/>
    </row>
    <row r="22" spans="1:12" x14ac:dyDescent="0.2">
      <c r="A22" s="228"/>
      <c r="B22" s="222"/>
      <c r="C22" s="234"/>
      <c r="D22" s="222"/>
      <c r="E22" s="234"/>
      <c r="F22" s="222"/>
      <c r="G22" s="234"/>
      <c r="H22" s="222"/>
      <c r="I22" s="231"/>
      <c r="J22" s="222"/>
      <c r="K22" s="121"/>
    </row>
    <row r="23" spans="1:12" x14ac:dyDescent="0.2">
      <c r="A23" s="228"/>
      <c r="B23" s="222"/>
      <c r="C23" s="232"/>
      <c r="D23" s="222"/>
      <c r="E23" s="232"/>
      <c r="F23" s="222"/>
      <c r="G23" s="232"/>
      <c r="H23" s="222"/>
      <c r="I23" s="232"/>
      <c r="J23" s="222"/>
      <c r="K23" s="121"/>
    </row>
    <row r="24" spans="1:12" x14ac:dyDescent="0.2">
      <c r="A24" s="228"/>
      <c r="B24" s="222"/>
      <c r="C24" s="234"/>
      <c r="D24" s="222"/>
      <c r="E24" s="234"/>
      <c r="F24" s="222"/>
      <c r="G24" s="234"/>
      <c r="H24" s="222"/>
      <c r="I24" s="231"/>
      <c r="J24" s="222"/>
      <c r="K24" s="121"/>
    </row>
    <row r="25" spans="1:12" x14ac:dyDescent="0.2">
      <c r="A25" s="228"/>
      <c r="B25" s="222"/>
      <c r="C25" s="232"/>
      <c r="D25" s="222"/>
      <c r="E25" s="232"/>
      <c r="F25" s="222"/>
      <c r="G25" s="232"/>
      <c r="H25" s="222"/>
      <c r="I25" s="232"/>
      <c r="J25" s="222"/>
      <c r="K25" s="121"/>
    </row>
    <row r="26" spans="1:12" x14ac:dyDescent="0.2">
      <c r="A26" s="228"/>
      <c r="B26" s="222"/>
      <c r="C26" s="232"/>
      <c r="D26" s="222"/>
      <c r="E26" s="232"/>
      <c r="F26" s="222"/>
      <c r="G26" s="232"/>
      <c r="H26" s="222"/>
      <c r="I26" s="232"/>
      <c r="J26" s="222"/>
      <c r="K26" s="121"/>
    </row>
    <row r="27" spans="1:12" x14ac:dyDescent="0.2">
      <c r="A27" s="228"/>
      <c r="B27" s="222"/>
      <c r="C27" s="228"/>
      <c r="D27" s="222"/>
      <c r="E27" s="228"/>
      <c r="F27" s="222"/>
      <c r="G27" s="232"/>
      <c r="H27" s="222"/>
      <c r="I27" s="232"/>
      <c r="J27" s="222"/>
      <c r="K27" s="121"/>
    </row>
    <row r="28" spans="1:12" x14ac:dyDescent="0.2">
      <c r="A28" s="225" t="s">
        <v>178</v>
      </c>
      <c r="B28" s="224">
        <f>SUM(B20:B27)</f>
        <v>0</v>
      </c>
      <c r="C28" s="225" t="s">
        <v>178</v>
      </c>
      <c r="D28" s="224">
        <f>SUM(D20:D27)</f>
        <v>0</v>
      </c>
      <c r="E28" s="225" t="s">
        <v>178</v>
      </c>
      <c r="F28" s="309">
        <f>SUM(F20:F27)</f>
        <v>0</v>
      </c>
      <c r="G28" s="225" t="s">
        <v>178</v>
      </c>
      <c r="H28" s="309">
        <f>SUM(H20:H27)</f>
        <v>0</v>
      </c>
      <c r="I28" s="225" t="s">
        <v>178</v>
      </c>
      <c r="J28" s="224">
        <f>SUM(J20:J27)</f>
        <v>0</v>
      </c>
      <c r="K28" s="224">
        <f>SUM(B28+D28+F28+H28+J28)</f>
        <v>0</v>
      </c>
    </row>
    <row r="29" spans="1:12" x14ac:dyDescent="0.2">
      <c r="A29" s="225" t="s">
        <v>39</v>
      </c>
      <c r="B29" s="224">
        <f>SUM(B18-B28)</f>
        <v>0</v>
      </c>
      <c r="C29" s="225" t="s">
        <v>39</v>
      </c>
      <c r="D29" s="224">
        <f>SUM(D18-D28)</f>
        <v>0</v>
      </c>
      <c r="E29" s="225" t="s">
        <v>39</v>
      </c>
      <c r="F29" s="224">
        <f>SUM(F18-F28)</f>
        <v>0</v>
      </c>
      <c r="G29" s="225" t="s">
        <v>39</v>
      </c>
      <c r="H29" s="224">
        <f>SUM(H18-H28)</f>
        <v>0</v>
      </c>
      <c r="I29" s="225" t="s">
        <v>39</v>
      </c>
      <c r="J29" s="224">
        <f>SUM(J18-J28)</f>
        <v>0</v>
      </c>
      <c r="K29" s="235">
        <f>SUM(B29+D29+F29+H29+J29)</f>
        <v>0</v>
      </c>
      <c r="L29" s="63" t="s">
        <v>93</v>
      </c>
    </row>
    <row r="30" spans="1:12" x14ac:dyDescent="0.2">
      <c r="A30" s="225"/>
      <c r="B30" s="236" t="str">
        <f>IF(B29&lt;0,"See Tab B","")</f>
        <v/>
      </c>
      <c r="C30" s="225"/>
      <c r="D30" s="236" t="str">
        <f>IF(D29&lt;0,"See Tab B","")</f>
        <v/>
      </c>
      <c r="E30" s="225"/>
      <c r="F30" s="236" t="str">
        <f>IF(F29&lt;0,"See Tab B","")</f>
        <v/>
      </c>
      <c r="G30" s="69"/>
      <c r="H30" s="236" t="str">
        <f>IF(H29&lt;0,"See Tab B","")</f>
        <v/>
      </c>
      <c r="I30" s="69"/>
      <c r="J30" s="236" t="str">
        <f>IF(J29&lt;0,"See Tab B","")</f>
        <v/>
      </c>
      <c r="K30" s="235">
        <f>SUM(K7+K17-K28)</f>
        <v>0</v>
      </c>
      <c r="L30" s="63" t="s">
        <v>93</v>
      </c>
    </row>
    <row r="31" spans="1:12" x14ac:dyDescent="0.2">
      <c r="A31" s="69"/>
      <c r="B31" s="101"/>
      <c r="C31" s="69"/>
      <c r="D31" s="121"/>
      <c r="E31" s="69"/>
      <c r="F31" s="69"/>
      <c r="G31" s="812" t="s">
        <v>95</v>
      </c>
      <c r="H31" s="812"/>
      <c r="I31" s="812"/>
      <c r="J31" s="812"/>
      <c r="K31" s="812"/>
    </row>
    <row r="32" spans="1:12" x14ac:dyDescent="0.2">
      <c r="A32" s="69"/>
      <c r="B32" s="101"/>
      <c r="C32" s="69"/>
      <c r="D32" s="69"/>
      <c r="E32" s="69"/>
      <c r="F32" s="69"/>
      <c r="G32" s="69"/>
      <c r="H32" s="69"/>
      <c r="I32" s="69"/>
      <c r="J32" s="69"/>
      <c r="K32" s="69"/>
    </row>
    <row r="33" spans="1:11" x14ac:dyDescent="0.2">
      <c r="A33" s="602" t="s">
        <v>515</v>
      </c>
      <c r="B33" s="610"/>
      <c r="C33" s="115"/>
      <c r="D33" s="115"/>
      <c r="E33" s="115"/>
      <c r="F33" s="115"/>
      <c r="G33" s="115"/>
      <c r="H33" s="115"/>
      <c r="I33" s="115"/>
      <c r="J33" s="115"/>
      <c r="K33" s="586"/>
    </row>
    <row r="34" spans="1:11" x14ac:dyDescent="0.2">
      <c r="A34" s="611"/>
      <c r="B34" s="101"/>
      <c r="C34" s="69"/>
      <c r="D34" s="69"/>
      <c r="E34" s="69"/>
      <c r="F34" s="69"/>
      <c r="G34" s="69"/>
      <c r="H34" s="69"/>
      <c r="I34" s="69"/>
      <c r="J34" s="69"/>
      <c r="K34" s="612"/>
    </row>
    <row r="35" spans="1:11" x14ac:dyDescent="0.2">
      <c r="A35" s="590"/>
      <c r="B35" s="120"/>
      <c r="C35" s="76"/>
      <c r="D35" s="76"/>
      <c r="E35" s="76"/>
      <c r="F35" s="76"/>
      <c r="G35" s="76"/>
      <c r="H35" s="76"/>
      <c r="I35" s="76"/>
      <c r="J35" s="76"/>
      <c r="K35" s="96"/>
    </row>
    <row r="36" spans="1:11" x14ac:dyDescent="0.2">
      <c r="A36" s="69"/>
      <c r="B36" s="101"/>
      <c r="C36" s="69"/>
      <c r="D36" s="69"/>
      <c r="E36" s="69"/>
      <c r="F36" s="69"/>
      <c r="G36" s="69"/>
      <c r="H36" s="69"/>
      <c r="I36" s="69"/>
      <c r="J36" s="69"/>
      <c r="K36" s="69"/>
    </row>
    <row r="37" spans="1:11" x14ac:dyDescent="0.2">
      <c r="A37" s="69"/>
      <c r="B37" s="101"/>
      <c r="C37" s="69"/>
      <c r="D37" s="69"/>
      <c r="E37" s="135" t="s">
        <v>181</v>
      </c>
      <c r="F37" s="564"/>
      <c r="G37" s="69"/>
      <c r="H37" s="69"/>
      <c r="I37" s="69"/>
      <c r="J37" s="69"/>
      <c r="K37" s="69"/>
    </row>
    <row r="38" spans="1:11" x14ac:dyDescent="0.2">
      <c r="B38" s="237"/>
    </row>
    <row r="39" spans="1:11" x14ac:dyDescent="0.2">
      <c r="B39" s="237"/>
    </row>
    <row r="40" spans="1:11" x14ac:dyDescent="0.2">
      <c r="B40" s="237"/>
    </row>
    <row r="41" spans="1:11" x14ac:dyDescent="0.2">
      <c r="B41" s="237"/>
    </row>
    <row r="42" spans="1:11" x14ac:dyDescent="0.2">
      <c r="B42" s="237"/>
    </row>
    <row r="43" spans="1:11" x14ac:dyDescent="0.2">
      <c r="B43" s="237"/>
    </row>
    <row r="44" spans="1:11" x14ac:dyDescent="0.2">
      <c r="B44" s="237"/>
    </row>
    <row r="45" spans="1:11" x14ac:dyDescent="0.2">
      <c r="B45" s="237"/>
    </row>
  </sheetData>
  <sheetProtection sheet="1"/>
  <mergeCells count="7">
    <mergeCell ref="A2:K2"/>
    <mergeCell ref="G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B0F0"/>
    <pageSetUpPr fitToPage="1"/>
  </sheetPr>
  <dimension ref="A1:L45"/>
  <sheetViews>
    <sheetView workbookViewId="0">
      <selection activeCell="L1" sqref="L1"/>
    </sheetView>
  </sheetViews>
  <sheetFormatPr defaultColWidth="8.88671875" defaultRowHeight="15.75" x14ac:dyDescent="0.2"/>
  <cols>
    <col min="1" max="1" width="11.5546875" style="63" customWidth="1"/>
    <col min="2" max="2" width="7.44140625" style="63" customWidth="1"/>
    <col min="3" max="3" width="11.5546875" style="63" customWidth="1"/>
    <col min="4" max="4" width="7.44140625" style="63" customWidth="1"/>
    <col min="5" max="5" width="11.5546875" style="63" customWidth="1"/>
    <col min="6" max="6" width="7.44140625" style="63" customWidth="1"/>
    <col min="7" max="7" width="11.5546875" style="63" customWidth="1"/>
    <col min="8" max="8" width="7.44140625" style="63" customWidth="1"/>
    <col min="9" max="9" width="11.5546875" style="63" customWidth="1"/>
    <col min="10" max="16384" width="8.88671875" style="63"/>
  </cols>
  <sheetData>
    <row r="1" spans="1:11" x14ac:dyDescent="0.2">
      <c r="A1" s="89">
        <f>inputPrYr!$D$3</f>
        <v>0</v>
      </c>
      <c r="B1" s="121"/>
      <c r="C1" s="69"/>
      <c r="D1" s="69"/>
      <c r="E1" s="69"/>
      <c r="F1" s="165" t="s">
        <v>40</v>
      </c>
      <c r="G1" s="69"/>
      <c r="H1" s="69"/>
      <c r="I1" s="69"/>
      <c r="J1" s="69"/>
      <c r="K1" s="69">
        <f>inputPrYr!$C$10</f>
        <v>2025</v>
      </c>
    </row>
    <row r="2" spans="1:11" x14ac:dyDescent="0.2">
      <c r="A2" s="811" t="str">
        <f>CONCATENATE("(Only the actual budget year for ",K1-2," is reported)")</f>
        <v>(Only the actual budget year for 2023 is reported)</v>
      </c>
      <c r="B2" s="811"/>
      <c r="C2" s="811"/>
      <c r="D2" s="811"/>
      <c r="E2" s="811"/>
      <c r="F2" s="811"/>
      <c r="G2" s="811"/>
      <c r="H2" s="811"/>
      <c r="I2" s="811"/>
      <c r="J2" s="811"/>
      <c r="K2" s="811"/>
    </row>
    <row r="3" spans="1:11" x14ac:dyDescent="0.2">
      <c r="A3" s="69" t="s">
        <v>68</v>
      </c>
      <c r="B3" s="69"/>
      <c r="C3" s="69"/>
      <c r="D3" s="69"/>
      <c r="E3" s="69"/>
      <c r="F3" s="121"/>
      <c r="G3" s="69"/>
      <c r="H3" s="69"/>
      <c r="I3" s="69"/>
      <c r="J3" s="69"/>
      <c r="K3" s="69"/>
    </row>
    <row r="4" spans="1:11" x14ac:dyDescent="0.2">
      <c r="A4" s="69" t="s">
        <v>33</v>
      </c>
      <c r="B4" s="69"/>
      <c r="C4" s="69" t="s">
        <v>34</v>
      </c>
      <c r="D4" s="69"/>
      <c r="E4" s="69" t="s">
        <v>35</v>
      </c>
      <c r="F4" s="121"/>
      <c r="G4" s="69" t="s">
        <v>36</v>
      </c>
      <c r="H4" s="69"/>
      <c r="I4" s="69" t="s">
        <v>37</v>
      </c>
      <c r="J4" s="69"/>
      <c r="K4" s="69"/>
    </row>
    <row r="5" spans="1:11" x14ac:dyDescent="0.2">
      <c r="A5" s="813" t="str">
        <f>IF(inputPrYr!B68&gt;" ",(inputPrYr!B68)," ")</f>
        <v xml:space="preserve"> </v>
      </c>
      <c r="B5" s="814"/>
      <c r="C5" s="813" t="str">
        <f>IF(inputPrYr!B69&gt;" ",(inputPrYr!B69)," ")</f>
        <v xml:space="preserve"> </v>
      </c>
      <c r="D5" s="814"/>
      <c r="E5" s="813" t="str">
        <f>IF(inputPrYr!B70&gt;" ",(inputPrYr!B70)," ")</f>
        <v xml:space="preserve"> </v>
      </c>
      <c r="F5" s="814"/>
      <c r="G5" s="813" t="str">
        <f>IF(inputPrYr!B71&gt;" ",(inputPrYr!B71)," ")</f>
        <v xml:space="preserve"> </v>
      </c>
      <c r="H5" s="814"/>
      <c r="I5" s="813" t="str">
        <f>IF(inputPrYr!B72&gt;" ",(inputPrYr!B72)," ")</f>
        <v xml:space="preserve"> </v>
      </c>
      <c r="J5" s="814"/>
      <c r="K5" s="76"/>
    </row>
    <row r="6" spans="1:11" x14ac:dyDescent="0.2">
      <c r="A6" s="217" t="s">
        <v>38</v>
      </c>
      <c r="B6" s="218"/>
      <c r="C6" s="219" t="s">
        <v>38</v>
      </c>
      <c r="D6" s="220"/>
      <c r="E6" s="219" t="s">
        <v>38</v>
      </c>
      <c r="F6" s="157"/>
      <c r="G6" s="219" t="s">
        <v>38</v>
      </c>
      <c r="H6" s="99"/>
      <c r="I6" s="219" t="s">
        <v>38</v>
      </c>
      <c r="J6" s="69"/>
      <c r="K6" s="153" t="s">
        <v>142</v>
      </c>
    </row>
    <row r="7" spans="1:11" x14ac:dyDescent="0.2">
      <c r="A7" s="221" t="s">
        <v>121</v>
      </c>
      <c r="B7" s="222"/>
      <c r="C7" s="223" t="s">
        <v>121</v>
      </c>
      <c r="D7" s="222"/>
      <c r="E7" s="223" t="s">
        <v>121</v>
      </c>
      <c r="F7" s="222"/>
      <c r="G7" s="223" t="s">
        <v>121</v>
      </c>
      <c r="H7" s="222"/>
      <c r="I7" s="223" t="s">
        <v>121</v>
      </c>
      <c r="J7" s="222"/>
      <c r="K7" s="224">
        <f>SUM(B7+D7+F7+H7+J7)</f>
        <v>0</v>
      </c>
    </row>
    <row r="8" spans="1:11" x14ac:dyDescent="0.2">
      <c r="A8" s="225" t="s">
        <v>20</v>
      </c>
      <c r="B8" s="226"/>
      <c r="C8" s="225" t="s">
        <v>20</v>
      </c>
      <c r="D8" s="227"/>
      <c r="E8" s="225" t="s">
        <v>20</v>
      </c>
      <c r="F8" s="121"/>
      <c r="G8" s="225" t="s">
        <v>20</v>
      </c>
      <c r="H8" s="69"/>
      <c r="I8" s="225" t="s">
        <v>20</v>
      </c>
      <c r="J8" s="69"/>
      <c r="K8" s="121"/>
    </row>
    <row r="9" spans="1:11" x14ac:dyDescent="0.2">
      <c r="A9" s="228"/>
      <c r="B9" s="222"/>
      <c r="C9" s="228"/>
      <c r="D9" s="222"/>
      <c r="E9" s="228"/>
      <c r="F9" s="222"/>
      <c r="G9" s="228"/>
      <c r="H9" s="222"/>
      <c r="I9" s="228"/>
      <c r="J9" s="222"/>
      <c r="K9" s="121"/>
    </row>
    <row r="10" spans="1:11" x14ac:dyDescent="0.2">
      <c r="A10" s="228"/>
      <c r="B10" s="222"/>
      <c r="C10" s="228"/>
      <c r="D10" s="222"/>
      <c r="E10" s="228"/>
      <c r="F10" s="222"/>
      <c r="G10" s="228"/>
      <c r="H10" s="222"/>
      <c r="I10" s="228"/>
      <c r="J10" s="222"/>
      <c r="K10" s="121"/>
    </row>
    <row r="11" spans="1:11" x14ac:dyDescent="0.2">
      <c r="A11" s="228"/>
      <c r="B11" s="222"/>
      <c r="C11" s="230"/>
      <c r="D11" s="222"/>
      <c r="E11" s="230"/>
      <c r="F11" s="222"/>
      <c r="G11" s="230"/>
      <c r="H11" s="222"/>
      <c r="I11" s="231"/>
      <c r="J11" s="222"/>
      <c r="K11" s="121"/>
    </row>
    <row r="12" spans="1:11" x14ac:dyDescent="0.2">
      <c r="A12" s="228"/>
      <c r="B12" s="222"/>
      <c r="C12" s="228"/>
      <c r="D12" s="222"/>
      <c r="E12" s="232"/>
      <c r="F12" s="222"/>
      <c r="G12" s="232"/>
      <c r="H12" s="222"/>
      <c r="I12" s="232"/>
      <c r="J12" s="222"/>
      <c r="K12" s="121"/>
    </row>
    <row r="13" spans="1:11" x14ac:dyDescent="0.2">
      <c r="A13" s="233"/>
      <c r="B13" s="222"/>
      <c r="C13" s="234"/>
      <c r="D13" s="222"/>
      <c r="E13" s="234"/>
      <c r="F13" s="222"/>
      <c r="G13" s="234"/>
      <c r="H13" s="222"/>
      <c r="I13" s="231"/>
      <c r="J13" s="222"/>
      <c r="K13" s="121"/>
    </row>
    <row r="14" spans="1:11" x14ac:dyDescent="0.2">
      <c r="A14" s="228"/>
      <c r="B14" s="222"/>
      <c r="C14" s="232"/>
      <c r="D14" s="222"/>
      <c r="E14" s="232"/>
      <c r="F14" s="222"/>
      <c r="G14" s="232"/>
      <c r="H14" s="222"/>
      <c r="I14" s="232"/>
      <c r="J14" s="222"/>
      <c r="K14" s="121"/>
    </row>
    <row r="15" spans="1:11" x14ac:dyDescent="0.2">
      <c r="A15" s="228"/>
      <c r="B15" s="222"/>
      <c r="C15" s="232"/>
      <c r="D15" s="222"/>
      <c r="E15" s="232"/>
      <c r="F15" s="222"/>
      <c r="G15" s="232"/>
      <c r="H15" s="222"/>
      <c r="I15" s="232"/>
      <c r="J15" s="222"/>
      <c r="K15" s="121"/>
    </row>
    <row r="16" spans="1:11" x14ac:dyDescent="0.2">
      <c r="A16" s="228"/>
      <c r="B16" s="222"/>
      <c r="C16" s="228"/>
      <c r="D16" s="222"/>
      <c r="E16" s="228"/>
      <c r="F16" s="222"/>
      <c r="G16" s="232"/>
      <c r="H16" s="222"/>
      <c r="I16" s="228"/>
      <c r="J16" s="222"/>
      <c r="K16" s="121"/>
    </row>
    <row r="17" spans="1:12" x14ac:dyDescent="0.2">
      <c r="A17" s="225" t="s">
        <v>171</v>
      </c>
      <c r="B17" s="224">
        <f>SUM(B9:B16)</f>
        <v>0</v>
      </c>
      <c r="C17" s="225" t="s">
        <v>171</v>
      </c>
      <c r="D17" s="224">
        <f>SUM(D9:D16)</f>
        <v>0</v>
      </c>
      <c r="E17" s="225" t="s">
        <v>171</v>
      </c>
      <c r="F17" s="309">
        <f>SUM(F9:F16)</f>
        <v>0</v>
      </c>
      <c r="G17" s="225" t="s">
        <v>171</v>
      </c>
      <c r="H17" s="224">
        <f>SUM(H9:H16)</f>
        <v>0</v>
      </c>
      <c r="I17" s="225" t="s">
        <v>171</v>
      </c>
      <c r="J17" s="224">
        <f>SUM(J9:J16)</f>
        <v>0</v>
      </c>
      <c r="K17" s="224">
        <f>SUM(B17+D17+F17+H17+J17)</f>
        <v>0</v>
      </c>
    </row>
    <row r="18" spans="1:12" x14ac:dyDescent="0.2">
      <c r="A18" s="225" t="s">
        <v>172</v>
      </c>
      <c r="B18" s="224">
        <f>SUM(B7+B17)</f>
        <v>0</v>
      </c>
      <c r="C18" s="225" t="s">
        <v>172</v>
      </c>
      <c r="D18" s="224">
        <f>SUM(D7+D17)</f>
        <v>0</v>
      </c>
      <c r="E18" s="225" t="s">
        <v>172</v>
      </c>
      <c r="F18" s="224">
        <f>SUM(F7+F17)</f>
        <v>0</v>
      </c>
      <c r="G18" s="225" t="s">
        <v>172</v>
      </c>
      <c r="H18" s="224">
        <f>SUM(H7+H17)</f>
        <v>0</v>
      </c>
      <c r="I18" s="225" t="s">
        <v>172</v>
      </c>
      <c r="J18" s="224">
        <f>SUM(J7+J17)</f>
        <v>0</v>
      </c>
      <c r="K18" s="224">
        <f>SUM(B18+D18+F18+H18+J18)</f>
        <v>0</v>
      </c>
    </row>
    <row r="19" spans="1:12" x14ac:dyDescent="0.2">
      <c r="A19" s="225" t="s">
        <v>174</v>
      </c>
      <c r="B19" s="226"/>
      <c r="C19" s="225" t="s">
        <v>174</v>
      </c>
      <c r="D19" s="227"/>
      <c r="E19" s="225" t="s">
        <v>174</v>
      </c>
      <c r="F19" s="121"/>
      <c r="G19" s="225" t="s">
        <v>174</v>
      </c>
      <c r="H19" s="69"/>
      <c r="I19" s="225" t="s">
        <v>174</v>
      </c>
      <c r="J19" s="69"/>
      <c r="K19" s="121"/>
    </row>
    <row r="20" spans="1:12" x14ac:dyDescent="0.2">
      <c r="A20" s="228"/>
      <c r="B20" s="222"/>
      <c r="C20" s="232"/>
      <c r="D20" s="222"/>
      <c r="E20" s="232"/>
      <c r="F20" s="222"/>
      <c r="G20" s="232"/>
      <c r="H20" s="222"/>
      <c r="I20" s="232"/>
      <c r="J20" s="222"/>
      <c r="K20" s="121"/>
    </row>
    <row r="21" spans="1:12" x14ac:dyDescent="0.2">
      <c r="A21" s="228"/>
      <c r="B21" s="222"/>
      <c r="C21" s="232"/>
      <c r="D21" s="222"/>
      <c r="E21" s="232"/>
      <c r="F21" s="222"/>
      <c r="G21" s="232"/>
      <c r="H21" s="222"/>
      <c r="I21" s="232"/>
      <c r="J21" s="222"/>
      <c r="K21" s="121"/>
    </row>
    <row r="22" spans="1:12" x14ac:dyDescent="0.2">
      <c r="A22" s="228"/>
      <c r="B22" s="222"/>
      <c r="C22" s="234"/>
      <c r="D22" s="222"/>
      <c r="E22" s="234"/>
      <c r="F22" s="222"/>
      <c r="G22" s="234"/>
      <c r="H22" s="222"/>
      <c r="I22" s="231"/>
      <c r="J22" s="222"/>
      <c r="K22" s="121"/>
    </row>
    <row r="23" spans="1:12" x14ac:dyDescent="0.2">
      <c r="A23" s="228"/>
      <c r="B23" s="222"/>
      <c r="C23" s="232"/>
      <c r="D23" s="222"/>
      <c r="E23" s="232"/>
      <c r="F23" s="222"/>
      <c r="G23" s="232"/>
      <c r="H23" s="222"/>
      <c r="I23" s="232"/>
      <c r="J23" s="222"/>
      <c r="K23" s="121"/>
    </row>
    <row r="24" spans="1:12" x14ac:dyDescent="0.2">
      <c r="A24" s="228"/>
      <c r="B24" s="222"/>
      <c r="C24" s="234"/>
      <c r="D24" s="222"/>
      <c r="E24" s="234"/>
      <c r="F24" s="222"/>
      <c r="G24" s="234"/>
      <c r="H24" s="222"/>
      <c r="I24" s="231"/>
      <c r="J24" s="222"/>
      <c r="K24" s="121"/>
    </row>
    <row r="25" spans="1:12" x14ac:dyDescent="0.2">
      <c r="A25" s="228"/>
      <c r="B25" s="222"/>
      <c r="C25" s="232"/>
      <c r="D25" s="222"/>
      <c r="E25" s="232"/>
      <c r="F25" s="222"/>
      <c r="G25" s="232"/>
      <c r="H25" s="222"/>
      <c r="I25" s="232"/>
      <c r="J25" s="222"/>
      <c r="K25" s="121"/>
    </row>
    <row r="26" spans="1:12" x14ac:dyDescent="0.2">
      <c r="A26" s="228"/>
      <c r="B26" s="222"/>
      <c r="C26" s="232"/>
      <c r="D26" s="222"/>
      <c r="E26" s="232"/>
      <c r="F26" s="222"/>
      <c r="G26" s="232"/>
      <c r="H26" s="222"/>
      <c r="I26" s="232"/>
      <c r="J26" s="222"/>
      <c r="K26" s="121"/>
    </row>
    <row r="27" spans="1:12" x14ac:dyDescent="0.2">
      <c r="A27" s="228"/>
      <c r="B27" s="222"/>
      <c r="C27" s="228"/>
      <c r="D27" s="222"/>
      <c r="E27" s="228"/>
      <c r="F27" s="222"/>
      <c r="G27" s="232"/>
      <c r="H27" s="222"/>
      <c r="I27" s="232"/>
      <c r="J27" s="222"/>
      <c r="K27" s="121"/>
    </row>
    <row r="28" spans="1:12" x14ac:dyDescent="0.2">
      <c r="A28" s="225" t="s">
        <v>178</v>
      </c>
      <c r="B28" s="224">
        <f>SUM(B20:B27)</f>
        <v>0</v>
      </c>
      <c r="C28" s="225" t="s">
        <v>178</v>
      </c>
      <c r="D28" s="224">
        <f>SUM(D20:D27)</f>
        <v>0</v>
      </c>
      <c r="E28" s="225" t="s">
        <v>178</v>
      </c>
      <c r="F28" s="309">
        <f>SUM(F20:F27)</f>
        <v>0</v>
      </c>
      <c r="G28" s="225" t="s">
        <v>178</v>
      </c>
      <c r="H28" s="309">
        <f>SUM(H20:H27)</f>
        <v>0</v>
      </c>
      <c r="I28" s="225" t="s">
        <v>178</v>
      </c>
      <c r="J28" s="224">
        <f>SUM(J20:J27)</f>
        <v>0</v>
      </c>
      <c r="K28" s="224">
        <f>SUM(B28+D28+F28+H28+J28)</f>
        <v>0</v>
      </c>
    </row>
    <row r="29" spans="1:12" x14ac:dyDescent="0.2">
      <c r="A29" s="225" t="s">
        <v>39</v>
      </c>
      <c r="B29" s="224">
        <f>SUM(B18-B28)</f>
        <v>0</v>
      </c>
      <c r="C29" s="225" t="s">
        <v>39</v>
      </c>
      <c r="D29" s="224">
        <f>SUM(D18-D28)</f>
        <v>0</v>
      </c>
      <c r="E29" s="225" t="s">
        <v>39</v>
      </c>
      <c r="F29" s="224">
        <f>SUM(F18-F28)</f>
        <v>0</v>
      </c>
      <c r="G29" s="225" t="s">
        <v>39</v>
      </c>
      <c r="H29" s="224">
        <f>SUM(H18-H28)</f>
        <v>0</v>
      </c>
      <c r="I29" s="225" t="s">
        <v>39</v>
      </c>
      <c r="J29" s="224">
        <f>SUM(J18-J28)</f>
        <v>0</v>
      </c>
      <c r="K29" s="235">
        <f>SUM(B29+D29+F29+H29+J29)</f>
        <v>0</v>
      </c>
      <c r="L29" s="63" t="s">
        <v>93</v>
      </c>
    </row>
    <row r="30" spans="1:12" x14ac:dyDescent="0.2">
      <c r="A30" s="225"/>
      <c r="B30" s="236" t="str">
        <f>IF(B29&lt;0,"See Tab B","")</f>
        <v/>
      </c>
      <c r="C30" s="225"/>
      <c r="D30" s="236" t="str">
        <f>IF(D29&lt;0,"See Tab B","")</f>
        <v/>
      </c>
      <c r="E30" s="225"/>
      <c r="F30" s="236" t="str">
        <f>IF(F29&lt;0,"See Tab B","")</f>
        <v/>
      </c>
      <c r="G30" s="69"/>
      <c r="H30" s="236" t="str">
        <f>IF(H29&lt;0,"See Tab B","")</f>
        <v/>
      </c>
      <c r="I30" s="69"/>
      <c r="J30" s="236" t="str">
        <f>IF(J29&lt;0,"See Tab B","")</f>
        <v/>
      </c>
      <c r="K30" s="235">
        <f>SUM(K7+K17-K28)</f>
        <v>0</v>
      </c>
      <c r="L30" s="63" t="s">
        <v>93</v>
      </c>
    </row>
    <row r="31" spans="1:12" x14ac:dyDescent="0.2">
      <c r="A31" s="69"/>
      <c r="B31" s="101"/>
      <c r="C31" s="69"/>
      <c r="D31" s="121"/>
      <c r="E31" s="69"/>
      <c r="F31" s="69"/>
      <c r="G31" s="812" t="s">
        <v>95</v>
      </c>
      <c r="H31" s="812"/>
      <c r="I31" s="812"/>
      <c r="J31" s="812"/>
      <c r="K31" s="812"/>
    </row>
    <row r="32" spans="1:12" x14ac:dyDescent="0.2">
      <c r="A32" s="69"/>
      <c r="B32" s="101"/>
      <c r="C32" s="69"/>
      <c r="D32" s="69"/>
      <c r="E32" s="69"/>
      <c r="F32" s="69"/>
      <c r="G32" s="69"/>
      <c r="H32" s="69"/>
      <c r="I32" s="69"/>
      <c r="J32" s="69"/>
      <c r="K32" s="69"/>
    </row>
    <row r="33" spans="1:11" x14ac:dyDescent="0.2">
      <c r="A33" s="602" t="s">
        <v>515</v>
      </c>
      <c r="B33" s="610"/>
      <c r="C33" s="115"/>
      <c r="D33" s="115"/>
      <c r="E33" s="115"/>
      <c r="F33" s="115"/>
      <c r="G33" s="115"/>
      <c r="H33" s="115"/>
      <c r="I33" s="115"/>
      <c r="J33" s="115"/>
      <c r="K33" s="586"/>
    </row>
    <row r="34" spans="1:11" x14ac:dyDescent="0.2">
      <c r="A34" s="611"/>
      <c r="B34" s="101"/>
      <c r="C34" s="69"/>
      <c r="D34" s="69"/>
      <c r="E34" s="69"/>
      <c r="F34" s="69"/>
      <c r="G34" s="69"/>
      <c r="H34" s="69"/>
      <c r="I34" s="69"/>
      <c r="J34" s="69"/>
      <c r="K34" s="612"/>
    </row>
    <row r="35" spans="1:11" x14ac:dyDescent="0.2">
      <c r="A35" s="590"/>
      <c r="B35" s="120"/>
      <c r="C35" s="76"/>
      <c r="D35" s="76"/>
      <c r="E35" s="76"/>
      <c r="F35" s="76"/>
      <c r="G35" s="76"/>
      <c r="H35" s="76"/>
      <c r="I35" s="76"/>
      <c r="J35" s="76"/>
      <c r="K35" s="96"/>
    </row>
    <row r="36" spans="1:11" x14ac:dyDescent="0.2">
      <c r="A36" s="69"/>
      <c r="B36" s="101"/>
      <c r="C36" s="69"/>
      <c r="D36" s="69"/>
      <c r="E36" s="69"/>
      <c r="F36" s="69"/>
      <c r="G36" s="69"/>
      <c r="H36" s="69"/>
      <c r="I36" s="69"/>
      <c r="J36" s="69"/>
      <c r="K36" s="69"/>
    </row>
    <row r="37" spans="1:11" x14ac:dyDescent="0.2">
      <c r="A37" s="69"/>
      <c r="B37" s="101"/>
      <c r="C37" s="69"/>
      <c r="D37" s="69"/>
      <c r="E37" s="135" t="s">
        <v>181</v>
      </c>
      <c r="F37" s="564"/>
      <c r="G37" s="69"/>
      <c r="H37" s="69"/>
      <c r="I37" s="69"/>
      <c r="J37" s="69"/>
      <c r="K37" s="69"/>
    </row>
    <row r="38" spans="1:11" x14ac:dyDescent="0.2">
      <c r="B38" s="237"/>
    </row>
    <row r="39" spans="1:11" x14ac:dyDescent="0.2">
      <c r="B39" s="237"/>
    </row>
    <row r="40" spans="1:11" x14ac:dyDescent="0.2">
      <c r="B40" s="237"/>
    </row>
    <row r="41" spans="1:11" x14ac:dyDescent="0.2">
      <c r="B41" s="237"/>
    </row>
    <row r="42" spans="1:11" x14ac:dyDescent="0.2">
      <c r="B42" s="237"/>
    </row>
    <row r="43" spans="1:11" x14ac:dyDescent="0.2">
      <c r="B43" s="237"/>
    </row>
    <row r="44" spans="1:11" x14ac:dyDescent="0.2">
      <c r="B44" s="237"/>
    </row>
    <row r="45" spans="1:11" x14ac:dyDescent="0.2">
      <c r="B45" s="237"/>
    </row>
  </sheetData>
  <sheetProtection sheet="1"/>
  <mergeCells count="7">
    <mergeCell ref="A2:K2"/>
    <mergeCell ref="G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B0F0"/>
    <pageSetUpPr fitToPage="1"/>
  </sheetPr>
  <dimension ref="A1:L45"/>
  <sheetViews>
    <sheetView workbookViewId="0">
      <selection activeCell="L1" sqref="L1"/>
    </sheetView>
  </sheetViews>
  <sheetFormatPr defaultColWidth="8.88671875" defaultRowHeight="15.75" x14ac:dyDescent="0.2"/>
  <cols>
    <col min="1" max="1" width="11.5546875" style="63" customWidth="1"/>
    <col min="2" max="2" width="7.44140625" style="63" customWidth="1"/>
    <col min="3" max="3" width="11.5546875" style="63" customWidth="1"/>
    <col min="4" max="4" width="7.44140625" style="63" customWidth="1"/>
    <col min="5" max="5" width="11.5546875" style="63" customWidth="1"/>
    <col min="6" max="6" width="7.44140625" style="63" customWidth="1"/>
    <col min="7" max="7" width="11.5546875" style="63" customWidth="1"/>
    <col min="8" max="8" width="7.44140625" style="63" customWidth="1"/>
    <col min="9" max="9" width="11.5546875" style="63" customWidth="1"/>
    <col min="10" max="16384" width="8.88671875" style="63"/>
  </cols>
  <sheetData>
    <row r="1" spans="1:11" x14ac:dyDescent="0.2">
      <c r="A1" s="89">
        <f>inputPrYr!$D$3</f>
        <v>0</v>
      </c>
      <c r="B1" s="121"/>
      <c r="C1" s="69"/>
      <c r="D1" s="69"/>
      <c r="E1" s="69"/>
      <c r="F1" s="165" t="s">
        <v>41</v>
      </c>
      <c r="G1" s="69"/>
      <c r="H1" s="69"/>
      <c r="I1" s="69"/>
      <c r="J1" s="69"/>
      <c r="K1" s="69">
        <f>inputPrYr!$C$10</f>
        <v>2025</v>
      </c>
    </row>
    <row r="2" spans="1:11" x14ac:dyDescent="0.2">
      <c r="A2" s="811" t="str">
        <f>CONCATENATE("(Only the actual budget year for ",K1-2," is reported)")</f>
        <v>(Only the actual budget year for 2023 is reported)</v>
      </c>
      <c r="B2" s="811"/>
      <c r="C2" s="811"/>
      <c r="D2" s="811"/>
      <c r="E2" s="811"/>
      <c r="F2" s="811"/>
      <c r="G2" s="811"/>
      <c r="H2" s="811"/>
      <c r="I2" s="811"/>
      <c r="J2" s="811"/>
      <c r="K2" s="811"/>
    </row>
    <row r="3" spans="1:11" x14ac:dyDescent="0.2">
      <c r="A3" s="69" t="s">
        <v>66</v>
      </c>
      <c r="B3" s="69"/>
      <c r="C3" s="69"/>
      <c r="D3" s="69"/>
      <c r="E3" s="69"/>
      <c r="F3" s="121"/>
      <c r="G3" s="69"/>
      <c r="H3" s="69"/>
      <c r="I3" s="69"/>
      <c r="J3" s="69"/>
      <c r="K3" s="69"/>
    </row>
    <row r="4" spans="1:11" x14ac:dyDescent="0.2">
      <c r="A4" s="69" t="s">
        <v>33</v>
      </c>
      <c r="B4" s="69"/>
      <c r="C4" s="69" t="s">
        <v>34</v>
      </c>
      <c r="D4" s="69"/>
      <c r="E4" s="69" t="s">
        <v>35</v>
      </c>
      <c r="F4" s="121"/>
      <c r="G4" s="69" t="s">
        <v>36</v>
      </c>
      <c r="H4" s="69"/>
      <c r="I4" s="69" t="s">
        <v>37</v>
      </c>
      <c r="J4" s="69"/>
      <c r="K4" s="69"/>
    </row>
    <row r="5" spans="1:11" x14ac:dyDescent="0.2">
      <c r="A5" s="813" t="str">
        <f>IF(inputPrYr!B74&gt;" ",(inputPrYr!B74)," ")</f>
        <v xml:space="preserve"> </v>
      </c>
      <c r="B5" s="814"/>
      <c r="C5" s="813" t="str">
        <f>IF(inputPrYr!B75&gt;" ",(inputPrYr!B75)," ")</f>
        <v xml:space="preserve"> </v>
      </c>
      <c r="D5" s="814"/>
      <c r="E5" s="813" t="str">
        <f>IF(inputPrYr!B76&gt;" ",(inputPrYr!B76)," ")</f>
        <v xml:space="preserve"> </v>
      </c>
      <c r="F5" s="814"/>
      <c r="G5" s="813" t="str">
        <f>IF(inputPrYr!B77&gt;" ",(inputPrYr!B77)," ")</f>
        <v xml:space="preserve"> </v>
      </c>
      <c r="H5" s="814"/>
      <c r="I5" s="813" t="str">
        <f>IF(inputPrYr!B78&gt;" ",(inputPrYr!B78)," ")</f>
        <v xml:space="preserve"> </v>
      </c>
      <c r="J5" s="814"/>
      <c r="K5" s="76"/>
    </row>
    <row r="6" spans="1:11" x14ac:dyDescent="0.2">
      <c r="A6" s="217" t="s">
        <v>38</v>
      </c>
      <c r="B6" s="218"/>
      <c r="C6" s="219" t="s">
        <v>38</v>
      </c>
      <c r="D6" s="220"/>
      <c r="E6" s="219" t="s">
        <v>38</v>
      </c>
      <c r="F6" s="157"/>
      <c r="G6" s="219" t="s">
        <v>38</v>
      </c>
      <c r="H6" s="99"/>
      <c r="I6" s="219" t="s">
        <v>38</v>
      </c>
      <c r="J6" s="69"/>
      <c r="K6" s="153" t="s">
        <v>142</v>
      </c>
    </row>
    <row r="7" spans="1:11" x14ac:dyDescent="0.2">
      <c r="A7" s="221" t="s">
        <v>121</v>
      </c>
      <c r="B7" s="222"/>
      <c r="C7" s="223" t="s">
        <v>121</v>
      </c>
      <c r="D7" s="222"/>
      <c r="E7" s="223" t="s">
        <v>121</v>
      </c>
      <c r="F7" s="222"/>
      <c r="G7" s="223" t="s">
        <v>121</v>
      </c>
      <c r="H7" s="222"/>
      <c r="I7" s="223" t="s">
        <v>121</v>
      </c>
      <c r="J7" s="222"/>
      <c r="K7" s="224">
        <f>SUM(B7+D7+F7+H7+J7)</f>
        <v>0</v>
      </c>
    </row>
    <row r="8" spans="1:11" x14ac:dyDescent="0.2">
      <c r="A8" s="225" t="s">
        <v>20</v>
      </c>
      <c r="B8" s="226"/>
      <c r="C8" s="225" t="s">
        <v>20</v>
      </c>
      <c r="D8" s="227"/>
      <c r="E8" s="225" t="s">
        <v>20</v>
      </c>
      <c r="F8" s="121"/>
      <c r="G8" s="225" t="s">
        <v>20</v>
      </c>
      <c r="H8" s="69"/>
      <c r="I8" s="225" t="s">
        <v>20</v>
      </c>
      <c r="J8" s="69"/>
      <c r="K8" s="121"/>
    </row>
    <row r="9" spans="1:11" x14ac:dyDescent="0.2">
      <c r="A9" s="228"/>
      <c r="B9" s="222"/>
      <c r="C9" s="228"/>
      <c r="D9" s="222"/>
      <c r="E9" s="228"/>
      <c r="F9" s="222"/>
      <c r="G9" s="228"/>
      <c r="H9" s="222"/>
      <c r="I9" s="228"/>
      <c r="J9" s="222"/>
      <c r="K9" s="121"/>
    </row>
    <row r="10" spans="1:11" x14ac:dyDescent="0.2">
      <c r="A10" s="228"/>
      <c r="B10" s="222"/>
      <c r="C10" s="228"/>
      <c r="D10" s="222"/>
      <c r="E10" s="228"/>
      <c r="F10" s="222"/>
      <c r="G10" s="228"/>
      <c r="H10" s="222"/>
      <c r="I10" s="228"/>
      <c r="J10" s="222"/>
      <c r="K10" s="121"/>
    </row>
    <row r="11" spans="1:11" x14ac:dyDescent="0.2">
      <c r="A11" s="228"/>
      <c r="B11" s="222"/>
      <c r="C11" s="230"/>
      <c r="D11" s="222"/>
      <c r="E11" s="230"/>
      <c r="F11" s="222"/>
      <c r="G11" s="230"/>
      <c r="H11" s="222"/>
      <c r="I11" s="231"/>
      <c r="J11" s="222"/>
      <c r="K11" s="121"/>
    </row>
    <row r="12" spans="1:11" x14ac:dyDescent="0.2">
      <c r="A12" s="228"/>
      <c r="B12" s="222"/>
      <c r="C12" s="228"/>
      <c r="D12" s="222"/>
      <c r="E12" s="232"/>
      <c r="F12" s="222"/>
      <c r="G12" s="232"/>
      <c r="H12" s="222"/>
      <c r="I12" s="232"/>
      <c r="J12" s="222"/>
      <c r="K12" s="121"/>
    </row>
    <row r="13" spans="1:11" x14ac:dyDescent="0.2">
      <c r="A13" s="233"/>
      <c r="B13" s="222"/>
      <c r="C13" s="234"/>
      <c r="D13" s="222"/>
      <c r="E13" s="234"/>
      <c r="F13" s="222"/>
      <c r="G13" s="234"/>
      <c r="H13" s="222"/>
      <c r="I13" s="231"/>
      <c r="J13" s="222"/>
      <c r="K13" s="121"/>
    </row>
    <row r="14" spans="1:11" x14ac:dyDescent="0.2">
      <c r="A14" s="228"/>
      <c r="B14" s="222"/>
      <c r="C14" s="232"/>
      <c r="D14" s="222"/>
      <c r="E14" s="232"/>
      <c r="F14" s="222"/>
      <c r="G14" s="232"/>
      <c r="H14" s="222"/>
      <c r="I14" s="232"/>
      <c r="J14" s="222"/>
      <c r="K14" s="121"/>
    </row>
    <row r="15" spans="1:11" x14ac:dyDescent="0.2">
      <c r="A15" s="228"/>
      <c r="B15" s="222"/>
      <c r="C15" s="232"/>
      <c r="D15" s="222"/>
      <c r="E15" s="232"/>
      <c r="F15" s="222"/>
      <c r="G15" s="232"/>
      <c r="H15" s="222"/>
      <c r="I15" s="232"/>
      <c r="J15" s="222"/>
      <c r="K15" s="121"/>
    </row>
    <row r="16" spans="1:11" x14ac:dyDescent="0.2">
      <c r="A16" s="228"/>
      <c r="B16" s="222"/>
      <c r="C16" s="228"/>
      <c r="D16" s="222"/>
      <c r="E16" s="228"/>
      <c r="F16" s="222"/>
      <c r="G16" s="232"/>
      <c r="H16" s="222"/>
      <c r="I16" s="228"/>
      <c r="J16" s="222"/>
      <c r="K16" s="121"/>
    </row>
    <row r="17" spans="1:12" x14ac:dyDescent="0.2">
      <c r="A17" s="225" t="s">
        <v>171</v>
      </c>
      <c r="B17" s="224">
        <f>SUM(B9:B16)</f>
        <v>0</v>
      </c>
      <c r="C17" s="225" t="s">
        <v>171</v>
      </c>
      <c r="D17" s="224">
        <f>SUM(D9:D16)</f>
        <v>0</v>
      </c>
      <c r="E17" s="225" t="s">
        <v>171</v>
      </c>
      <c r="F17" s="309">
        <f>SUM(F9:F16)</f>
        <v>0</v>
      </c>
      <c r="G17" s="225" t="s">
        <v>171</v>
      </c>
      <c r="H17" s="224">
        <f>SUM(H9:H16)</f>
        <v>0</v>
      </c>
      <c r="I17" s="225" t="s">
        <v>171</v>
      </c>
      <c r="J17" s="224">
        <f>SUM(J9:J16)</f>
        <v>0</v>
      </c>
      <c r="K17" s="224">
        <f>SUM(B17+D17+F17+H17+J17)</f>
        <v>0</v>
      </c>
    </row>
    <row r="18" spans="1:12" x14ac:dyDescent="0.2">
      <c r="A18" s="225" t="s">
        <v>172</v>
      </c>
      <c r="B18" s="224">
        <f>SUM(B7+B17)</f>
        <v>0</v>
      </c>
      <c r="C18" s="225" t="s">
        <v>172</v>
      </c>
      <c r="D18" s="224">
        <f>SUM(D7+D17)</f>
        <v>0</v>
      </c>
      <c r="E18" s="225" t="s">
        <v>172</v>
      </c>
      <c r="F18" s="224">
        <f>SUM(F7+F17)</f>
        <v>0</v>
      </c>
      <c r="G18" s="225" t="s">
        <v>172</v>
      </c>
      <c r="H18" s="224">
        <f>SUM(H7+H17)</f>
        <v>0</v>
      </c>
      <c r="I18" s="225" t="s">
        <v>172</v>
      </c>
      <c r="J18" s="224">
        <f>SUM(J7+J17)</f>
        <v>0</v>
      </c>
      <c r="K18" s="224">
        <f>SUM(B18+D18+F18+H18+J18)</f>
        <v>0</v>
      </c>
    </row>
    <row r="19" spans="1:12" x14ac:dyDescent="0.2">
      <c r="A19" s="225" t="s">
        <v>174</v>
      </c>
      <c r="B19" s="226"/>
      <c r="C19" s="225" t="s">
        <v>174</v>
      </c>
      <c r="D19" s="227"/>
      <c r="E19" s="225" t="s">
        <v>174</v>
      </c>
      <c r="F19" s="121"/>
      <c r="G19" s="225" t="s">
        <v>174</v>
      </c>
      <c r="H19" s="69"/>
      <c r="I19" s="225" t="s">
        <v>174</v>
      </c>
      <c r="J19" s="69"/>
      <c r="K19" s="121"/>
    </row>
    <row r="20" spans="1:12" x14ac:dyDescent="0.2">
      <c r="A20" s="228"/>
      <c r="B20" s="222"/>
      <c r="C20" s="232"/>
      <c r="D20" s="222"/>
      <c r="E20" s="232"/>
      <c r="F20" s="222"/>
      <c r="G20" s="232"/>
      <c r="H20" s="222"/>
      <c r="I20" s="232"/>
      <c r="J20" s="222"/>
      <c r="K20" s="121"/>
    </row>
    <row r="21" spans="1:12" x14ac:dyDescent="0.2">
      <c r="A21" s="228"/>
      <c r="B21" s="222"/>
      <c r="C21" s="232"/>
      <c r="D21" s="222"/>
      <c r="E21" s="232"/>
      <c r="F21" s="222"/>
      <c r="G21" s="232"/>
      <c r="H21" s="222"/>
      <c r="I21" s="232"/>
      <c r="J21" s="222"/>
      <c r="K21" s="121"/>
    </row>
    <row r="22" spans="1:12" x14ac:dyDescent="0.2">
      <c r="A22" s="228"/>
      <c r="B22" s="222"/>
      <c r="C22" s="234"/>
      <c r="D22" s="222"/>
      <c r="E22" s="234"/>
      <c r="F22" s="222"/>
      <c r="G22" s="234"/>
      <c r="H22" s="222"/>
      <c r="I22" s="231"/>
      <c r="J22" s="222"/>
      <c r="K22" s="121"/>
    </row>
    <row r="23" spans="1:12" x14ac:dyDescent="0.2">
      <c r="A23" s="228"/>
      <c r="B23" s="222"/>
      <c r="C23" s="232"/>
      <c r="D23" s="222"/>
      <c r="E23" s="232"/>
      <c r="F23" s="222"/>
      <c r="G23" s="232"/>
      <c r="H23" s="222"/>
      <c r="I23" s="232"/>
      <c r="J23" s="222"/>
      <c r="K23" s="121"/>
    </row>
    <row r="24" spans="1:12" x14ac:dyDescent="0.2">
      <c r="A24" s="228"/>
      <c r="B24" s="222"/>
      <c r="C24" s="234"/>
      <c r="D24" s="222"/>
      <c r="E24" s="234"/>
      <c r="F24" s="222"/>
      <c r="G24" s="234"/>
      <c r="H24" s="222"/>
      <c r="I24" s="231"/>
      <c r="J24" s="222"/>
      <c r="K24" s="121"/>
    </row>
    <row r="25" spans="1:12" x14ac:dyDescent="0.2">
      <c r="A25" s="228"/>
      <c r="B25" s="222"/>
      <c r="C25" s="232"/>
      <c r="D25" s="222"/>
      <c r="E25" s="232"/>
      <c r="F25" s="222"/>
      <c r="G25" s="232"/>
      <c r="H25" s="222"/>
      <c r="I25" s="232"/>
      <c r="J25" s="222"/>
      <c r="K25" s="121"/>
    </row>
    <row r="26" spans="1:12" x14ac:dyDescent="0.2">
      <c r="A26" s="228"/>
      <c r="B26" s="222"/>
      <c r="C26" s="232"/>
      <c r="D26" s="222"/>
      <c r="E26" s="232"/>
      <c r="F26" s="222"/>
      <c r="G26" s="232"/>
      <c r="H26" s="222"/>
      <c r="I26" s="232"/>
      <c r="J26" s="222"/>
      <c r="K26" s="121"/>
    </row>
    <row r="27" spans="1:12" x14ac:dyDescent="0.2">
      <c r="A27" s="228"/>
      <c r="B27" s="222"/>
      <c r="C27" s="228"/>
      <c r="D27" s="222"/>
      <c r="E27" s="228"/>
      <c r="F27" s="222"/>
      <c r="G27" s="232"/>
      <c r="H27" s="222"/>
      <c r="I27" s="232"/>
      <c r="J27" s="222"/>
      <c r="K27" s="121"/>
    </row>
    <row r="28" spans="1:12" x14ac:dyDescent="0.2">
      <c r="A28" s="225" t="s">
        <v>178</v>
      </c>
      <c r="B28" s="224">
        <f>SUM(B20:B27)</f>
        <v>0</v>
      </c>
      <c r="C28" s="225" t="s">
        <v>178</v>
      </c>
      <c r="D28" s="224">
        <f>SUM(D20:D27)</f>
        <v>0</v>
      </c>
      <c r="E28" s="225" t="s">
        <v>178</v>
      </c>
      <c r="F28" s="309">
        <f>SUM(F20:F27)</f>
        <v>0</v>
      </c>
      <c r="G28" s="225" t="s">
        <v>178</v>
      </c>
      <c r="H28" s="309">
        <f>SUM(H20:H27)</f>
        <v>0</v>
      </c>
      <c r="I28" s="225" t="s">
        <v>178</v>
      </c>
      <c r="J28" s="224">
        <f>SUM(J20:J27)</f>
        <v>0</v>
      </c>
      <c r="K28" s="224">
        <f>SUM(B28+D28+F28+H28+J28)</f>
        <v>0</v>
      </c>
    </row>
    <row r="29" spans="1:12" x14ac:dyDescent="0.2">
      <c r="A29" s="225" t="s">
        <v>39</v>
      </c>
      <c r="B29" s="224">
        <f>SUM(B18-B28)</f>
        <v>0</v>
      </c>
      <c r="C29" s="225" t="s">
        <v>39</v>
      </c>
      <c r="D29" s="224">
        <f>SUM(D18-D28)</f>
        <v>0</v>
      </c>
      <c r="E29" s="225" t="s">
        <v>39</v>
      </c>
      <c r="F29" s="224">
        <f>SUM(F18-F28)</f>
        <v>0</v>
      </c>
      <c r="G29" s="225" t="s">
        <v>39</v>
      </c>
      <c r="H29" s="224">
        <f>SUM(H18-H28)</f>
        <v>0</v>
      </c>
      <c r="I29" s="225" t="s">
        <v>39</v>
      </c>
      <c r="J29" s="224">
        <f>SUM(J18-J28)</f>
        <v>0</v>
      </c>
      <c r="K29" s="235">
        <f>SUM(B29+D29+F29+H29+J29)</f>
        <v>0</v>
      </c>
      <c r="L29" s="63" t="s">
        <v>93</v>
      </c>
    </row>
    <row r="30" spans="1:12" x14ac:dyDescent="0.2">
      <c r="A30" s="225"/>
      <c r="B30" s="236" t="str">
        <f>IF(B29&lt;0,"See Tab B","")</f>
        <v/>
      </c>
      <c r="C30" s="225"/>
      <c r="D30" s="236" t="str">
        <f>IF(D29&lt;0,"See Tab B","")</f>
        <v/>
      </c>
      <c r="E30" s="225"/>
      <c r="F30" s="236" t="str">
        <f>IF(F29&lt;0,"See Tab B","")</f>
        <v/>
      </c>
      <c r="G30" s="69"/>
      <c r="H30" s="236" t="str">
        <f>IF(H29&lt;0,"See Tab B","")</f>
        <v/>
      </c>
      <c r="I30" s="69"/>
      <c r="J30" s="236" t="str">
        <f>IF(J29&lt;0,"See Tab B","")</f>
        <v/>
      </c>
      <c r="K30" s="235">
        <f>SUM(K7+K17-K28)</f>
        <v>0</v>
      </c>
      <c r="L30" s="63" t="s">
        <v>93</v>
      </c>
    </row>
    <row r="31" spans="1:12" x14ac:dyDescent="0.2">
      <c r="A31" s="69"/>
      <c r="B31" s="101"/>
      <c r="C31" s="69"/>
      <c r="D31" s="121"/>
      <c r="E31" s="69"/>
      <c r="F31" s="69"/>
      <c r="G31" s="812" t="s">
        <v>95</v>
      </c>
      <c r="H31" s="812"/>
      <c r="I31" s="812"/>
      <c r="J31" s="812"/>
      <c r="K31" s="812"/>
    </row>
    <row r="32" spans="1:12" x14ac:dyDescent="0.2">
      <c r="A32" s="69"/>
      <c r="B32" s="101"/>
      <c r="C32" s="69"/>
      <c r="D32" s="69"/>
      <c r="E32" s="69"/>
      <c r="F32" s="69"/>
      <c r="G32" s="69"/>
      <c r="H32" s="69"/>
      <c r="I32" s="69"/>
      <c r="J32" s="69"/>
      <c r="K32" s="69"/>
    </row>
    <row r="33" spans="1:11" x14ac:dyDescent="0.2">
      <c r="A33" s="602" t="s">
        <v>515</v>
      </c>
      <c r="B33" s="610"/>
      <c r="C33" s="115"/>
      <c r="D33" s="115"/>
      <c r="E33" s="115"/>
      <c r="F33" s="115"/>
      <c r="G33" s="115"/>
      <c r="H33" s="115"/>
      <c r="I33" s="115"/>
      <c r="J33" s="115"/>
      <c r="K33" s="586"/>
    </row>
    <row r="34" spans="1:11" x14ac:dyDescent="0.2">
      <c r="A34" s="611"/>
      <c r="B34" s="101"/>
      <c r="C34" s="69"/>
      <c r="D34" s="69"/>
      <c r="E34" s="69"/>
      <c r="F34" s="69"/>
      <c r="G34" s="69"/>
      <c r="H34" s="69"/>
      <c r="I34" s="69"/>
      <c r="J34" s="69"/>
      <c r="K34" s="612"/>
    </row>
    <row r="35" spans="1:11" x14ac:dyDescent="0.2">
      <c r="A35" s="590"/>
      <c r="B35" s="120"/>
      <c r="C35" s="76"/>
      <c r="D35" s="76"/>
      <c r="E35" s="76"/>
      <c r="F35" s="76"/>
      <c r="G35" s="76"/>
      <c r="H35" s="76"/>
      <c r="I35" s="76"/>
      <c r="J35" s="76"/>
      <c r="K35" s="96"/>
    </row>
    <row r="36" spans="1:11" x14ac:dyDescent="0.2">
      <c r="A36" s="69"/>
      <c r="B36" s="101"/>
      <c r="C36" s="69"/>
      <c r="D36" s="69"/>
      <c r="E36" s="69"/>
      <c r="F36" s="69"/>
      <c r="G36" s="69"/>
      <c r="H36" s="69"/>
      <c r="I36" s="69"/>
      <c r="J36" s="69"/>
      <c r="K36" s="69"/>
    </row>
    <row r="37" spans="1:11" x14ac:dyDescent="0.2">
      <c r="A37" s="69"/>
      <c r="B37" s="101"/>
      <c r="C37" s="69"/>
      <c r="D37" s="69"/>
      <c r="E37" s="135" t="s">
        <v>181</v>
      </c>
      <c r="F37" s="564"/>
      <c r="G37" s="69"/>
      <c r="H37" s="69"/>
      <c r="I37" s="69"/>
      <c r="J37" s="69"/>
      <c r="K37" s="69"/>
    </row>
    <row r="38" spans="1:11" x14ac:dyDescent="0.2">
      <c r="B38" s="237"/>
    </row>
    <row r="39" spans="1:11" x14ac:dyDescent="0.2">
      <c r="B39" s="237"/>
    </row>
    <row r="40" spans="1:11" x14ac:dyDescent="0.2">
      <c r="B40" s="237"/>
    </row>
    <row r="41" spans="1:11" x14ac:dyDescent="0.2">
      <c r="B41" s="237"/>
    </row>
    <row r="42" spans="1:11" x14ac:dyDescent="0.2">
      <c r="B42" s="237"/>
    </row>
    <row r="43" spans="1:11" x14ac:dyDescent="0.2">
      <c r="B43" s="237"/>
    </row>
    <row r="44" spans="1:11" x14ac:dyDescent="0.2">
      <c r="B44" s="237"/>
    </row>
    <row r="45" spans="1:11" x14ac:dyDescent="0.2">
      <c r="B45" s="237"/>
    </row>
  </sheetData>
  <sheetProtection sheet="1"/>
  <mergeCells count="7">
    <mergeCell ref="A2:K2"/>
    <mergeCell ref="G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00B0F0"/>
    <pageSetUpPr fitToPage="1"/>
  </sheetPr>
  <dimension ref="A1:L45"/>
  <sheetViews>
    <sheetView workbookViewId="0">
      <selection activeCell="L1" sqref="L1"/>
    </sheetView>
  </sheetViews>
  <sheetFormatPr defaultColWidth="8.88671875" defaultRowHeight="15.75" x14ac:dyDescent="0.2"/>
  <cols>
    <col min="1" max="1" width="11.5546875" style="63" customWidth="1"/>
    <col min="2" max="2" width="7.44140625" style="63" customWidth="1"/>
    <col min="3" max="3" width="11.5546875" style="63" customWidth="1"/>
    <col min="4" max="4" width="7.44140625" style="63" customWidth="1"/>
    <col min="5" max="5" width="11.5546875" style="63" customWidth="1"/>
    <col min="6" max="6" width="7.44140625" style="63" customWidth="1"/>
    <col min="7" max="7" width="11.5546875" style="63" customWidth="1"/>
    <col min="8" max="8" width="7.44140625" style="63" customWidth="1"/>
    <col min="9" max="9" width="11.5546875" style="63" customWidth="1"/>
    <col min="10" max="16384" width="8.88671875" style="63"/>
  </cols>
  <sheetData>
    <row r="1" spans="1:11" x14ac:dyDescent="0.2">
      <c r="A1" s="89">
        <f>inputPrYr!$D$3</f>
        <v>0</v>
      </c>
      <c r="B1" s="121"/>
      <c r="C1" s="69"/>
      <c r="D1" s="69"/>
      <c r="E1" s="69"/>
      <c r="F1" s="165" t="s">
        <v>42</v>
      </c>
      <c r="G1" s="69"/>
      <c r="H1" s="69"/>
      <c r="I1" s="69"/>
      <c r="J1" s="69"/>
      <c r="K1" s="69">
        <f>inputPrYr!$C$10</f>
        <v>2025</v>
      </c>
    </row>
    <row r="2" spans="1:11" x14ac:dyDescent="0.2">
      <c r="A2" s="811" t="str">
        <f>CONCATENATE("(Only the actual budget year for ",K1-2," is reported)")</f>
        <v>(Only the actual budget year for 2023 is reported)</v>
      </c>
      <c r="B2" s="811"/>
      <c r="C2" s="811"/>
      <c r="D2" s="811"/>
      <c r="E2" s="811"/>
      <c r="F2" s="811"/>
      <c r="G2" s="811"/>
      <c r="H2" s="811"/>
      <c r="I2" s="811"/>
      <c r="J2" s="811"/>
      <c r="K2" s="811"/>
    </row>
    <row r="3" spans="1:11" x14ac:dyDescent="0.2">
      <c r="A3" s="69" t="s">
        <v>67</v>
      </c>
      <c r="B3" s="69"/>
      <c r="C3" s="69"/>
      <c r="D3" s="69"/>
      <c r="E3" s="69"/>
      <c r="F3" s="121"/>
      <c r="G3" s="69"/>
      <c r="H3" s="69"/>
      <c r="I3" s="69"/>
      <c r="J3" s="69"/>
      <c r="K3" s="69"/>
    </row>
    <row r="4" spans="1:11" x14ac:dyDescent="0.2">
      <c r="A4" s="69" t="s">
        <v>33</v>
      </c>
      <c r="B4" s="69"/>
      <c r="C4" s="69" t="s">
        <v>34</v>
      </c>
      <c r="D4" s="69"/>
      <c r="E4" s="69" t="s">
        <v>35</v>
      </c>
      <c r="F4" s="121"/>
      <c r="G4" s="69" t="s">
        <v>36</v>
      </c>
      <c r="H4" s="69"/>
      <c r="I4" s="69" t="s">
        <v>37</v>
      </c>
      <c r="J4" s="69"/>
      <c r="K4" s="69"/>
    </row>
    <row r="5" spans="1:11" x14ac:dyDescent="0.2">
      <c r="A5" s="813" t="str">
        <f>IF(inputPrYr!B80&gt;" ",(inputPrYr!B80)," ")</f>
        <v xml:space="preserve"> </v>
      </c>
      <c r="B5" s="814"/>
      <c r="C5" s="813" t="str">
        <f>IF(inputPrYr!B81&gt;" ",(inputPrYr!B81)," ")</f>
        <v xml:space="preserve"> </v>
      </c>
      <c r="D5" s="814"/>
      <c r="E5" s="813" t="str">
        <f>IF(inputPrYr!B82&gt;" ",(inputPrYr!B82)," ")</f>
        <v xml:space="preserve"> </v>
      </c>
      <c r="F5" s="814"/>
      <c r="G5" s="813" t="str">
        <f>IF(inputPrYr!B83&gt;" ",(inputPrYr!B83)," ")</f>
        <v xml:space="preserve"> </v>
      </c>
      <c r="H5" s="814"/>
      <c r="I5" s="813" t="str">
        <f>IF(inputPrYr!B84&gt;" ",(inputPrYr!B84)," ")</f>
        <v xml:space="preserve"> </v>
      </c>
      <c r="J5" s="814"/>
      <c r="K5" s="76"/>
    </row>
    <row r="6" spans="1:11" x14ac:dyDescent="0.2">
      <c r="A6" s="217" t="s">
        <v>38</v>
      </c>
      <c r="B6" s="218"/>
      <c r="C6" s="219" t="s">
        <v>38</v>
      </c>
      <c r="D6" s="220"/>
      <c r="E6" s="219" t="s">
        <v>38</v>
      </c>
      <c r="F6" s="157"/>
      <c r="G6" s="219" t="s">
        <v>38</v>
      </c>
      <c r="H6" s="99"/>
      <c r="I6" s="219" t="s">
        <v>38</v>
      </c>
      <c r="J6" s="69"/>
      <c r="K6" s="153" t="s">
        <v>142</v>
      </c>
    </row>
    <row r="7" spans="1:11" x14ac:dyDescent="0.2">
      <c r="A7" s="221" t="s">
        <v>121</v>
      </c>
      <c r="B7" s="222"/>
      <c r="C7" s="223" t="s">
        <v>121</v>
      </c>
      <c r="D7" s="222"/>
      <c r="E7" s="223" t="s">
        <v>121</v>
      </c>
      <c r="F7" s="222"/>
      <c r="G7" s="223" t="s">
        <v>121</v>
      </c>
      <c r="H7" s="222"/>
      <c r="I7" s="223" t="s">
        <v>121</v>
      </c>
      <c r="J7" s="222"/>
      <c r="K7" s="224">
        <f>SUM(B7+D7+F7+H7+J7)</f>
        <v>0</v>
      </c>
    </row>
    <row r="8" spans="1:11" x14ac:dyDescent="0.2">
      <c r="A8" s="225" t="s">
        <v>20</v>
      </c>
      <c r="B8" s="226"/>
      <c r="C8" s="225" t="s">
        <v>20</v>
      </c>
      <c r="D8" s="227"/>
      <c r="E8" s="225" t="s">
        <v>20</v>
      </c>
      <c r="F8" s="121"/>
      <c r="G8" s="225" t="s">
        <v>20</v>
      </c>
      <c r="H8" s="69"/>
      <c r="I8" s="225" t="s">
        <v>20</v>
      </c>
      <c r="J8" s="69"/>
      <c r="K8" s="121"/>
    </row>
    <row r="9" spans="1:11" x14ac:dyDescent="0.2">
      <c r="A9" s="228"/>
      <c r="B9" s="222"/>
      <c r="C9" s="228"/>
      <c r="D9" s="222"/>
      <c r="E9" s="228"/>
      <c r="F9" s="222"/>
      <c r="G9" s="228"/>
      <c r="H9" s="222"/>
      <c r="I9" s="228"/>
      <c r="J9" s="222"/>
      <c r="K9" s="121"/>
    </row>
    <row r="10" spans="1:11" x14ac:dyDescent="0.2">
      <c r="A10" s="228"/>
      <c r="B10" s="222"/>
      <c r="C10" s="228"/>
      <c r="D10" s="222"/>
      <c r="E10" s="228"/>
      <c r="F10" s="222"/>
      <c r="G10" s="228"/>
      <c r="H10" s="222"/>
      <c r="I10" s="228"/>
      <c r="J10" s="222"/>
      <c r="K10" s="121"/>
    </row>
    <row r="11" spans="1:11" x14ac:dyDescent="0.2">
      <c r="A11" s="228"/>
      <c r="B11" s="222"/>
      <c r="C11" s="230"/>
      <c r="D11" s="222"/>
      <c r="E11" s="230"/>
      <c r="F11" s="222"/>
      <c r="G11" s="230"/>
      <c r="H11" s="222"/>
      <c r="I11" s="231"/>
      <c r="J11" s="222"/>
      <c r="K11" s="121"/>
    </row>
    <row r="12" spans="1:11" x14ac:dyDescent="0.2">
      <c r="A12" s="228"/>
      <c r="B12" s="222"/>
      <c r="C12" s="228"/>
      <c r="D12" s="222"/>
      <c r="E12" s="232"/>
      <c r="F12" s="222"/>
      <c r="G12" s="232"/>
      <c r="H12" s="222"/>
      <c r="I12" s="232"/>
      <c r="J12" s="222"/>
      <c r="K12" s="121"/>
    </row>
    <row r="13" spans="1:11" x14ac:dyDescent="0.2">
      <c r="A13" s="233"/>
      <c r="B13" s="222"/>
      <c r="C13" s="234"/>
      <c r="D13" s="222"/>
      <c r="E13" s="234"/>
      <c r="F13" s="222"/>
      <c r="G13" s="234"/>
      <c r="H13" s="222"/>
      <c r="I13" s="231"/>
      <c r="J13" s="222"/>
      <c r="K13" s="121"/>
    </row>
    <row r="14" spans="1:11" x14ac:dyDescent="0.2">
      <c r="A14" s="228"/>
      <c r="B14" s="222"/>
      <c r="C14" s="232"/>
      <c r="D14" s="222"/>
      <c r="E14" s="232"/>
      <c r="F14" s="222"/>
      <c r="G14" s="232"/>
      <c r="H14" s="222"/>
      <c r="I14" s="232"/>
      <c r="J14" s="222"/>
      <c r="K14" s="121"/>
    </row>
    <row r="15" spans="1:11" x14ac:dyDescent="0.2">
      <c r="A15" s="228"/>
      <c r="B15" s="222"/>
      <c r="C15" s="232"/>
      <c r="D15" s="222"/>
      <c r="E15" s="232"/>
      <c r="F15" s="222"/>
      <c r="G15" s="232"/>
      <c r="H15" s="222"/>
      <c r="I15" s="232"/>
      <c r="J15" s="222"/>
      <c r="K15" s="121"/>
    </row>
    <row r="16" spans="1:11" x14ac:dyDescent="0.2">
      <c r="A16" s="228"/>
      <c r="B16" s="222"/>
      <c r="C16" s="228"/>
      <c r="D16" s="222"/>
      <c r="E16" s="228"/>
      <c r="F16" s="222"/>
      <c r="G16" s="232"/>
      <c r="H16" s="222"/>
      <c r="I16" s="228"/>
      <c r="J16" s="222"/>
      <c r="K16" s="121"/>
    </row>
    <row r="17" spans="1:12" x14ac:dyDescent="0.2">
      <c r="A17" s="225" t="s">
        <v>171</v>
      </c>
      <c r="B17" s="224">
        <f>SUM(B9:B16)</f>
        <v>0</v>
      </c>
      <c r="C17" s="225" t="s">
        <v>171</v>
      </c>
      <c r="D17" s="224">
        <f>SUM(D9:D16)</f>
        <v>0</v>
      </c>
      <c r="E17" s="225" t="s">
        <v>171</v>
      </c>
      <c r="F17" s="309">
        <f>SUM(F9:F16)</f>
        <v>0</v>
      </c>
      <c r="G17" s="225" t="s">
        <v>171</v>
      </c>
      <c r="H17" s="224">
        <f>SUM(H9:H16)</f>
        <v>0</v>
      </c>
      <c r="I17" s="225" t="s">
        <v>171</v>
      </c>
      <c r="J17" s="224">
        <f>SUM(J9:J16)</f>
        <v>0</v>
      </c>
      <c r="K17" s="224">
        <f>SUM(B17+D17+F17+H17+J17)</f>
        <v>0</v>
      </c>
    </row>
    <row r="18" spans="1:12" x14ac:dyDescent="0.2">
      <c r="A18" s="225" t="s">
        <v>172</v>
      </c>
      <c r="B18" s="224">
        <f>SUM(B7+B17)</f>
        <v>0</v>
      </c>
      <c r="C18" s="225" t="s">
        <v>172</v>
      </c>
      <c r="D18" s="224">
        <f>SUM(D7+D17)</f>
        <v>0</v>
      </c>
      <c r="E18" s="225" t="s">
        <v>172</v>
      </c>
      <c r="F18" s="224">
        <f>SUM(F7+F17)</f>
        <v>0</v>
      </c>
      <c r="G18" s="225" t="s">
        <v>172</v>
      </c>
      <c r="H18" s="224">
        <f>SUM(H7+H17)</f>
        <v>0</v>
      </c>
      <c r="I18" s="225" t="s">
        <v>172</v>
      </c>
      <c r="J18" s="224">
        <f>SUM(J7+J17)</f>
        <v>0</v>
      </c>
      <c r="K18" s="224">
        <f>SUM(B18+D18+F18+H18+J18)</f>
        <v>0</v>
      </c>
    </row>
    <row r="19" spans="1:12" x14ac:dyDescent="0.2">
      <c r="A19" s="225" t="s">
        <v>174</v>
      </c>
      <c r="B19" s="226"/>
      <c r="C19" s="225" t="s">
        <v>174</v>
      </c>
      <c r="D19" s="227"/>
      <c r="E19" s="225" t="s">
        <v>174</v>
      </c>
      <c r="F19" s="121"/>
      <c r="G19" s="225" t="s">
        <v>174</v>
      </c>
      <c r="H19" s="69"/>
      <c r="I19" s="225" t="s">
        <v>174</v>
      </c>
      <c r="J19" s="69"/>
      <c r="K19" s="121"/>
    </row>
    <row r="20" spans="1:12" x14ac:dyDescent="0.2">
      <c r="A20" s="228"/>
      <c r="B20" s="222"/>
      <c r="C20" s="232"/>
      <c r="D20" s="222"/>
      <c r="E20" s="232"/>
      <c r="F20" s="222"/>
      <c r="G20" s="232"/>
      <c r="H20" s="222"/>
      <c r="I20" s="232"/>
      <c r="J20" s="222"/>
      <c r="K20" s="121"/>
    </row>
    <row r="21" spans="1:12" x14ac:dyDescent="0.2">
      <c r="A21" s="228"/>
      <c r="B21" s="222"/>
      <c r="C21" s="232"/>
      <c r="D21" s="222"/>
      <c r="E21" s="232"/>
      <c r="F21" s="222"/>
      <c r="G21" s="232"/>
      <c r="H21" s="222"/>
      <c r="I21" s="232"/>
      <c r="J21" s="222"/>
      <c r="K21" s="121"/>
    </row>
    <row r="22" spans="1:12" x14ac:dyDescent="0.2">
      <c r="A22" s="228"/>
      <c r="B22" s="222"/>
      <c r="C22" s="234"/>
      <c r="D22" s="222"/>
      <c r="E22" s="234"/>
      <c r="F22" s="222"/>
      <c r="G22" s="234"/>
      <c r="H22" s="222"/>
      <c r="I22" s="231"/>
      <c r="J22" s="222"/>
      <c r="K22" s="121"/>
    </row>
    <row r="23" spans="1:12" x14ac:dyDescent="0.2">
      <c r="A23" s="228"/>
      <c r="B23" s="222"/>
      <c r="C23" s="232"/>
      <c r="D23" s="222"/>
      <c r="E23" s="232"/>
      <c r="F23" s="222"/>
      <c r="G23" s="232"/>
      <c r="H23" s="222"/>
      <c r="I23" s="232"/>
      <c r="J23" s="222"/>
      <c r="K23" s="121"/>
    </row>
    <row r="24" spans="1:12" x14ac:dyDescent="0.2">
      <c r="A24" s="228"/>
      <c r="B24" s="222"/>
      <c r="C24" s="234"/>
      <c r="D24" s="222"/>
      <c r="E24" s="234"/>
      <c r="F24" s="222"/>
      <c r="G24" s="234"/>
      <c r="H24" s="222"/>
      <c r="I24" s="231"/>
      <c r="J24" s="222"/>
      <c r="K24" s="121"/>
    </row>
    <row r="25" spans="1:12" x14ac:dyDescent="0.2">
      <c r="A25" s="228"/>
      <c r="B25" s="222"/>
      <c r="C25" s="232"/>
      <c r="D25" s="222"/>
      <c r="E25" s="232"/>
      <c r="F25" s="222"/>
      <c r="G25" s="232"/>
      <c r="H25" s="222"/>
      <c r="I25" s="232"/>
      <c r="J25" s="222"/>
      <c r="K25" s="121"/>
    </row>
    <row r="26" spans="1:12" x14ac:dyDescent="0.2">
      <c r="A26" s="228"/>
      <c r="B26" s="222"/>
      <c r="C26" s="232"/>
      <c r="D26" s="222"/>
      <c r="E26" s="232"/>
      <c r="F26" s="222"/>
      <c r="G26" s="232"/>
      <c r="H26" s="222"/>
      <c r="I26" s="232"/>
      <c r="J26" s="222"/>
      <c r="K26" s="121"/>
    </row>
    <row r="27" spans="1:12" x14ac:dyDescent="0.2">
      <c r="A27" s="228"/>
      <c r="B27" s="222"/>
      <c r="C27" s="228"/>
      <c r="D27" s="222"/>
      <c r="E27" s="228"/>
      <c r="F27" s="222"/>
      <c r="G27" s="232"/>
      <c r="H27" s="222"/>
      <c r="I27" s="232"/>
      <c r="J27" s="222"/>
      <c r="K27" s="121"/>
    </row>
    <row r="28" spans="1:12" x14ac:dyDescent="0.2">
      <c r="A28" s="225" t="s">
        <v>178</v>
      </c>
      <c r="B28" s="224">
        <f>SUM(B20:B27)</f>
        <v>0</v>
      </c>
      <c r="C28" s="225" t="s">
        <v>178</v>
      </c>
      <c r="D28" s="224">
        <f>SUM(D20:D27)</f>
        <v>0</v>
      </c>
      <c r="E28" s="225" t="s">
        <v>178</v>
      </c>
      <c r="F28" s="309">
        <f>SUM(F20:F27)</f>
        <v>0</v>
      </c>
      <c r="G28" s="225" t="s">
        <v>178</v>
      </c>
      <c r="H28" s="309">
        <f>SUM(H20:H27)</f>
        <v>0</v>
      </c>
      <c r="I28" s="225" t="s">
        <v>178</v>
      </c>
      <c r="J28" s="224">
        <f>SUM(J20:J27)</f>
        <v>0</v>
      </c>
      <c r="K28" s="224">
        <f>SUM(B28+D28+F28+H28+J28)</f>
        <v>0</v>
      </c>
    </row>
    <row r="29" spans="1:12" x14ac:dyDescent="0.2">
      <c r="A29" s="225" t="s">
        <v>39</v>
      </c>
      <c r="B29" s="224">
        <f>SUM(B18-B28)</f>
        <v>0</v>
      </c>
      <c r="C29" s="225" t="s">
        <v>39</v>
      </c>
      <c r="D29" s="224">
        <f>SUM(D18-D28)</f>
        <v>0</v>
      </c>
      <c r="E29" s="225" t="s">
        <v>39</v>
      </c>
      <c r="F29" s="224">
        <f>SUM(F18-F28)</f>
        <v>0</v>
      </c>
      <c r="G29" s="225" t="s">
        <v>39</v>
      </c>
      <c r="H29" s="224">
        <f>SUM(H18-H28)</f>
        <v>0</v>
      </c>
      <c r="I29" s="225" t="s">
        <v>39</v>
      </c>
      <c r="J29" s="224">
        <f>SUM(J18-J28)</f>
        <v>0</v>
      </c>
      <c r="K29" s="235">
        <f>SUM(B29+D29+F29+H29+J29)</f>
        <v>0</v>
      </c>
      <c r="L29" s="63" t="s">
        <v>93</v>
      </c>
    </row>
    <row r="30" spans="1:12" x14ac:dyDescent="0.2">
      <c r="A30" s="225"/>
      <c r="B30" s="236" t="str">
        <f>IF(B29&lt;0,"See Tab B","")</f>
        <v/>
      </c>
      <c r="C30" s="225"/>
      <c r="D30" s="236" t="str">
        <f>IF(D29&lt;0,"See Tab B","")</f>
        <v/>
      </c>
      <c r="E30" s="225"/>
      <c r="F30" s="236" t="str">
        <f>IF(F29&lt;0,"See Tab B","")</f>
        <v/>
      </c>
      <c r="G30" s="69"/>
      <c r="H30" s="236" t="str">
        <f>IF(H29&lt;0,"See Tab B","")</f>
        <v/>
      </c>
      <c r="I30" s="69"/>
      <c r="J30" s="236" t="str">
        <f>IF(J29&lt;0,"See Tab B","")</f>
        <v/>
      </c>
      <c r="K30" s="235">
        <f>SUM(K7+K17-K28)</f>
        <v>0</v>
      </c>
      <c r="L30" s="63" t="s">
        <v>93</v>
      </c>
    </row>
    <row r="31" spans="1:12" x14ac:dyDescent="0.2">
      <c r="A31" s="69"/>
      <c r="B31" s="101"/>
      <c r="C31" s="69"/>
      <c r="D31" s="121"/>
      <c r="E31" s="69"/>
      <c r="F31" s="69"/>
      <c r="G31" s="812" t="s">
        <v>94</v>
      </c>
      <c r="H31" s="812"/>
      <c r="I31" s="812"/>
      <c r="J31" s="812"/>
      <c r="K31" s="812"/>
    </row>
    <row r="32" spans="1:12" x14ac:dyDescent="0.2">
      <c r="A32" s="69"/>
      <c r="B32" s="101"/>
      <c r="C32" s="69"/>
      <c r="D32" s="69"/>
      <c r="E32" s="69"/>
      <c r="F32" s="69"/>
      <c r="G32" s="69"/>
      <c r="H32" s="69"/>
      <c r="I32" s="69"/>
      <c r="J32" s="69"/>
      <c r="K32" s="69"/>
    </row>
    <row r="33" spans="1:11" x14ac:dyDescent="0.2">
      <c r="A33" s="602" t="s">
        <v>515</v>
      </c>
      <c r="B33" s="610"/>
      <c r="C33" s="115"/>
      <c r="D33" s="115"/>
      <c r="E33" s="115"/>
      <c r="F33" s="115"/>
      <c r="G33" s="115"/>
      <c r="H33" s="115"/>
      <c r="I33" s="115"/>
      <c r="J33" s="115"/>
      <c r="K33" s="586"/>
    </row>
    <row r="34" spans="1:11" x14ac:dyDescent="0.2">
      <c r="A34" s="611"/>
      <c r="B34" s="101"/>
      <c r="C34" s="69"/>
      <c r="D34" s="69"/>
      <c r="E34" s="69"/>
      <c r="F34" s="69"/>
      <c r="G34" s="69"/>
      <c r="H34" s="69"/>
      <c r="I34" s="69"/>
      <c r="J34" s="69"/>
      <c r="K34" s="612"/>
    </row>
    <row r="35" spans="1:11" x14ac:dyDescent="0.2">
      <c r="A35" s="590"/>
      <c r="B35" s="120"/>
      <c r="C35" s="76"/>
      <c r="D35" s="76"/>
      <c r="E35" s="76"/>
      <c r="F35" s="76"/>
      <c r="G35" s="76"/>
      <c r="H35" s="76"/>
      <c r="I35" s="76"/>
      <c r="J35" s="76"/>
      <c r="K35" s="96"/>
    </row>
    <row r="36" spans="1:11" x14ac:dyDescent="0.2">
      <c r="A36" s="69"/>
      <c r="B36" s="101"/>
      <c r="C36" s="69"/>
      <c r="D36" s="69"/>
      <c r="E36" s="69"/>
      <c r="F36" s="69"/>
      <c r="G36" s="69"/>
      <c r="H36" s="69"/>
      <c r="I36" s="69"/>
      <c r="J36" s="69"/>
      <c r="K36" s="69"/>
    </row>
    <row r="37" spans="1:11" x14ac:dyDescent="0.2">
      <c r="A37" s="69"/>
      <c r="B37" s="101"/>
      <c r="C37" s="69"/>
      <c r="D37" s="69"/>
      <c r="E37" s="135" t="s">
        <v>181</v>
      </c>
      <c r="F37" s="564"/>
      <c r="G37" s="69"/>
      <c r="H37" s="69"/>
      <c r="I37" s="69"/>
      <c r="J37" s="69"/>
      <c r="K37" s="69"/>
    </row>
    <row r="38" spans="1:11" x14ac:dyDescent="0.2">
      <c r="B38" s="237"/>
    </row>
    <row r="39" spans="1:11" x14ac:dyDescent="0.2">
      <c r="B39" s="237"/>
    </row>
    <row r="40" spans="1:11" x14ac:dyDescent="0.2">
      <c r="B40" s="237"/>
    </row>
    <row r="41" spans="1:11" x14ac:dyDescent="0.2">
      <c r="B41" s="237"/>
    </row>
    <row r="42" spans="1:11" x14ac:dyDescent="0.2">
      <c r="B42" s="237"/>
    </row>
    <row r="43" spans="1:11" x14ac:dyDescent="0.2">
      <c r="B43" s="237"/>
    </row>
    <row r="44" spans="1:11" x14ac:dyDescent="0.2">
      <c r="B44" s="237"/>
    </row>
    <row r="45" spans="1:11" x14ac:dyDescent="0.2">
      <c r="B45" s="237"/>
    </row>
  </sheetData>
  <sheetProtection sheet="1"/>
  <mergeCells count="7">
    <mergeCell ref="A2:K2"/>
    <mergeCell ref="G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69"/>
  <sheetViews>
    <sheetView workbookViewId="0">
      <selection activeCell="B1" sqref="B1"/>
    </sheetView>
  </sheetViews>
  <sheetFormatPr defaultColWidth="8.88671875" defaultRowHeight="15" x14ac:dyDescent="0.2"/>
  <cols>
    <col min="1" max="1" width="70.5546875" style="107" customWidth="1"/>
    <col min="2" max="16384" width="8.88671875" style="107"/>
  </cols>
  <sheetData>
    <row r="1" spans="1:1" ht="18.75" x14ac:dyDescent="0.3">
      <c r="A1" s="368" t="s">
        <v>230</v>
      </c>
    </row>
    <row r="2" spans="1:1" ht="15.75" x14ac:dyDescent="0.25">
      <c r="A2" s="366"/>
    </row>
    <row r="3" spans="1:1" ht="47.25" x14ac:dyDescent="0.25">
      <c r="A3" s="365" t="s">
        <v>231</v>
      </c>
    </row>
    <row r="4" spans="1:1" ht="15.75" x14ac:dyDescent="0.25">
      <c r="A4" s="367"/>
    </row>
    <row r="5" spans="1:1" ht="15.75" x14ac:dyDescent="0.25">
      <c r="A5" s="366"/>
    </row>
    <row r="6" spans="1:1" ht="31.5" x14ac:dyDescent="0.25">
      <c r="A6" s="365" t="s">
        <v>232</v>
      </c>
    </row>
    <row r="7" spans="1:1" ht="15.75" x14ac:dyDescent="0.25">
      <c r="A7" s="366"/>
    </row>
    <row r="8" spans="1:1" ht="15.75" x14ac:dyDescent="0.25">
      <c r="A8" s="367"/>
    </row>
    <row r="9" spans="1:1" ht="31.5" x14ac:dyDescent="0.25">
      <c r="A9" s="365" t="s">
        <v>233</v>
      </c>
    </row>
    <row r="10" spans="1:1" ht="15.75" x14ac:dyDescent="0.25">
      <c r="A10" s="366"/>
    </row>
    <row r="11" spans="1:1" ht="15.75" x14ac:dyDescent="0.25">
      <c r="A11" s="367"/>
    </row>
    <row r="12" spans="1:1" ht="47.25" x14ac:dyDescent="0.25">
      <c r="A12" s="365" t="s">
        <v>234</v>
      </c>
    </row>
    <row r="13" spans="1:1" ht="15.75" x14ac:dyDescent="0.25">
      <c r="A13" s="366"/>
    </row>
    <row r="14" spans="1:1" ht="15.75" x14ac:dyDescent="0.25">
      <c r="A14" s="366"/>
    </row>
    <row r="15" spans="1:1" ht="47.25" x14ac:dyDescent="0.25">
      <c r="A15" s="365" t="s">
        <v>235</v>
      </c>
    </row>
    <row r="16" spans="1:1" ht="15.75" x14ac:dyDescent="0.25">
      <c r="A16" s="366"/>
    </row>
    <row r="17" spans="1:1" ht="15.75" x14ac:dyDescent="0.25">
      <c r="A17" s="366"/>
    </row>
    <row r="18" spans="1:1" ht="47.25" x14ac:dyDescent="0.25">
      <c r="A18" s="365" t="s">
        <v>236</v>
      </c>
    </row>
    <row r="19" spans="1:1" ht="15.75" x14ac:dyDescent="0.25">
      <c r="A19" s="366"/>
    </row>
    <row r="20" spans="1:1" ht="15.75" x14ac:dyDescent="0.25">
      <c r="A20" s="366"/>
    </row>
    <row r="21" spans="1:1" ht="47.25" x14ac:dyDescent="0.25">
      <c r="A21" s="365" t="s">
        <v>237</v>
      </c>
    </row>
    <row r="22" spans="1:1" ht="15.75" x14ac:dyDescent="0.25">
      <c r="A22" s="367"/>
    </row>
    <row r="23" spans="1:1" ht="15.75" x14ac:dyDescent="0.25">
      <c r="A23" s="367"/>
    </row>
    <row r="24" spans="1:1" ht="47.25" x14ac:dyDescent="0.25">
      <c r="A24" s="365" t="s">
        <v>238</v>
      </c>
    </row>
    <row r="25" spans="1:1" ht="15.75" x14ac:dyDescent="0.25">
      <c r="A25" s="366"/>
    </row>
    <row r="26" spans="1:1" ht="15.75" x14ac:dyDescent="0.25">
      <c r="A26" s="366"/>
    </row>
    <row r="27" spans="1:1" ht="47.25" x14ac:dyDescent="0.25">
      <c r="A27" s="369" t="s">
        <v>351</v>
      </c>
    </row>
    <row r="28" spans="1:1" ht="15.75" x14ac:dyDescent="0.25">
      <c r="A28" s="366"/>
    </row>
    <row r="29" spans="1:1" ht="15.75" x14ac:dyDescent="0.25">
      <c r="A29" s="366"/>
    </row>
    <row r="30" spans="1:1" ht="31.5" x14ac:dyDescent="0.25">
      <c r="A30" s="365" t="s">
        <v>239</v>
      </c>
    </row>
    <row r="31" spans="1:1" ht="15.75" x14ac:dyDescent="0.25">
      <c r="A31" s="366"/>
    </row>
    <row r="32" spans="1:1" ht="15.75" x14ac:dyDescent="0.25">
      <c r="A32" s="366"/>
    </row>
    <row r="33" spans="1:1" ht="31.5" x14ac:dyDescent="0.25">
      <c r="A33" s="365" t="s">
        <v>240</v>
      </c>
    </row>
    <row r="34" spans="1:1" ht="15.75" x14ac:dyDescent="0.25">
      <c r="A34" s="367"/>
    </row>
    <row r="35" spans="1:1" ht="15.75" x14ac:dyDescent="0.25">
      <c r="A35" s="367"/>
    </row>
    <row r="36" spans="1:1" ht="31.5" x14ac:dyDescent="0.25">
      <c r="A36" s="365" t="s">
        <v>241</v>
      </c>
    </row>
    <row r="37" spans="1:1" ht="15.75" x14ac:dyDescent="0.25">
      <c r="A37" s="367"/>
    </row>
    <row r="38" spans="1:1" ht="15.75" x14ac:dyDescent="0.25">
      <c r="A38" s="366"/>
    </row>
    <row r="39" spans="1:1" ht="63" x14ac:dyDescent="0.25">
      <c r="A39" s="365" t="s">
        <v>242</v>
      </c>
    </row>
    <row r="40" spans="1:1" ht="15.75" x14ac:dyDescent="0.25">
      <c r="A40" s="366"/>
    </row>
    <row r="41" spans="1:1" ht="15.75" x14ac:dyDescent="0.25">
      <c r="A41" s="366"/>
    </row>
    <row r="42" spans="1:1" ht="47.25" x14ac:dyDescent="0.25">
      <c r="A42" s="365" t="s">
        <v>243</v>
      </c>
    </row>
    <row r="43" spans="1:1" ht="15.75" x14ac:dyDescent="0.25">
      <c r="A43" s="367"/>
    </row>
    <row r="44" spans="1:1" ht="15.75" x14ac:dyDescent="0.25">
      <c r="A44" s="366"/>
    </row>
    <row r="45" spans="1:1" ht="47.25" x14ac:dyDescent="0.25">
      <c r="A45" s="365" t="s">
        <v>244</v>
      </c>
    </row>
    <row r="46" spans="1:1" ht="15.75" x14ac:dyDescent="0.25">
      <c r="A46" s="366"/>
    </row>
    <row r="47" spans="1:1" ht="15.75" x14ac:dyDescent="0.25">
      <c r="A47" s="366"/>
    </row>
    <row r="48" spans="1:1" ht="31.5" x14ac:dyDescent="0.25">
      <c r="A48" s="365" t="s">
        <v>245</v>
      </c>
    </row>
    <row r="49" spans="1:1" ht="15.75" x14ac:dyDescent="0.25">
      <c r="A49" s="366"/>
    </row>
    <row r="50" spans="1:1" ht="15.75" x14ac:dyDescent="0.25">
      <c r="A50" s="366"/>
    </row>
    <row r="51" spans="1:1" ht="63" x14ac:dyDescent="0.25">
      <c r="A51" s="365" t="s">
        <v>246</v>
      </c>
    </row>
    <row r="52" spans="1:1" ht="15.75" x14ac:dyDescent="0.25">
      <c r="A52" s="367"/>
    </row>
    <row r="53" spans="1:1" ht="15.75" x14ac:dyDescent="0.25">
      <c r="A53" s="367"/>
    </row>
    <row r="54" spans="1:1" ht="47.25" x14ac:dyDescent="0.25">
      <c r="A54" s="365" t="s">
        <v>247</v>
      </c>
    </row>
    <row r="55" spans="1:1" ht="15.75" x14ac:dyDescent="0.25">
      <c r="A55" s="366"/>
    </row>
    <row r="56" spans="1:1" ht="15.75" x14ac:dyDescent="0.25">
      <c r="A56" s="366"/>
    </row>
    <row r="57" spans="1:1" ht="31.5" x14ac:dyDescent="0.25">
      <c r="A57" s="365" t="s">
        <v>248</v>
      </c>
    </row>
    <row r="58" spans="1:1" ht="15.75" x14ac:dyDescent="0.25">
      <c r="A58" s="366"/>
    </row>
    <row r="59" spans="1:1" ht="15.75" x14ac:dyDescent="0.25">
      <c r="A59" s="366"/>
    </row>
    <row r="60" spans="1:1" ht="47.25" x14ac:dyDescent="0.25">
      <c r="A60" s="365" t="s">
        <v>249</v>
      </c>
    </row>
    <row r="61" spans="1:1" ht="15.75" x14ac:dyDescent="0.25">
      <c r="A61" s="367"/>
    </row>
    <row r="62" spans="1:1" ht="15.75" x14ac:dyDescent="0.25">
      <c r="A62" s="367"/>
    </row>
    <row r="63" spans="1:1" ht="47.25" x14ac:dyDescent="0.25">
      <c r="A63" s="365" t="s">
        <v>250</v>
      </c>
    </row>
    <row r="64" spans="1:1" ht="15.75" x14ac:dyDescent="0.25">
      <c r="A64" s="366"/>
    </row>
    <row r="65" spans="1:1" ht="15.75" x14ac:dyDescent="0.25">
      <c r="A65" s="366"/>
    </row>
    <row r="66" spans="1:1" ht="47.25" x14ac:dyDescent="0.25">
      <c r="A66" s="365" t="s">
        <v>251</v>
      </c>
    </row>
    <row r="67" spans="1:1" ht="15.75" x14ac:dyDescent="0.2">
      <c r="A67" s="63"/>
    </row>
    <row r="68" spans="1:1" ht="15.75" x14ac:dyDescent="0.2">
      <c r="A68" s="63"/>
    </row>
    <row r="69" spans="1:1" ht="15.75" x14ac:dyDescent="0.2">
      <c r="A69" s="216"/>
    </row>
  </sheetData>
  <sheetProtection sheet="1"/>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00B0F0"/>
    <pageSetUpPr fitToPage="1"/>
  </sheetPr>
  <dimension ref="A1:M78"/>
  <sheetViews>
    <sheetView zoomScale="75" workbookViewId="0">
      <selection activeCell="I1" sqref="I1"/>
    </sheetView>
  </sheetViews>
  <sheetFormatPr defaultColWidth="8.88671875" defaultRowHeight="15.75" outlineLevelRow="2" x14ac:dyDescent="0.2"/>
  <cols>
    <col min="1" max="1" width="21.5546875" style="63" customWidth="1"/>
    <col min="2" max="2" width="15.77734375" style="63" customWidth="1"/>
    <col min="3" max="3" width="10.77734375" style="63" customWidth="1"/>
    <col min="4" max="4" width="15.77734375" style="63" customWidth="1"/>
    <col min="5" max="5" width="10.77734375" style="63" customWidth="1"/>
    <col min="6" max="6" width="15.77734375" style="63" customWidth="1"/>
    <col min="7" max="7" width="12.77734375" style="63" customWidth="1"/>
    <col min="8" max="8" width="10.77734375" style="63" customWidth="1"/>
    <col min="9" max="9" width="8.88671875" style="63"/>
    <col min="10" max="10" width="12.44140625" style="63" customWidth="1"/>
    <col min="11" max="11" width="12.33203125" style="63" customWidth="1"/>
    <col min="12" max="12" width="10.5546875" style="63" customWidth="1"/>
    <col min="13" max="13" width="12.109375" style="63" customWidth="1"/>
    <col min="14" max="16384" width="8.88671875" style="63"/>
  </cols>
  <sheetData>
    <row r="1" spans="1:9" x14ac:dyDescent="0.2">
      <c r="A1" s="821" t="s">
        <v>2</v>
      </c>
      <c r="B1" s="821"/>
      <c r="C1" s="821"/>
      <c r="D1" s="821"/>
      <c r="E1" s="821"/>
      <c r="F1" s="821"/>
      <c r="G1" s="821"/>
      <c r="H1" s="821"/>
      <c r="I1" s="195"/>
    </row>
    <row r="2" spans="1:9" ht="18" customHeight="1" x14ac:dyDescent="0.2">
      <c r="A2" s="69"/>
      <c r="B2" s="69"/>
      <c r="C2" s="69"/>
      <c r="D2" s="69"/>
      <c r="E2" s="69"/>
      <c r="F2" s="69"/>
      <c r="G2" s="69"/>
      <c r="H2" s="69">
        <f>inputPrYr!$C$10</f>
        <v>2025</v>
      </c>
    </row>
    <row r="3" spans="1:9" ht="18" customHeight="1" x14ac:dyDescent="0.2">
      <c r="A3" s="765" t="s">
        <v>184</v>
      </c>
      <c r="B3" s="765"/>
      <c r="C3" s="765"/>
      <c r="D3" s="765"/>
      <c r="E3" s="765"/>
      <c r="F3" s="765"/>
      <c r="G3" s="765"/>
      <c r="H3" s="765"/>
    </row>
    <row r="4" spans="1:9" x14ac:dyDescent="0.2">
      <c r="A4" s="697">
        <f>inputPrYr!D3</f>
        <v>0</v>
      </c>
      <c r="B4" s="697"/>
      <c r="C4" s="697"/>
      <c r="D4" s="697"/>
      <c r="E4" s="697"/>
      <c r="F4" s="697"/>
      <c r="G4" s="697"/>
      <c r="H4" s="697"/>
    </row>
    <row r="5" spans="1:9" ht="18" customHeight="1" x14ac:dyDescent="0.2">
      <c r="A5" s="765" t="str">
        <f>CONCATENATE("will meet on ",inputHearing!B18," at ",inputHearing!B20," at ",inputHearing!B22," for the purpose of hearing and")</f>
        <v>will meet on  at  at  for the purpose of hearing and</v>
      </c>
      <c r="B5" s="765"/>
      <c r="C5" s="765"/>
      <c r="D5" s="765"/>
      <c r="E5" s="765"/>
      <c r="F5" s="765"/>
      <c r="G5" s="765"/>
      <c r="H5" s="765"/>
    </row>
    <row r="6" spans="1:9" ht="16.5" customHeight="1" x14ac:dyDescent="0.2">
      <c r="A6" s="765" t="s">
        <v>310</v>
      </c>
      <c r="B6" s="765"/>
      <c r="C6" s="765"/>
      <c r="D6" s="765"/>
      <c r="E6" s="765"/>
      <c r="F6" s="765"/>
      <c r="G6" s="765"/>
      <c r="H6" s="765"/>
    </row>
    <row r="7" spans="1:9" ht="16.5" customHeight="1" x14ac:dyDescent="0.2">
      <c r="A7" s="765" t="str">
        <f>CONCATENATE("Detailed budget information is available at ",inputHearing!B24," and will be available at this hearing.")</f>
        <v>Detailed budget information is available at  and will be available at this hearing.</v>
      </c>
      <c r="B7" s="765"/>
      <c r="C7" s="765"/>
      <c r="D7" s="765"/>
      <c r="E7" s="765"/>
      <c r="F7" s="765"/>
      <c r="G7" s="765"/>
      <c r="H7" s="765"/>
    </row>
    <row r="8" spans="1:9" ht="12" customHeight="1" x14ac:dyDescent="0.2">
      <c r="A8" s="566"/>
      <c r="B8" s="567"/>
      <c r="C8" s="567"/>
      <c r="D8" s="567"/>
      <c r="E8" s="567"/>
      <c r="F8" s="567"/>
      <c r="G8" s="75"/>
      <c r="H8" s="75"/>
    </row>
    <row r="9" spans="1:9" ht="15" customHeight="1" x14ac:dyDescent="0.2">
      <c r="A9" s="821" t="s">
        <v>490</v>
      </c>
      <c r="B9" s="698"/>
      <c r="C9" s="698"/>
      <c r="D9" s="698"/>
      <c r="E9" s="698"/>
      <c r="F9" s="698"/>
      <c r="G9" s="698"/>
      <c r="H9" s="698"/>
    </row>
    <row r="10" spans="1:9" ht="12" customHeight="1" x14ac:dyDescent="0.2">
      <c r="A10" s="822" t="str">
        <f>CONCATENATE(inputPrYr!D4," (home county) ",inputPrYr!D6,IF(inputPrYr!D7="","",", "),inputPrYr!D7,IF(inputPrYr!D8="","",", "),inputPrYr!D8)</f>
        <v xml:space="preserve"> (home county) </v>
      </c>
      <c r="B10" s="823"/>
      <c r="C10" s="823"/>
      <c r="D10" s="823"/>
      <c r="E10" s="823"/>
      <c r="F10" s="823"/>
      <c r="G10" s="823"/>
      <c r="H10" s="823"/>
    </row>
    <row r="11" spans="1:9" ht="12" customHeight="1" x14ac:dyDescent="0.2">
      <c r="A11" s="566"/>
      <c r="B11" s="567"/>
      <c r="C11" s="567"/>
      <c r="D11" s="567"/>
      <c r="E11" s="567"/>
      <c r="F11" s="567"/>
      <c r="G11" s="75"/>
      <c r="H11" s="75"/>
    </row>
    <row r="12" spans="1:9" x14ac:dyDescent="0.2">
      <c r="A12" s="74" t="s">
        <v>3</v>
      </c>
      <c r="B12" s="75"/>
      <c r="C12" s="75"/>
      <c r="D12" s="75"/>
      <c r="E12" s="75"/>
      <c r="F12" s="75"/>
      <c r="G12" s="75"/>
      <c r="H12" s="75"/>
    </row>
    <row r="13" spans="1:9" x14ac:dyDescent="0.2">
      <c r="A13" s="136" t="str">
        <f>CONCATENATE("Proposed Budget ",H2," Expenditures and Amount of ",H2-1," Ad Valorem Tax establish the maximum limits of the ",H2," budget.")</f>
        <v>Proposed Budget 2025 Expenditures and Amount of 2024 Ad Valorem Tax establish the maximum limits of the 2025 budget.</v>
      </c>
      <c r="B13" s="75"/>
      <c r="C13" s="75"/>
      <c r="D13" s="75"/>
      <c r="E13" s="75"/>
      <c r="F13" s="75"/>
      <c r="G13" s="75"/>
      <c r="H13" s="75"/>
    </row>
    <row r="14" spans="1:9" x14ac:dyDescent="0.2">
      <c r="A14" s="136" t="s">
        <v>24</v>
      </c>
      <c r="B14" s="75"/>
      <c r="C14" s="75"/>
      <c r="D14" s="75"/>
      <c r="E14" s="75"/>
      <c r="F14" s="75"/>
      <c r="G14" s="75"/>
      <c r="H14" s="75"/>
    </row>
    <row r="15" spans="1:9" x14ac:dyDescent="0.2">
      <c r="A15" s="69"/>
      <c r="B15" s="196"/>
      <c r="C15" s="196"/>
      <c r="D15" s="196"/>
      <c r="E15" s="196"/>
      <c r="F15" s="196"/>
      <c r="G15" s="196"/>
      <c r="H15" s="196"/>
    </row>
    <row r="16" spans="1:9" x14ac:dyDescent="0.2">
      <c r="A16" s="69"/>
      <c r="B16" s="197" t="str">
        <f>CONCATENATE("Prior Year Actual for ",H2-2,"")</f>
        <v>Prior Year Actual for 2023</v>
      </c>
      <c r="C16" s="139"/>
      <c r="D16" s="197" t="str">
        <f>CONCATENATE("Current Year Estimate for ",H2-1,"")</f>
        <v>Current Year Estimate for 2024</v>
      </c>
      <c r="E16" s="139"/>
      <c r="F16" s="137" t="str">
        <f>CONCATENATE("Proposed Budget for ",H2,"")</f>
        <v>Proposed Budget for 2025</v>
      </c>
      <c r="G16" s="138"/>
      <c r="H16" s="139"/>
    </row>
    <row r="17" spans="1:8" ht="30.75" customHeight="1" x14ac:dyDescent="0.2">
      <c r="A17" s="69"/>
      <c r="B17" s="198"/>
      <c r="C17" s="142" t="s">
        <v>186</v>
      </c>
      <c r="D17" s="142"/>
      <c r="E17" s="142" t="s">
        <v>186</v>
      </c>
      <c r="F17" s="142" t="s">
        <v>326</v>
      </c>
      <c r="G17" s="142" t="str">
        <f>CONCATENATE("Amount of ",H2-1,"")</f>
        <v>Amount of 2024</v>
      </c>
      <c r="H17" s="766" t="s">
        <v>638</v>
      </c>
    </row>
    <row r="18" spans="1:8" x14ac:dyDescent="0.2">
      <c r="A18" s="81" t="s">
        <v>187</v>
      </c>
      <c r="B18" s="146" t="s">
        <v>188</v>
      </c>
      <c r="C18" s="146" t="s">
        <v>189</v>
      </c>
      <c r="D18" s="146" t="s">
        <v>188</v>
      </c>
      <c r="E18" s="146" t="s">
        <v>189</v>
      </c>
      <c r="F18" s="146" t="s">
        <v>327</v>
      </c>
      <c r="G18" s="147" t="s">
        <v>163</v>
      </c>
      <c r="H18" s="767"/>
    </row>
    <row r="19" spans="1:8" outlineLevel="2" x14ac:dyDescent="0.2">
      <c r="A19" s="95" t="str">
        <f>inputPrYr!B22</f>
        <v>General</v>
      </c>
      <c r="B19" s="208" t="str">
        <f>IF(General!$C$107&lt;&gt;0,General!$C$107,"  ")</f>
        <v xml:space="preserve">  </v>
      </c>
      <c r="C19" s="326" t="str">
        <f>IF(inputPrYr!D89&gt;0,inputPrYr!D89,"  ")</f>
        <v xml:space="preserve">  </v>
      </c>
      <c r="D19" s="208" t="str">
        <f>IF(General!$D$107&lt;&gt;0,General!$D$107,"  ")</f>
        <v xml:space="preserve">  </v>
      </c>
      <c r="E19" s="326" t="str">
        <f>IF(inputOth!D32&gt;0,inputOth!D32,"  ")</f>
        <v xml:space="preserve">  </v>
      </c>
      <c r="F19" s="208" t="str">
        <f>IF(General!$E$107&lt;&gt;0,General!$E$107,"  ")</f>
        <v xml:space="preserve">  </v>
      </c>
      <c r="G19" s="208" t="str">
        <f>IF(General!$E$114&lt;&gt;0,General!$E$114,"  ")</f>
        <v xml:space="preserve">  </v>
      </c>
      <c r="H19" s="326" t="str">
        <f>IF(General!E114&gt;0,ROUND(G19/$F$62*1000,3),"  ")</f>
        <v xml:space="preserve">  </v>
      </c>
    </row>
    <row r="20" spans="1:8" outlineLevel="2" x14ac:dyDescent="0.2">
      <c r="A20" s="95" t="str">
        <f>inputPrYr!B23</f>
        <v>Debt Service</v>
      </c>
      <c r="B20" s="208" t="str">
        <f>IF('DebtSvs Library'!$C$33&lt;&gt;0,'DebtSvs Library'!$C$33,"  ")</f>
        <v xml:space="preserve">  </v>
      </c>
      <c r="C20" s="326" t="str">
        <f>IF(inputPrYr!D90&gt;0,inputPrYr!D90,"  ")</f>
        <v xml:space="preserve">  </v>
      </c>
      <c r="D20" s="208" t="str">
        <f>IF('DebtSvs Library'!$D$33&lt;&gt;0,'DebtSvs Library'!$D$33,"  ")</f>
        <v xml:space="preserve">  </v>
      </c>
      <c r="E20" s="326" t="str">
        <f>IF(inputOth!D33&gt;0,inputOth!D33,"  ")</f>
        <v xml:space="preserve">  </v>
      </c>
      <c r="F20" s="208" t="str">
        <f>IF('DebtSvs Library'!$E$33&lt;&gt;0,'DebtSvs Library'!$E$33,"  ")</f>
        <v xml:space="preserve">  </v>
      </c>
      <c r="G20" s="208" t="str">
        <f>IF('DebtSvs Library'!$E$40&lt;&gt;0,'DebtSvs Library'!$E$40,"  ")</f>
        <v xml:space="preserve">  </v>
      </c>
      <c r="H20" s="326" t="str">
        <f>IF('DebtSvs Library'!E40&gt;0,ROUND(G20/$F$62*1000,3),"  ")</f>
        <v xml:space="preserve">  </v>
      </c>
    </row>
    <row r="21" spans="1:8" outlineLevel="2" x14ac:dyDescent="0.2">
      <c r="A21" s="95" t="str">
        <f>IF(inputPrYr!$B24&gt;"  ",(inputPrYr!$B24),"  ")</f>
        <v>Library</v>
      </c>
      <c r="B21" s="208" t="str">
        <f>IF('DebtSvs Library'!$C$73&lt;&gt;0,'DebtSvs Library'!$C$73,"  ")</f>
        <v xml:space="preserve">  </v>
      </c>
      <c r="C21" s="326" t="str">
        <f>IF(inputPrYr!D91&gt;0,inputPrYr!D91,"  ")</f>
        <v xml:space="preserve">  </v>
      </c>
      <c r="D21" s="208" t="str">
        <f>IF('DebtSvs Library'!$D$73&lt;&gt;0,'DebtSvs Library'!$D$73,"  ")</f>
        <v xml:space="preserve">  </v>
      </c>
      <c r="E21" s="326" t="str">
        <f>IF(inputOth!D34&gt;0,inputOth!D34,"  ")</f>
        <v xml:space="preserve">  </v>
      </c>
      <c r="F21" s="208" t="str">
        <f>IF('DebtSvs Library'!$E$73&lt;&gt;0,'DebtSvs Library'!$E$73,"  ")</f>
        <v xml:space="preserve">  </v>
      </c>
      <c r="G21" s="208" t="str">
        <f>IF('DebtSvs Library'!$E$80&lt;&gt;0,'DebtSvs Library'!$E$80,"  ")</f>
        <v xml:space="preserve">  </v>
      </c>
      <c r="H21" s="326" t="str">
        <f>IF('DebtSvs Library'!E80&lt;&gt;0,ROUND(G21/$F$62*1000,3),"  ")</f>
        <v xml:space="preserve">  </v>
      </c>
    </row>
    <row r="22" spans="1:8" outlineLevel="2" x14ac:dyDescent="0.2">
      <c r="A22" s="95" t="str">
        <f>IF(inputPrYr!$B26&gt;"  ",(inputPrYr!$B26),"  ")</f>
        <v xml:space="preserve">  </v>
      </c>
      <c r="B22" s="208" t="str">
        <f>IF('Levy Page 9'!$C$32&gt;0,'Levy Page 9'!$C$32,"  ")</f>
        <v xml:space="preserve">  </v>
      </c>
      <c r="C22" s="326" t="str">
        <f>IF(inputPrYr!D92&gt;0,inputPrYr!D92,"  ")</f>
        <v xml:space="preserve">  </v>
      </c>
      <c r="D22" s="208" t="str">
        <f>IF('Levy Page 9'!$D$32&gt;0,'Levy Page 9'!$D$32,"  ")</f>
        <v xml:space="preserve">  </v>
      </c>
      <c r="E22" s="326" t="str">
        <f>IF(inputOth!D35&gt;0,inputOth!D35,"  ")</f>
        <v xml:space="preserve">  </v>
      </c>
      <c r="F22" s="208" t="str">
        <f>IF('Levy Page 9'!$E$32&gt;0,'Levy Page 9'!$E$32,"  ")</f>
        <v xml:space="preserve">  </v>
      </c>
      <c r="G22" s="208" t="str">
        <f>IF('Levy Page 9'!$E$39&lt;&gt;0,'Levy Page 9'!$E$39,"  ")</f>
        <v xml:space="preserve">  </v>
      </c>
      <c r="H22" s="326" t="str">
        <f>IF('Levy Page 9'!E39&lt;&gt;0,ROUND(G22/$F$62*1000,3),"  ")</f>
        <v xml:space="preserve">  </v>
      </c>
    </row>
    <row r="23" spans="1:8" outlineLevel="2" x14ac:dyDescent="0.2">
      <c r="A23" s="95" t="str">
        <f>IF(inputPrYr!$B27&gt;"  ",(inputPrYr!$B27),"  ")</f>
        <v xml:space="preserve">  </v>
      </c>
      <c r="B23" s="208" t="str">
        <f>IF('Levy Page 9'!$C$71&gt;0,'Levy Page 9'!$C$71,"  ")</f>
        <v xml:space="preserve">  </v>
      </c>
      <c r="C23" s="326" t="str">
        <f>IF(inputPrYr!D93&gt;0,inputPrYr!D93,"  ")</f>
        <v xml:space="preserve">  </v>
      </c>
      <c r="D23" s="208" t="str">
        <f>IF('Levy Page 9'!$D$71&gt;0,'Levy Page 9'!$D$71,"  ")</f>
        <v xml:space="preserve">  </v>
      </c>
      <c r="E23" s="326" t="str">
        <f>IF(inputOth!D36&gt;0,inputOth!D36,"  ")</f>
        <v xml:space="preserve">  </v>
      </c>
      <c r="F23" s="208" t="str">
        <f>IF('Levy Page 9'!$E$71&gt;0,'Levy Page 9'!$E$71,"  ")</f>
        <v xml:space="preserve">  </v>
      </c>
      <c r="G23" s="208" t="str">
        <f>IF('Levy Page 9'!$E$78&lt;&gt;0,'Levy Page 9'!$E$78,"  ")</f>
        <v xml:space="preserve">  </v>
      </c>
      <c r="H23" s="326" t="str">
        <f>IF('Levy Page 9'!E78&lt;&gt;0,ROUND(G23/$F$62*1000,3),"  ")</f>
        <v xml:space="preserve">  </v>
      </c>
    </row>
    <row r="24" spans="1:8" outlineLevel="2" x14ac:dyDescent="0.2">
      <c r="A24" s="95" t="str">
        <f>IF(inputPrYr!$B28&gt;"  ",(inputPrYr!$B28),"  ")</f>
        <v xml:space="preserve">  </v>
      </c>
      <c r="B24" s="208" t="str">
        <f>IF('Levy Page 10'!$C$33&gt;0,'Levy Page 10'!$C$33,"  ")</f>
        <v xml:space="preserve">  </v>
      </c>
      <c r="C24" s="326" t="str">
        <f>IF(inputPrYr!D94&gt;0,inputPrYr!D94,"  ")</f>
        <v xml:space="preserve">  </v>
      </c>
      <c r="D24" s="208" t="str">
        <f>IF('Levy Page 10'!$D$33&gt;0,'Levy Page 10'!$D$33,"  ")</f>
        <v xml:space="preserve">  </v>
      </c>
      <c r="E24" s="326" t="str">
        <f>IF(inputOth!D37&gt;0,inputOth!D37,"  ")</f>
        <v xml:space="preserve">  </v>
      </c>
      <c r="F24" s="208" t="str">
        <f>IF('Levy Page 10'!$E$33&gt;0,'Levy Page 10'!$E$33,"  ")</f>
        <v xml:space="preserve">  </v>
      </c>
      <c r="G24" s="208" t="str">
        <f>IF('Levy Page 10'!$E$40&lt;&gt;0,'Levy Page 10'!$E$40,"  ")</f>
        <v xml:space="preserve">  </v>
      </c>
      <c r="H24" s="326" t="str">
        <f>IF('Levy Page 10'!E40&lt;&gt;0,ROUND(G24/$F$62*1000,3),"  ")</f>
        <v xml:space="preserve">  </v>
      </c>
    </row>
    <row r="25" spans="1:8" outlineLevel="2" x14ac:dyDescent="0.2">
      <c r="A25" s="95" t="str">
        <f>IF(inputPrYr!$B29&gt;"  ",(inputPrYr!$B29),"  ")</f>
        <v xml:space="preserve">  </v>
      </c>
      <c r="B25" s="208" t="str">
        <f>IF('Levy Page 10'!$C$72&gt;0,'Levy Page 10'!$C$72,"  ")</f>
        <v xml:space="preserve">  </v>
      </c>
      <c r="C25" s="326" t="str">
        <f>IF(inputPrYr!D95&gt;0,inputPrYr!D95,"  ")</f>
        <v xml:space="preserve">  </v>
      </c>
      <c r="D25" s="208" t="str">
        <f>IF('Levy Page 10'!$D$72&gt;0,'Levy Page 10'!$D$72,"  ")</f>
        <v xml:space="preserve">  </v>
      </c>
      <c r="E25" s="326" t="str">
        <f>IF(inputOth!D38&gt;0,inputOth!D38,"  ")</f>
        <v xml:space="preserve">  </v>
      </c>
      <c r="F25" s="208" t="str">
        <f>IF('Levy Page 10'!$E$72&gt;0,'Levy Page 10'!$E$72,"  ")</f>
        <v xml:space="preserve">  </v>
      </c>
      <c r="G25" s="208" t="str">
        <f>IF('Levy Page 10'!$E$79&lt;&gt;0,'Levy Page 10'!$E$79,"  ")</f>
        <v xml:space="preserve">  </v>
      </c>
      <c r="H25" s="326" t="str">
        <f>IF('Levy Page 10'!E79&lt;&gt;0,ROUND(G25/$F$62*1000,3),"  ")</f>
        <v xml:space="preserve">  </v>
      </c>
    </row>
    <row r="26" spans="1:8" outlineLevel="2" x14ac:dyDescent="0.2">
      <c r="A26" s="95" t="str">
        <f>IF(inputPrYr!$B30&gt;"  ",(inputPrYr!$B30),"  ")</f>
        <v xml:space="preserve">  </v>
      </c>
      <c r="B26" s="208" t="str">
        <f>IF('Levy Page 11'!$C$32&gt;0,'Levy Page 11'!$C$32,"  ")</f>
        <v xml:space="preserve">  </v>
      </c>
      <c r="C26" s="326" t="str">
        <f>IF(inputPrYr!D96&gt;0,inputPrYr!D96,"  ")</f>
        <v xml:space="preserve">  </v>
      </c>
      <c r="D26" s="208" t="str">
        <f>IF('Levy Page 11'!$D$32&gt;0,'Levy Page 11'!$D$32,"  ")</f>
        <v xml:space="preserve">  </v>
      </c>
      <c r="E26" s="326" t="str">
        <f>IF(inputOth!D39&gt;0,inputOth!D39,"  ")</f>
        <v xml:space="preserve">  </v>
      </c>
      <c r="F26" s="208" t="str">
        <f>IF('Levy Page 11'!$E$32&gt;0,'Levy Page 11'!$E$32,"  ")</f>
        <v xml:space="preserve">  </v>
      </c>
      <c r="G26" s="208" t="str">
        <f>IF('Levy Page 11'!$E$39&lt;&gt;0,'Levy Page 11'!$E$39,"  ")</f>
        <v xml:space="preserve">  </v>
      </c>
      <c r="H26" s="326" t="str">
        <f>IF('Levy Page 11'!E39&lt;&gt;0,ROUND(G26/$F$62*1000,3),"  ")</f>
        <v xml:space="preserve">  </v>
      </c>
    </row>
    <row r="27" spans="1:8" outlineLevel="2" x14ac:dyDescent="0.2">
      <c r="A27" s="95" t="str">
        <f>IF(inputPrYr!$B31&gt;"  ",(inputPrYr!$B31),"  ")</f>
        <v xml:space="preserve">  </v>
      </c>
      <c r="B27" s="208" t="str">
        <f>IF('Levy Page 11'!$C$72&gt;0,'Levy Page 11'!$C$72,"  ")</f>
        <v xml:space="preserve">  </v>
      </c>
      <c r="C27" s="326" t="str">
        <f>IF(inputPrYr!D97&gt;0,inputPrYr!D97,"  ")</f>
        <v xml:space="preserve">  </v>
      </c>
      <c r="D27" s="208" t="str">
        <f>IF('Levy Page 11'!$D$72&gt;0,'Levy Page 11'!$D$72,"  ")</f>
        <v xml:space="preserve">  </v>
      </c>
      <c r="E27" s="326" t="str">
        <f>IF(inputOth!D40&gt;0,inputOth!D40,"  ")</f>
        <v xml:space="preserve">  </v>
      </c>
      <c r="F27" s="208" t="str">
        <f>IF('Levy Page 11'!$E$72&gt;0,'Levy Page 11'!$E$72,"  ")</f>
        <v xml:space="preserve">  </v>
      </c>
      <c r="G27" s="208" t="str">
        <f>IF('Levy Page 11'!$E$79&lt;&gt;0,'Levy Page 11'!$E$79,"  ")</f>
        <v xml:space="preserve">  </v>
      </c>
      <c r="H27" s="326" t="str">
        <f>IF('Levy Page 11'!E79&lt;&gt;0,ROUND(G27/$F$62*1000,3),"  ")</f>
        <v xml:space="preserve">  </v>
      </c>
    </row>
    <row r="28" spans="1:8" outlineLevel="2" x14ac:dyDescent="0.2">
      <c r="A28" s="95" t="str">
        <f>IF(inputPrYr!$B32&gt;"  ",(inputPrYr!$B32),"  ")</f>
        <v xml:space="preserve">  </v>
      </c>
      <c r="B28" s="208" t="str">
        <f>IF('Levy Page 12'!$C$33&gt;0,'Levy Page 12'!$C$33,"  ")</f>
        <v xml:space="preserve">  </v>
      </c>
      <c r="C28" s="326" t="str">
        <f>IF(inputPrYr!D98&gt;0,inputPrYr!D98,"  ")</f>
        <v xml:space="preserve">  </v>
      </c>
      <c r="D28" s="208" t="str">
        <f>IF('Levy Page 12'!$D$33&gt;0,'Levy Page 12'!$D$33,"  ")</f>
        <v xml:space="preserve">  </v>
      </c>
      <c r="E28" s="326" t="str">
        <f>IF(inputOth!D41&gt;0,inputOth!D41,"  ")</f>
        <v xml:space="preserve">  </v>
      </c>
      <c r="F28" s="208" t="str">
        <f>IF('Levy Page 12'!$E$33&gt;0,'Levy Page 12'!$E$33,"  ")</f>
        <v xml:space="preserve">  </v>
      </c>
      <c r="G28" s="208" t="str">
        <f>IF('Levy Page 12'!$E$40&lt;&gt;0,'Levy Page 12'!$E$40,"  ")</f>
        <v xml:space="preserve">  </v>
      </c>
      <c r="H28" s="326" t="str">
        <f>IF('Levy Page 12'!E40&lt;&gt;0,ROUND(G28/$F$62*1000,3),"  ")</f>
        <v xml:space="preserve">  </v>
      </c>
    </row>
    <row r="29" spans="1:8" outlineLevel="2" x14ac:dyDescent="0.2">
      <c r="A29" s="95" t="str">
        <f>IF(inputPrYr!$B33&gt;"  ",(inputPrYr!$B33),"  ")</f>
        <v xml:space="preserve">  </v>
      </c>
      <c r="B29" s="208" t="str">
        <f>IF('Levy Page 12'!$C$72&gt;0,'Levy Page 12'!$C$72,"  ")</f>
        <v xml:space="preserve">  </v>
      </c>
      <c r="C29" s="326" t="str">
        <f>IF(inputPrYr!D99&gt;0,inputPrYr!D99,"  ")</f>
        <v xml:space="preserve">  </v>
      </c>
      <c r="D29" s="208" t="str">
        <f>IF('Levy Page 12'!$D$72&gt;0,'Levy Page 12'!$D$72,"  ")</f>
        <v xml:space="preserve">  </v>
      </c>
      <c r="E29" s="326" t="str">
        <f>IF(inputOth!D42&gt;0,inputOth!D42,"  ")</f>
        <v xml:space="preserve">  </v>
      </c>
      <c r="F29" s="208" t="str">
        <f>IF('Levy Page 12'!$E$72&gt;0,'Levy Page 12'!$E$72,"  ")</f>
        <v xml:space="preserve">  </v>
      </c>
      <c r="G29" s="208" t="str">
        <f>IF('Levy Page 12'!$E$79&lt;&gt;0,'Levy Page 12'!$E$79,"  ")</f>
        <v xml:space="preserve">  </v>
      </c>
      <c r="H29" s="326" t="str">
        <f>IF('Levy Page 12'!E79&lt;&gt;0,ROUND(G29/$F$62*1000,3),"  ")</f>
        <v xml:space="preserve">  </v>
      </c>
    </row>
    <row r="30" spans="1:8" outlineLevel="2" x14ac:dyDescent="0.2">
      <c r="A30" s="95" t="str">
        <f>IF(inputPrYr!$B34&gt;"  ",(inputPrYr!$B34),"  ")</f>
        <v xml:space="preserve">  </v>
      </c>
      <c r="B30" s="208" t="str">
        <f>IF('Levy Page 13'!$C$34&gt;0,'Levy Page 13'!$C$34,"  ")</f>
        <v xml:space="preserve">  </v>
      </c>
      <c r="C30" s="326" t="str">
        <f>IF(inputPrYr!D100&gt;0,inputPrYr!D100,"  ")</f>
        <v xml:space="preserve">  </v>
      </c>
      <c r="D30" s="208" t="str">
        <f>IF('Levy Page 13'!$D$34&gt;0,'Levy Page 13'!$D$34,"  ")</f>
        <v xml:space="preserve">  </v>
      </c>
      <c r="E30" s="326" t="str">
        <f>IF(inputOth!D43&gt;0,inputOth!D43,"  ")</f>
        <v xml:space="preserve">  </v>
      </c>
      <c r="F30" s="208" t="str">
        <f>IF('Levy Page 13'!$E$34&gt;0,'Levy Page 13'!$E$34,"  ")</f>
        <v xml:space="preserve">  </v>
      </c>
      <c r="G30" s="208" t="str">
        <f>IF('Levy Page 13'!$E$41&lt;&gt;0,'Levy Page 13'!$E$41,"  ")</f>
        <v xml:space="preserve">  </v>
      </c>
      <c r="H30" s="326" t="str">
        <f>IF('Levy Page 13'!E41&lt;&gt;0,ROUND(G30/$F$62*1000,3),"  ")</f>
        <v xml:space="preserve">  </v>
      </c>
    </row>
    <row r="31" spans="1:8" outlineLevel="2" x14ac:dyDescent="0.2">
      <c r="A31" s="95" t="str">
        <f>IF(inputPrYr!B35&gt;"  ",(inputPrYr!B35),"  ")</f>
        <v xml:space="preserve">  </v>
      </c>
      <c r="B31" s="208" t="str">
        <f>IF('Levy Page 13'!$C$73&gt;0,'Levy Page 13'!$C$73,"  ")</f>
        <v xml:space="preserve">  </v>
      </c>
      <c r="C31" s="326" t="str">
        <f>IF(inputPrYr!D101&gt;0,inputPrYr!D101,"  ")</f>
        <v xml:space="preserve">  </v>
      </c>
      <c r="D31" s="208" t="str">
        <f>IF('Levy Page 13'!$D$73&gt;0,'Levy Page 13'!$D$73,"  ")</f>
        <v xml:space="preserve">  </v>
      </c>
      <c r="E31" s="326" t="str">
        <f>IF(inputOth!D44&gt;0,inputOth!D44,"  ")</f>
        <v xml:space="preserve">  </v>
      </c>
      <c r="F31" s="208" t="str">
        <f>IF('Levy Page 13'!$E$73&gt;0,'Levy Page 13'!$E$73,"  ")</f>
        <v xml:space="preserve">  </v>
      </c>
      <c r="G31" s="208" t="str">
        <f>IF('Levy Page 13'!$E$80&lt;&gt;0,'Levy Page 13'!$E$80,"  ")</f>
        <v xml:space="preserve">  </v>
      </c>
      <c r="H31" s="326" t="str">
        <f>IF('Levy Page 13'!E80&lt;&gt;0,ROUND(G31/$F$62*1000,3),"  ")</f>
        <v xml:space="preserve">  </v>
      </c>
    </row>
    <row r="32" spans="1:8" outlineLevel="2" x14ac:dyDescent="0.2">
      <c r="A32" s="95" t="str">
        <f>IF(inputPrYr!$B39&gt;"  ",(inputPrYr!$B39),"  ")</f>
        <v>Special Highway</v>
      </c>
      <c r="B32" s="208" t="str">
        <f>IF('Spec Hwy'!$C$28&gt;0,'Spec Hwy'!$C$28,"  ")</f>
        <v xml:space="preserve">  </v>
      </c>
      <c r="C32" s="153"/>
      <c r="D32" s="208" t="str">
        <f>IF('Spec Hwy'!$D$28&gt;0,'Spec Hwy'!$D$28,"  ")</f>
        <v xml:space="preserve">  </v>
      </c>
      <c r="E32" s="153"/>
      <c r="F32" s="208" t="str">
        <f>IF('Spec Hwy'!$E$28&gt;0,'Spec Hwy'!$E$28,"  ")</f>
        <v xml:space="preserve">  </v>
      </c>
      <c r="G32" s="208"/>
      <c r="H32" s="326"/>
    </row>
    <row r="33" spans="1:13" outlineLevel="2" x14ac:dyDescent="0.2">
      <c r="A33" s="95" t="str">
        <f>IF(inputPrYr!$B40&gt;"  ",(inputPrYr!$B40),"  ")</f>
        <v xml:space="preserve">  </v>
      </c>
      <c r="B33" s="208" t="str">
        <f>IF('Spec Hwy'!$C$59&gt;0,'Spec Hwy'!$C$59,"  ")</f>
        <v xml:space="preserve">  </v>
      </c>
      <c r="C33" s="153"/>
      <c r="D33" s="208" t="str">
        <f>IF('Spec Hwy'!$D$59&gt;0,'Spec Hwy'!$D$59,"  ")</f>
        <v xml:space="preserve">  </v>
      </c>
      <c r="E33" s="153"/>
      <c r="F33" s="208" t="str">
        <f>IF('Spec Hwy'!$E$59&gt;0,'Spec Hwy'!$E$59,"  ")</f>
        <v xml:space="preserve">  </v>
      </c>
      <c r="G33" s="208"/>
      <c r="H33" s="326"/>
    </row>
    <row r="34" spans="1:13" outlineLevel="2" x14ac:dyDescent="0.2">
      <c r="A34" s="95" t="str">
        <f>IF(inputPrYr!$B41&gt;"  ",(inputPrYr!$B41),"  ")</f>
        <v xml:space="preserve">  </v>
      </c>
      <c r="B34" s="208" t="str">
        <f>IF('No Levy Page 15'!$C$27&gt;0,'No Levy Page 15'!$C$27,"  ")</f>
        <v xml:space="preserve">  </v>
      </c>
      <c r="C34" s="153"/>
      <c r="D34" s="208" t="str">
        <f>IF('No Levy Page 15'!$D$27&gt;0,'No Levy Page 15'!$D$27,"  ")</f>
        <v xml:space="preserve">  </v>
      </c>
      <c r="E34" s="153"/>
      <c r="F34" s="208" t="str">
        <f>IF('No Levy Page 15'!$E$27&gt;0,'No Levy Page 15'!$E$27,"  ")</f>
        <v xml:space="preserve">  </v>
      </c>
      <c r="G34" s="208"/>
      <c r="H34" s="326"/>
    </row>
    <row r="35" spans="1:13" outlineLevel="2" x14ac:dyDescent="0.2">
      <c r="A35" s="95" t="str">
        <f>IF(inputPrYr!$B42&gt;"  ",(inputPrYr!$B42),"  ")</f>
        <v xml:space="preserve">  </v>
      </c>
      <c r="B35" s="208" t="str">
        <f>IF('No Levy Page 15'!$C$58&gt;0,'No Levy Page 15'!$C$58,"  ")</f>
        <v xml:space="preserve">  </v>
      </c>
      <c r="C35" s="153"/>
      <c r="D35" s="208" t="str">
        <f>IF('No Levy Page 15'!$D$58&gt;0,'No Levy Page 15'!$D$58,"  ")</f>
        <v xml:space="preserve">  </v>
      </c>
      <c r="E35" s="153"/>
      <c r="F35" s="208" t="str">
        <f>IF('No Levy Page 15'!$E$58&gt;0,'No Levy Page 15'!$E$58,"  ")</f>
        <v xml:space="preserve">  </v>
      </c>
      <c r="G35" s="208"/>
      <c r="H35" s="326"/>
    </row>
    <row r="36" spans="1:13" outlineLevel="2" x14ac:dyDescent="0.2">
      <c r="A36" s="95" t="str">
        <f>IF(inputPrYr!$B43&gt;"  ",(inputPrYr!$B43),"  ")</f>
        <v xml:space="preserve">  </v>
      </c>
      <c r="B36" s="208" t="str">
        <f>IF('No Levy Page 16'!$C$28&gt;0,'No Levy Page 16'!$C$28,"  ")</f>
        <v xml:space="preserve">  </v>
      </c>
      <c r="C36" s="153"/>
      <c r="D36" s="208" t="str">
        <f>IF('No Levy Page 16'!$D$28&gt;0,'No Levy Page 16'!$D$28,"  ")</f>
        <v xml:space="preserve">  </v>
      </c>
      <c r="E36" s="153"/>
      <c r="F36" s="208" t="str">
        <f>IF('No Levy Page 16'!$E$28&gt;0,'No Levy Page 16'!$E$28,"  ")</f>
        <v xml:space="preserve">  </v>
      </c>
      <c r="G36" s="208"/>
      <c r="H36" s="153"/>
    </row>
    <row r="37" spans="1:13" outlineLevel="2" x14ac:dyDescent="0.2">
      <c r="A37" s="95" t="str">
        <f>IF(inputPrYr!$B44&gt;"  ",(inputPrYr!$B44),"  ")</f>
        <v xml:space="preserve">  </v>
      </c>
      <c r="B37" s="208" t="str">
        <f>IF('No Levy Page 16'!$C$59&gt;0,'No Levy Page 16'!$C$59,"  ")</f>
        <v xml:space="preserve">  </v>
      </c>
      <c r="C37" s="153"/>
      <c r="D37" s="208" t="str">
        <f>IF('No Levy Page 16'!$D$59&gt;0,'No Levy Page 16'!$D$59,"  ")</f>
        <v xml:space="preserve">  </v>
      </c>
      <c r="E37" s="153"/>
      <c r="F37" s="208" t="str">
        <f>IF('No Levy Page 16'!$E$59&gt;0,'No Levy Page 16'!$E$59,"  ")</f>
        <v xml:space="preserve">  </v>
      </c>
      <c r="G37" s="208"/>
      <c r="H37" s="153"/>
    </row>
    <row r="38" spans="1:13" outlineLevel="2" x14ac:dyDescent="0.2">
      <c r="A38" s="95" t="str">
        <f>IF(inputPrYr!$B45&gt;"  ",(inputPrYr!$B45),"  ")</f>
        <v xml:space="preserve">  </v>
      </c>
      <c r="B38" s="208" t="str">
        <f>IF('No Levy Page 17'!$C$28&gt;0,'No Levy Page 17'!$C$28,"  ")</f>
        <v xml:space="preserve">  </v>
      </c>
      <c r="C38" s="153"/>
      <c r="D38" s="208" t="str">
        <f>IF('No Levy Page 17'!$D$28&gt;0,'No Levy Page 17'!$D$28,"  ")</f>
        <v xml:space="preserve">  </v>
      </c>
      <c r="E38" s="153"/>
      <c r="F38" s="208" t="str">
        <f>IF('No Levy Page 17'!$E$28&gt;0,'No Levy Page 17'!$E$28,"  ")</f>
        <v xml:space="preserve">  </v>
      </c>
      <c r="G38" s="208"/>
      <c r="H38" s="153"/>
    </row>
    <row r="39" spans="1:13" outlineLevel="2" x14ac:dyDescent="0.2">
      <c r="A39" s="95" t="str">
        <f>IF(inputPrYr!$B46&gt;"  ",(inputPrYr!$B46),"  ")</f>
        <v xml:space="preserve">  </v>
      </c>
      <c r="B39" s="208" t="str">
        <f>IF('No Levy Page 17'!$C$59&gt;0,'No Levy Page 17'!$C$59,"  ")</f>
        <v xml:space="preserve">  </v>
      </c>
      <c r="C39" s="153"/>
      <c r="D39" s="208" t="str">
        <f>IF('No Levy Page 17'!$D$59&gt;0,'No Levy Page 17'!$D$59,"  ")</f>
        <v xml:space="preserve">  </v>
      </c>
      <c r="E39" s="153"/>
      <c r="F39" s="208" t="str">
        <f>IF('No Levy Page 17'!$E$59&gt;0,'No Levy Page 17'!$E$59,"  ")</f>
        <v xml:space="preserve">  </v>
      </c>
      <c r="G39" s="208"/>
      <c r="H39" s="153"/>
    </row>
    <row r="40" spans="1:13" outlineLevel="2" x14ac:dyDescent="0.2">
      <c r="A40" s="95" t="str">
        <f>IF(inputPrYr!$B47&gt;"  ",(inputPrYr!$B47),"  ")</f>
        <v xml:space="preserve">  </v>
      </c>
      <c r="B40" s="208" t="str">
        <f>IF('No Levy Page 18'!$C$28&gt;0,'No Levy Page 18'!$C$28,"  ")</f>
        <v xml:space="preserve">  </v>
      </c>
      <c r="C40" s="153"/>
      <c r="D40" s="208" t="str">
        <f>IF('No Levy Page 18'!$D$28&gt;0,'No Levy Page 18'!$D$28,"  ")</f>
        <v xml:space="preserve">  </v>
      </c>
      <c r="E40" s="153"/>
      <c r="F40" s="208" t="str">
        <f>IF('No Levy Page 18'!$E$28&gt;0,'No Levy Page 18'!$E$28,"  ")</f>
        <v xml:space="preserve">  </v>
      </c>
      <c r="G40" s="208"/>
      <c r="H40" s="153"/>
    </row>
    <row r="41" spans="1:13" outlineLevel="2" x14ac:dyDescent="0.2">
      <c r="A41" s="95" t="str">
        <f>IF(inputPrYr!$B48&gt;"  ",(inputPrYr!$B48),"  ")</f>
        <v xml:space="preserve">  </v>
      </c>
      <c r="B41" s="208" t="str">
        <f>IF('No Levy Page 18'!$C$60&gt;0,'No Levy Page 18'!$C$60,"  ")</f>
        <v xml:space="preserve">  </v>
      </c>
      <c r="C41" s="153"/>
      <c r="D41" s="208" t="str">
        <f>IF('No Levy Page 18'!$D$60&gt;0,'No Levy Page 18'!$D$60,"  ")</f>
        <v xml:space="preserve">  </v>
      </c>
      <c r="E41" s="153"/>
      <c r="F41" s="208" t="str">
        <f>IF('No Levy Page 18'!$E$60&gt;0,'No Levy Page 18'!$E$60,"  ")</f>
        <v xml:space="preserve">  </v>
      </c>
      <c r="G41" s="208"/>
      <c r="H41" s="153"/>
    </row>
    <row r="42" spans="1:13" outlineLevel="2" x14ac:dyDescent="0.2">
      <c r="A42" s="95" t="str">
        <f>IF(inputPrYr!$B49&gt;"  ",(inputPrYr!$B49),"  ")</f>
        <v xml:space="preserve">  </v>
      </c>
      <c r="B42" s="208" t="str">
        <f>IF('No Levy Page 19'!$C$28&gt;0,'No Levy Page 19'!$C$28,"  ")</f>
        <v xml:space="preserve">  </v>
      </c>
      <c r="C42" s="153"/>
      <c r="D42" s="208" t="str">
        <f>IF('No Levy Page 19'!$D$28&gt;0,'No Levy Page 19'!$D$28,"  ")</f>
        <v xml:space="preserve">  </v>
      </c>
      <c r="E42" s="153"/>
      <c r="F42" s="208" t="str">
        <f>IF('No Levy Page 19'!$E$28&gt;0,'No Levy Page 19'!$E$28,"  ")</f>
        <v xml:space="preserve">  </v>
      </c>
      <c r="G42" s="208"/>
      <c r="H42" s="153"/>
    </row>
    <row r="43" spans="1:13" outlineLevel="2" x14ac:dyDescent="0.25">
      <c r="A43" s="95" t="str">
        <f>IF(inputPrYr!$B50&gt;"  ",(inputPrYr!$B50),"  ")</f>
        <v xml:space="preserve">  </v>
      </c>
      <c r="B43" s="208" t="str">
        <f>IF('No Levy Page 19'!$C$60&gt;0,'No Levy Page 19'!$C$60,"  ")</f>
        <v xml:space="preserve">  </v>
      </c>
      <c r="C43" s="153"/>
      <c r="D43" s="208" t="str">
        <f>IF('No Levy Page 19'!$D$60&gt;0,'No Levy Page 19'!$D$60,"  ")</f>
        <v xml:space="preserve">  </v>
      </c>
      <c r="E43" s="153"/>
      <c r="F43" s="208" t="str">
        <f>IF('No Levy Page 19'!$E$60&gt;0,'No Levy Page 19'!$E$60,"  ")</f>
        <v xml:space="preserve">  </v>
      </c>
      <c r="G43" s="208"/>
      <c r="H43" s="153"/>
      <c r="J43" s="824" t="str">
        <f>CONCATENATE("Estimated Value Of One Mill For ",H2,"")</f>
        <v>Estimated Value Of One Mill For 2025</v>
      </c>
      <c r="K43" s="825"/>
      <c r="L43" s="825"/>
      <c r="M43" s="826"/>
    </row>
    <row r="44" spans="1:13" outlineLevel="2" x14ac:dyDescent="0.25">
      <c r="A44" s="95" t="str">
        <f>IF(inputPrYr!$B51&gt;"  ",(inputPrYr!$B51),"  ")</f>
        <v xml:space="preserve">  </v>
      </c>
      <c r="B44" s="208" t="str">
        <f>IF('No Levy Page 20'!$C$28&gt;0,'No Levy Page 20'!$C$28,"  ")</f>
        <v xml:space="preserve">  </v>
      </c>
      <c r="C44" s="153"/>
      <c r="D44" s="208" t="str">
        <f>IF('No Levy Page 20'!$D$28&gt;0,'No Levy Page 20'!$D$28,"  ")</f>
        <v xml:space="preserve">  </v>
      </c>
      <c r="E44" s="153"/>
      <c r="F44" s="208" t="str">
        <f>IF('No Levy Page 20'!$E$28&gt;0,'No Levy Page 20'!$E$28,"  ")</f>
        <v xml:space="preserve">  </v>
      </c>
      <c r="G44" s="208"/>
      <c r="H44" s="153"/>
      <c r="J44" s="343"/>
      <c r="K44" s="344"/>
      <c r="L44" s="344"/>
      <c r="M44" s="345"/>
    </row>
    <row r="45" spans="1:13" outlineLevel="2" x14ac:dyDescent="0.25">
      <c r="A45" s="95" t="str">
        <f>IF(inputPrYr!$B52&gt;"  ",(inputPrYr!$B52),"  ")</f>
        <v xml:space="preserve">  </v>
      </c>
      <c r="B45" s="208" t="str">
        <f>IF('No Levy Page 20'!$C$60&gt;0,'No Levy Page 20'!$C$60,"  ")</f>
        <v xml:space="preserve">  </v>
      </c>
      <c r="C45" s="153"/>
      <c r="D45" s="208" t="str">
        <f>IF('No Levy Page 20'!$D$60&gt;0,'No Levy Page 20'!$D$60,"  ")</f>
        <v xml:space="preserve">  </v>
      </c>
      <c r="E45" s="153"/>
      <c r="F45" s="208" t="str">
        <f>IF('No Levy Page 20'!$E$60&gt;0,'No Levy Page 20'!$E$60,"  ")</f>
        <v xml:space="preserve">  </v>
      </c>
      <c r="G45" s="208"/>
      <c r="H45" s="153"/>
      <c r="J45" s="346" t="s">
        <v>352</v>
      </c>
      <c r="K45" s="347"/>
      <c r="L45" s="347"/>
      <c r="M45" s="546">
        <f>ROUND(F62/1000,0)</f>
        <v>0</v>
      </c>
    </row>
    <row r="46" spans="1:13" outlineLevel="2" x14ac:dyDescent="0.2">
      <c r="A46" s="95" t="str">
        <f>IF(inputPrYr!$B53&gt;"  ",(inputPrYr!$B53),"  ")</f>
        <v xml:space="preserve">  </v>
      </c>
      <c r="B46" s="208" t="str">
        <f>IF('No Levy Page 21'!$C$28&gt;0,'No Levy Page 21'!$C$28,"  ")</f>
        <v xml:space="preserve">  </v>
      </c>
      <c r="C46" s="153"/>
      <c r="D46" s="208" t="str">
        <f>IF('No Levy Page 21'!$D$28&gt;0,'No Levy Page 21'!$D$28,"  ")</f>
        <v xml:space="preserve">  </v>
      </c>
      <c r="E46" s="153"/>
      <c r="F46" s="208" t="str">
        <f>IF('No Levy Page 21'!$E$28&gt;0,'No Levy Page 21'!$E$28,"  ")</f>
        <v xml:space="preserve">  </v>
      </c>
      <c r="G46" s="208"/>
      <c r="H46" s="153"/>
    </row>
    <row r="47" spans="1:13" outlineLevel="2" x14ac:dyDescent="0.25">
      <c r="A47" s="95" t="str">
        <f>IF(inputPrYr!$B54&gt;"  ",(inputPrYr!$B54),"  ")</f>
        <v xml:space="preserve">  </v>
      </c>
      <c r="B47" s="208" t="str">
        <f>IF('No Levy Page 21'!$C$60&gt;0,'No Levy Page 21'!$C$60,"  ")</f>
        <v xml:space="preserve">  </v>
      </c>
      <c r="C47" s="153"/>
      <c r="D47" s="208" t="str">
        <f>IF('No Levy Page 21'!$D$60&gt;0,'No Levy Page 21'!$D$60,"  ")</f>
        <v xml:space="preserve">  </v>
      </c>
      <c r="E47" s="153"/>
      <c r="F47" s="208" t="str">
        <f>IF('No Levy Page 21'!$E$60&gt;0,'No Levy Page 21'!$E$60,"  ")</f>
        <v xml:space="preserve">  </v>
      </c>
      <c r="G47" s="208"/>
      <c r="H47" s="153"/>
      <c r="J47" s="824" t="str">
        <f>CONCATENATE("Want The Mill Rate The Same As For ",H2-1,"?")</f>
        <v>Want The Mill Rate The Same As For 2024?</v>
      </c>
      <c r="K47" s="825"/>
      <c r="L47" s="825"/>
      <c r="M47" s="826"/>
    </row>
    <row r="48" spans="1:13" outlineLevel="2" x14ac:dyDescent="0.25">
      <c r="A48" s="95" t="str">
        <f>IF(inputPrYr!$B56&gt;"  ",(inputPrYr!$B56),"  ")</f>
        <v xml:space="preserve">  </v>
      </c>
      <c r="B48" s="208" t="str">
        <f>IF('Single No Levy Page 22'!$C$44&gt;0,'Single No Levy Page 22'!$C$44,"  ")</f>
        <v xml:space="preserve">  </v>
      </c>
      <c r="C48" s="153"/>
      <c r="D48" s="208" t="str">
        <f>IF('Single No Levy Page 22'!$D$44&gt;0,'Single No Levy Page 22'!$D$44,"  ")</f>
        <v xml:space="preserve">  </v>
      </c>
      <c r="E48" s="153"/>
      <c r="F48" s="208" t="str">
        <f>IF('Single No Levy Page 22'!$E$44&gt;0,'Single No Levy Page 22'!$E$44,"  ")</f>
        <v xml:space="preserve">  </v>
      </c>
      <c r="G48" s="208"/>
      <c r="H48" s="153"/>
      <c r="J48" s="350"/>
      <c r="K48" s="344"/>
      <c r="L48" s="344"/>
      <c r="M48" s="351"/>
    </row>
    <row r="49" spans="1:13" outlineLevel="2" x14ac:dyDescent="0.25">
      <c r="A49" s="95" t="str">
        <f>IF(inputPrYr!$B57&gt;"  ",(inputPrYr!$B57),"  ")</f>
        <v xml:space="preserve">  </v>
      </c>
      <c r="B49" s="208" t="str">
        <f>IF('Single No Levy Page 23'!$C$44&gt;0,'Single No Levy Page 23'!$C$44,"  ")</f>
        <v xml:space="preserve">  </v>
      </c>
      <c r="C49" s="153"/>
      <c r="D49" s="208" t="str">
        <f>IF('Single No Levy Page 23'!$D$44&gt;0,'Single No Levy Page 23'!$D$44,"  ")</f>
        <v xml:space="preserve">  </v>
      </c>
      <c r="E49" s="153"/>
      <c r="F49" s="208" t="str">
        <f>IF('Single No Levy Page 23'!$E$44&gt;0,'Single No Levy Page 23'!$E$44,"  ")</f>
        <v xml:space="preserve">  </v>
      </c>
      <c r="G49" s="208"/>
      <c r="H49" s="153"/>
      <c r="J49" s="350" t="str">
        <f>CONCATENATE("",H2-1," Mill Rate Was:")</f>
        <v>2024 Mill Rate Was:</v>
      </c>
      <c r="K49" s="344"/>
      <c r="L49" s="344"/>
      <c r="M49" s="352">
        <f>E56</f>
        <v>0</v>
      </c>
    </row>
    <row r="50" spans="1:13" outlineLevel="2" x14ac:dyDescent="0.25">
      <c r="A50" s="95" t="str">
        <f>IF(inputPrYr!$B58&gt;"  ",(inputPrYr!$B58),"  ")</f>
        <v xml:space="preserve">  </v>
      </c>
      <c r="B50" s="208" t="str">
        <f>IF('Single No Levy Page 24'!$C$44&gt;0,'Single No Levy Page 24'!$C$44,"  ")</f>
        <v xml:space="preserve">  </v>
      </c>
      <c r="C50" s="153"/>
      <c r="D50" s="208" t="str">
        <f>IF('Single No Levy Page 24'!$D$44&gt;0,'Single No Levy Page 24'!$D$44,"  ")</f>
        <v xml:space="preserve">  </v>
      </c>
      <c r="E50" s="153"/>
      <c r="F50" s="208" t="str">
        <f>IF('Single No Levy Page 24'!$E$44&gt;0,'Single No Levy Page 24'!$E$44,"  ")</f>
        <v xml:space="preserve">  </v>
      </c>
      <c r="G50" s="208"/>
      <c r="H50" s="153"/>
      <c r="J50" s="353" t="str">
        <f>CONCATENATE("",H2," Tax Levy Fund Expenditures Must Be")</f>
        <v>2025 Tax Levy Fund Expenditures Must Be</v>
      </c>
      <c r="K50" s="354"/>
      <c r="L50" s="354"/>
      <c r="M50" s="351"/>
    </row>
    <row r="51" spans="1:13" outlineLevel="2" x14ac:dyDescent="0.25">
      <c r="A51" s="95" t="str">
        <f>IF(inputPrYr!$B59&gt;"  ",(inputPrYr!$B59),"  ")</f>
        <v xml:space="preserve">  </v>
      </c>
      <c r="B51" s="208" t="str">
        <f>IF('Single No Levy Page 25'!$C$44&gt;0,'Single No Levy Page 25'!$C$44,"  ")</f>
        <v xml:space="preserve">  </v>
      </c>
      <c r="C51" s="153"/>
      <c r="D51" s="208" t="str">
        <f>IF('Single No Levy Page 25'!$D$44&gt;0,'Single No Levy Page 25'!$D$44,"  ")</f>
        <v xml:space="preserve">  </v>
      </c>
      <c r="E51" s="153"/>
      <c r="F51" s="208" t="str">
        <f>IF('Single No Levy Page 25'!$E$44&gt;0,'Single No Levy Page 25'!$E$44,"  ")</f>
        <v xml:space="preserve">  </v>
      </c>
      <c r="G51" s="208"/>
      <c r="H51" s="153"/>
      <c r="J51" s="353" t="str">
        <f>IF(M51&gt;0,"Increased By:","")</f>
        <v/>
      </c>
      <c r="K51" s="354"/>
      <c r="L51" s="354"/>
      <c r="M51" s="388">
        <f>IF(M58&lt;0,M58*-1,0)</f>
        <v>0</v>
      </c>
    </row>
    <row r="52" spans="1:13" ht="15.75" customHeight="1" outlineLevel="2" x14ac:dyDescent="0.2">
      <c r="A52" s="95" t="str">
        <f>IF(inputPrYr!$B62&gt;"  ",('Non-Budgeted Funds A'!$A3),"  ")</f>
        <v xml:space="preserve">  </v>
      </c>
      <c r="B52" s="208" t="str">
        <f>IF('Non-Budgeted Funds A'!$K$28&gt;0,'Non-Budgeted Funds A'!$K$28,"  ")</f>
        <v xml:space="preserve">  </v>
      </c>
      <c r="C52" s="153"/>
      <c r="D52" s="208"/>
      <c r="E52" s="153"/>
      <c r="F52" s="208"/>
      <c r="G52" s="208"/>
      <c r="H52" s="153"/>
      <c r="J52" s="389" t="str">
        <f>IF(M52&lt;0,"Reduced By:","")</f>
        <v/>
      </c>
      <c r="K52" s="390"/>
      <c r="L52" s="390"/>
      <c r="M52" s="391">
        <f>IF(M58&gt;0,M58*-1,0)</f>
        <v>0</v>
      </c>
    </row>
    <row r="53" spans="1:13" outlineLevel="2" x14ac:dyDescent="0.25">
      <c r="A53" s="95" t="str">
        <f>IF(inputPrYr!$B68&gt;"  ",('Non-Budgeted Funds B'!$A3),"  ")</f>
        <v xml:space="preserve">  </v>
      </c>
      <c r="B53" s="208" t="str">
        <f>IF('Non-Budgeted Funds B'!$K$28&gt;0,'Non-Budgeted Funds B'!$K$28,"  ")</f>
        <v xml:space="preserve">  </v>
      </c>
      <c r="C53" s="153"/>
      <c r="D53" s="208"/>
      <c r="E53" s="153"/>
      <c r="F53" s="208"/>
      <c r="G53" s="208"/>
      <c r="H53" s="153"/>
      <c r="J53" s="349"/>
      <c r="K53" s="349"/>
      <c r="L53" s="349"/>
      <c r="M53" s="349"/>
    </row>
    <row r="54" spans="1:13" outlineLevel="2" x14ac:dyDescent="0.25">
      <c r="A54" s="95" t="str">
        <f>IF(inputPrYr!$B74&gt;"  ",('Non-Budgeted Funds C'!$A3),"  ")</f>
        <v xml:space="preserve">  </v>
      </c>
      <c r="B54" s="208" t="str">
        <f>IF('Non-Budgeted Funds C'!$K$28&gt;0,'Non-Budgeted Funds C'!$K$28,"  ")</f>
        <v xml:space="preserve">  </v>
      </c>
      <c r="C54" s="153"/>
      <c r="D54" s="208"/>
      <c r="E54" s="153"/>
      <c r="F54" s="208"/>
      <c r="G54" s="208"/>
      <c r="H54" s="153"/>
      <c r="J54" s="824" t="str">
        <f>CONCATENATE("Impact On Keeping The Same Mill Rate As For ",H2-1,"")</f>
        <v>Impact On Keeping The Same Mill Rate As For 2024</v>
      </c>
      <c r="K54" s="827"/>
      <c r="L54" s="827"/>
      <c r="M54" s="828"/>
    </row>
    <row r="55" spans="1:13" ht="16.5" outlineLevel="2" thickBot="1" x14ac:dyDescent="0.3">
      <c r="A55" s="95" t="str">
        <f>IF(inputPrYr!$B80&gt;"  ",('Non-Budgeted Funds D'!$A3),"  ")</f>
        <v xml:space="preserve">  </v>
      </c>
      <c r="B55" s="363" t="str">
        <f>IF('Non-Budgeted Funds D'!$K$28&gt;0,'Non-Budgeted Funds D'!$K$28,"  ")</f>
        <v xml:space="preserve">  </v>
      </c>
      <c r="C55" s="324"/>
      <c r="D55" s="363"/>
      <c r="E55" s="324"/>
      <c r="F55" s="363"/>
      <c r="G55" s="363"/>
      <c r="H55" s="324"/>
      <c r="J55" s="350"/>
      <c r="K55" s="344"/>
      <c r="L55" s="344"/>
      <c r="M55" s="351"/>
    </row>
    <row r="56" spans="1:13" ht="16.5" outlineLevel="2" thickBot="1" x14ac:dyDescent="0.3">
      <c r="A56" s="637" t="s">
        <v>357</v>
      </c>
      <c r="B56" s="638">
        <f>SUM(B19:B55)</f>
        <v>0</v>
      </c>
      <c r="C56" s="639">
        <f>SUM(C19:C31)</f>
        <v>0</v>
      </c>
      <c r="D56" s="638">
        <f>SUM(D19:D55)</f>
        <v>0</v>
      </c>
      <c r="E56" s="639">
        <f>SUM(E19:E31)</f>
        <v>0</v>
      </c>
      <c r="F56" s="638">
        <f>SUM(F19:F55)</f>
        <v>0</v>
      </c>
      <c r="G56" s="638">
        <f>SUM(G19:G55)</f>
        <v>0</v>
      </c>
      <c r="H56" s="639">
        <f>SUM(H19:H31)</f>
        <v>0</v>
      </c>
      <c r="J56" s="350" t="str">
        <f>CONCATENATE("",H2," Ad Valorem Tax Revenue:")</f>
        <v>2025 Ad Valorem Tax Revenue:</v>
      </c>
      <c r="K56" s="344"/>
      <c r="L56" s="344"/>
      <c r="M56" s="345">
        <f>G56</f>
        <v>0</v>
      </c>
    </row>
    <row r="57" spans="1:13" ht="16.5" outlineLevel="2" thickTop="1" x14ac:dyDescent="0.25">
      <c r="A57" s="837" t="s">
        <v>533</v>
      </c>
      <c r="B57" s="838"/>
      <c r="C57" s="838"/>
      <c r="D57" s="838"/>
      <c r="E57" s="838"/>
      <c r="F57" s="838"/>
      <c r="G57" s="839"/>
      <c r="H57" s="636">
        <f>inputOth!D28</f>
        <v>0</v>
      </c>
      <c r="I57" s="329"/>
      <c r="J57" s="350" t="str">
        <f>CONCATENATE("",H2-1," Ad Valorem Tax Revenue:")</f>
        <v>2024 Ad Valorem Tax Revenue:</v>
      </c>
      <c r="K57" s="344"/>
      <c r="L57" s="344"/>
      <c r="M57" s="357">
        <f>ROUND(F62*M49/1000,0)</f>
        <v>0</v>
      </c>
    </row>
    <row r="58" spans="1:13" outlineLevel="1" x14ac:dyDescent="0.25">
      <c r="A58" s="72" t="s">
        <v>190</v>
      </c>
      <c r="B58" s="328">
        <f>Transfers!$C$28</f>
        <v>0</v>
      </c>
      <c r="C58" s="374"/>
      <c r="D58" s="328">
        <f>Transfers!$D$28</f>
        <v>0</v>
      </c>
      <c r="E58" s="374"/>
      <c r="F58" s="328">
        <f>Transfers!$E$28</f>
        <v>0</v>
      </c>
      <c r="G58" s="254"/>
      <c r="H58" s="379"/>
      <c r="J58" s="355" t="s">
        <v>353</v>
      </c>
      <c r="K58" s="356"/>
      <c r="L58" s="356"/>
      <c r="M58" s="348">
        <f>SUM(M56-M57)</f>
        <v>0</v>
      </c>
    </row>
    <row r="59" spans="1:13" ht="16.5" thickBot="1" x14ac:dyDescent="0.3">
      <c r="A59" s="72" t="s">
        <v>191</v>
      </c>
      <c r="B59" s="210">
        <f>B56-B58</f>
        <v>0</v>
      </c>
      <c r="C59" s="121"/>
      <c r="D59" s="210">
        <f>D56-D58</f>
        <v>0</v>
      </c>
      <c r="E59" s="327"/>
      <c r="F59" s="210">
        <f>F56-F58</f>
        <v>0</v>
      </c>
      <c r="G59" s="69"/>
      <c r="H59" s="69"/>
      <c r="J59" s="349"/>
      <c r="K59" s="349"/>
      <c r="L59" s="349"/>
      <c r="M59" s="349"/>
    </row>
    <row r="60" spans="1:13" ht="16.5" thickTop="1" x14ac:dyDescent="0.25">
      <c r="A60" s="72" t="s">
        <v>192</v>
      </c>
      <c r="B60" s="328">
        <f>inputPrYr!$E$104</f>
        <v>0</v>
      </c>
      <c r="C60" s="121"/>
      <c r="D60" s="328">
        <f>inputPrYr!$E$36</f>
        <v>0</v>
      </c>
      <c r="E60" s="121"/>
      <c r="F60" s="199" t="s">
        <v>152</v>
      </c>
      <c r="G60" s="254"/>
      <c r="H60" s="121"/>
      <c r="J60" s="824" t="s">
        <v>354</v>
      </c>
      <c r="K60" s="829"/>
      <c r="L60" s="829"/>
      <c r="M60" s="830"/>
    </row>
    <row r="61" spans="1:13" x14ac:dyDescent="0.25">
      <c r="A61" s="72" t="s">
        <v>193</v>
      </c>
      <c r="B61" s="336"/>
      <c r="C61" s="121"/>
      <c r="D61" s="336"/>
      <c r="E61" s="121"/>
      <c r="F61" s="167"/>
      <c r="G61" s="254"/>
      <c r="H61" s="121"/>
      <c r="J61" s="640" t="s">
        <v>532</v>
      </c>
      <c r="K61" s="344"/>
      <c r="L61" s="344"/>
      <c r="M61" s="641">
        <f>H57</f>
        <v>0</v>
      </c>
    </row>
    <row r="62" spans="1:13" x14ac:dyDescent="0.25">
      <c r="A62" s="72" t="s">
        <v>194</v>
      </c>
      <c r="B62" s="328">
        <f>inputPrYr!$E$105</f>
        <v>0</v>
      </c>
      <c r="C62" s="121"/>
      <c r="D62" s="328">
        <f>inputOth!$D$53</f>
        <v>0</v>
      </c>
      <c r="E62" s="121"/>
      <c r="F62" s="328">
        <f>inputOth!$B$14</f>
        <v>0</v>
      </c>
      <c r="G62" s="121"/>
      <c r="H62" s="121"/>
      <c r="J62" s="350" t="str">
        <f>CONCATENATE("Current ",H2," Estimated Mill Rate:")</f>
        <v>Current 2025 Estimated Mill Rate:</v>
      </c>
      <c r="K62" s="344"/>
      <c r="L62" s="344"/>
      <c r="M62" s="352">
        <f>H56</f>
        <v>0</v>
      </c>
    </row>
    <row r="63" spans="1:13" outlineLevel="1" x14ac:dyDescent="0.25">
      <c r="A63" s="72" t="s">
        <v>195</v>
      </c>
      <c r="B63" s="69"/>
      <c r="C63" s="69"/>
      <c r="D63" s="69"/>
      <c r="E63" s="69"/>
      <c r="F63" s="69"/>
      <c r="G63" s="121"/>
      <c r="H63" s="121"/>
      <c r="J63" s="350" t="str">
        <f>CONCATENATE("Desired ",H2," Mill Rate:")</f>
        <v>Desired 2025 Mill Rate:</v>
      </c>
      <c r="K63" s="344"/>
      <c r="L63" s="344"/>
      <c r="M63" s="358"/>
    </row>
    <row r="64" spans="1:13" ht="15.75" customHeight="1" outlineLevel="1" x14ac:dyDescent="0.25">
      <c r="A64" s="72" t="s">
        <v>196</v>
      </c>
      <c r="B64" s="200">
        <f>$H$2-3</f>
        <v>2022</v>
      </c>
      <c r="C64" s="69"/>
      <c r="D64" s="200">
        <f>$H$2-2</f>
        <v>2023</v>
      </c>
      <c r="E64" s="69"/>
      <c r="F64" s="200">
        <f>$H$2-1</f>
        <v>2024</v>
      </c>
      <c r="G64" s="121"/>
      <c r="H64" s="121"/>
      <c r="J64" s="350" t="str">
        <f>CONCATENATE("",H2," Ad Valorem Tax:")</f>
        <v>2025 Ad Valorem Tax:</v>
      </c>
      <c r="K64" s="344"/>
      <c r="L64" s="344"/>
      <c r="M64" s="357">
        <f>ROUND(F62*M63/1000,0)</f>
        <v>0</v>
      </c>
    </row>
    <row r="65" spans="1:13" ht="15.75" customHeight="1" outlineLevel="1" x14ac:dyDescent="0.25">
      <c r="A65" s="72" t="s">
        <v>197</v>
      </c>
      <c r="B65" s="208">
        <f>inputPrYr!$D$109</f>
        <v>0</v>
      </c>
      <c r="C65" s="121"/>
      <c r="D65" s="208">
        <f>inputPrYr!$E$109</f>
        <v>0</v>
      </c>
      <c r="E65" s="121"/>
      <c r="F65" s="208">
        <f>Debt!$G$20</f>
        <v>0</v>
      </c>
      <c r="G65" s="69"/>
      <c r="H65" s="69"/>
      <c r="J65" s="355" t="str">
        <f>CONCATENATE("",H2," Tax Levy Fund Exp. Changed By:")</f>
        <v>2025 Tax Levy Fund Exp. Changed By:</v>
      </c>
      <c r="K65" s="356"/>
      <c r="L65" s="356"/>
      <c r="M65" s="348">
        <f>IF(M63=0,0,(M64-G56))</f>
        <v>0</v>
      </c>
    </row>
    <row r="66" spans="1:13" ht="15.75" customHeight="1" outlineLevel="1" x14ac:dyDescent="0.2">
      <c r="A66" s="72" t="s">
        <v>198</v>
      </c>
      <c r="B66" s="328">
        <f>inputPrYr!$D$110</f>
        <v>0</v>
      </c>
      <c r="C66" s="121"/>
      <c r="D66" s="328">
        <f>inputPrYr!$E$110</f>
        <v>0</v>
      </c>
      <c r="E66" s="121"/>
      <c r="F66" s="208">
        <f>Debt!$G$32</f>
        <v>0</v>
      </c>
      <c r="G66" s="69"/>
      <c r="H66" s="69"/>
    </row>
    <row r="67" spans="1:13" ht="15.75" customHeight="1" outlineLevel="1" x14ac:dyDescent="0.2">
      <c r="A67" s="69" t="s">
        <v>216</v>
      </c>
      <c r="B67" s="328">
        <f>inputPrYr!$D$111</f>
        <v>0</v>
      </c>
      <c r="C67" s="121"/>
      <c r="D67" s="328">
        <f>inputPrYr!$E$111</f>
        <v>0</v>
      </c>
      <c r="E67" s="121"/>
      <c r="F67" s="208">
        <f>Debt!$G$42</f>
        <v>0</v>
      </c>
      <c r="G67" s="69"/>
      <c r="H67" s="69"/>
      <c r="J67" s="815" t="s">
        <v>640</v>
      </c>
      <c r="K67" s="816"/>
      <c r="L67" s="816"/>
      <c r="M67" s="819" t="str">
        <f>IF(H56&gt;H57, "Yes", "No")</f>
        <v>No</v>
      </c>
    </row>
    <row r="68" spans="1:13" ht="18.75" customHeight="1" outlineLevel="1" x14ac:dyDescent="0.2">
      <c r="A68" s="72" t="s">
        <v>25</v>
      </c>
      <c r="B68" s="328">
        <f>inputPrYr!$D$112</f>
        <v>0</v>
      </c>
      <c r="C68" s="121"/>
      <c r="D68" s="328">
        <f>inputPrYr!$E$112</f>
        <v>0</v>
      </c>
      <c r="E68" s="121"/>
      <c r="F68" s="208">
        <f>'LP Form'!$G$28</f>
        <v>0</v>
      </c>
      <c r="G68" s="69"/>
      <c r="H68" s="69"/>
      <c r="J68" s="817"/>
      <c r="K68" s="818"/>
      <c r="L68" s="818"/>
      <c r="M68" s="820"/>
    </row>
    <row r="69" spans="1:13" ht="18.75" customHeight="1" thickBot="1" x14ac:dyDescent="0.25">
      <c r="A69" s="72" t="s">
        <v>199</v>
      </c>
      <c r="B69" s="361">
        <f>SUM(B65:B68)</f>
        <v>0</v>
      </c>
      <c r="C69" s="121"/>
      <c r="D69" s="361">
        <f>SUM(D65:D68)</f>
        <v>0</v>
      </c>
      <c r="E69" s="121"/>
      <c r="F69" s="361">
        <f>SUM(F65:F68)</f>
        <v>0</v>
      </c>
      <c r="G69" s="69"/>
      <c r="H69" s="69"/>
      <c r="J69" s="781" t="str">
        <f>IF(M67="Yes", "Follow procedure prescirbed by KSA 79-2988 to exceed the Revenue Neutral Rate.", " ")</f>
        <v xml:space="preserve"> </v>
      </c>
      <c r="K69" s="781"/>
      <c r="L69" s="781"/>
      <c r="M69" s="781"/>
    </row>
    <row r="70" spans="1:13" ht="18" customHeight="1" thickTop="1" x14ac:dyDescent="0.2">
      <c r="A70" s="72" t="s">
        <v>200</v>
      </c>
      <c r="B70" s="69"/>
      <c r="C70" s="69"/>
      <c r="D70" s="69"/>
      <c r="E70" s="69"/>
      <c r="F70" s="69"/>
      <c r="G70" s="69"/>
      <c r="H70" s="69"/>
      <c r="J70" s="782"/>
      <c r="K70" s="782"/>
      <c r="L70" s="782"/>
      <c r="M70" s="782"/>
    </row>
    <row r="71" spans="1:13" ht="18" customHeight="1" x14ac:dyDescent="0.2">
      <c r="A71" s="613" t="s">
        <v>639</v>
      </c>
      <c r="B71" s="69"/>
      <c r="C71" s="69"/>
      <c r="D71" s="69"/>
      <c r="E71" s="69"/>
      <c r="F71" s="69"/>
      <c r="G71" s="69"/>
      <c r="H71" s="69"/>
      <c r="J71" s="782"/>
      <c r="K71" s="782"/>
      <c r="L71" s="782"/>
      <c r="M71" s="782"/>
    </row>
    <row r="72" spans="1:13" ht="19.5" customHeight="1" x14ac:dyDescent="0.2">
      <c r="A72" s="72"/>
      <c r="B72" s="69"/>
      <c r="C72" s="69"/>
      <c r="D72" s="69"/>
      <c r="E72" s="69"/>
      <c r="F72" s="69"/>
      <c r="G72" s="69"/>
      <c r="H72" s="69"/>
    </row>
    <row r="73" spans="1:13" ht="18.75" customHeight="1" x14ac:dyDescent="0.2">
      <c r="A73" s="835">
        <f>inputHearing!B14</f>
        <v>0</v>
      </c>
      <c r="B73" s="836"/>
      <c r="C73" s="375"/>
      <c r="D73" s="69"/>
      <c r="E73" s="69"/>
      <c r="F73" s="69"/>
      <c r="G73" s="69"/>
      <c r="H73" s="69"/>
    </row>
    <row r="74" spans="1:13" x14ac:dyDescent="0.2">
      <c r="A74" s="834" t="str">
        <f>CONCATENATE("City Official Title: ",inputHearing!B16,"")</f>
        <v xml:space="preserve">City Official Title: </v>
      </c>
      <c r="B74" s="808"/>
      <c r="C74" s="69"/>
      <c r="D74" s="69"/>
      <c r="E74" s="69"/>
      <c r="F74" s="69"/>
      <c r="G74" s="69"/>
      <c r="H74" s="69"/>
    </row>
    <row r="75" spans="1:13" x14ac:dyDescent="0.2">
      <c r="A75" s="161"/>
      <c r="B75" s="832"/>
      <c r="C75" s="833"/>
      <c r="D75" s="69"/>
      <c r="E75" s="69"/>
      <c r="F75" s="69"/>
      <c r="G75" s="69"/>
      <c r="H75" s="69"/>
    </row>
    <row r="76" spans="1:13" x14ac:dyDescent="0.2">
      <c r="A76" s="831"/>
      <c r="B76" s="831"/>
      <c r="C76" s="135" t="s">
        <v>173</v>
      </c>
      <c r="D76" s="564"/>
      <c r="E76" s="69"/>
      <c r="F76" s="69"/>
      <c r="G76" s="69"/>
      <c r="H76" s="69"/>
    </row>
    <row r="77" spans="1:13" x14ac:dyDescent="0.2">
      <c r="A77" s="161"/>
      <c r="B77" s="380"/>
      <c r="C77" s="375"/>
      <c r="D77" s="69"/>
      <c r="E77" s="69"/>
      <c r="F77" s="69"/>
      <c r="G77" s="69"/>
      <c r="H77" s="69"/>
    </row>
    <row r="78" spans="1:13" x14ac:dyDescent="0.2">
      <c r="A78" s="69"/>
      <c r="B78" s="69"/>
      <c r="C78" s="69"/>
      <c r="D78" s="69"/>
      <c r="E78" s="69"/>
      <c r="F78" s="69"/>
      <c r="G78" s="69"/>
      <c r="H78" s="69"/>
    </row>
  </sheetData>
  <sheetProtection sheet="1"/>
  <mergeCells count="21">
    <mergeCell ref="A76:B76"/>
    <mergeCell ref="B75:C75"/>
    <mergeCell ref="A74:B74"/>
    <mergeCell ref="A73:B73"/>
    <mergeCell ref="A57:G57"/>
    <mergeCell ref="A1:H1"/>
    <mergeCell ref="A4:H4"/>
    <mergeCell ref="A5:H5"/>
    <mergeCell ref="A6:H6"/>
    <mergeCell ref="A7:H7"/>
    <mergeCell ref="A3:H3"/>
    <mergeCell ref="H17:H18"/>
    <mergeCell ref="J67:L68"/>
    <mergeCell ref="M67:M68"/>
    <mergeCell ref="J69:M71"/>
    <mergeCell ref="A9:H9"/>
    <mergeCell ref="A10:H10"/>
    <mergeCell ref="J43:M43"/>
    <mergeCell ref="J47:M47"/>
    <mergeCell ref="J54:M54"/>
    <mergeCell ref="J60:M60"/>
  </mergeCells>
  <phoneticPr fontId="0" type="noConversion"/>
  <conditionalFormatting sqref="M67:M68">
    <cfRule type="containsText" dxfId="2" priority="1" operator="containsText" text="Yes">
      <formula>NOT(ISERROR(SEARCH("Yes",M67)))</formula>
    </cfRule>
  </conditionalFormatting>
  <pageMargins left="0.5" right="0.5" top="1" bottom="0.5" header="0.5" footer="0.5"/>
  <pageSetup scale="63" orientation="portrait" blackAndWhite="1" horizontalDpi="120" verticalDpi="144"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tabColor rgb="FF00B0F0"/>
    <pageSetUpPr fitToPage="1"/>
  </sheetPr>
  <dimension ref="A1:M78"/>
  <sheetViews>
    <sheetView zoomScale="75" workbookViewId="0">
      <selection activeCell="I1" sqref="I1"/>
    </sheetView>
  </sheetViews>
  <sheetFormatPr defaultColWidth="8.88671875" defaultRowHeight="15.75" outlineLevelRow="2" x14ac:dyDescent="0.2"/>
  <cols>
    <col min="1" max="1" width="21.5546875" style="63" customWidth="1"/>
    <col min="2" max="2" width="15.77734375" style="63" customWidth="1"/>
    <col min="3" max="3" width="10.77734375" style="63" customWidth="1"/>
    <col min="4" max="4" width="15.77734375" style="63" customWidth="1"/>
    <col min="5" max="5" width="10.77734375" style="63" customWidth="1"/>
    <col min="6" max="6" width="15.77734375" style="63" customWidth="1"/>
    <col min="7" max="7" width="12.77734375" style="63" customWidth="1"/>
    <col min="8" max="8" width="10.77734375" style="63" customWidth="1"/>
    <col min="9" max="9" width="8.88671875" style="63"/>
    <col min="10" max="10" width="12.44140625" style="63" customWidth="1"/>
    <col min="11" max="11" width="12.33203125" style="63" customWidth="1"/>
    <col min="12" max="12" width="10.5546875" style="63" customWidth="1"/>
    <col min="13" max="13" width="12.109375" style="63" customWidth="1"/>
    <col min="14" max="16384" width="8.88671875" style="63"/>
  </cols>
  <sheetData>
    <row r="1" spans="1:9" x14ac:dyDescent="0.2">
      <c r="A1" s="821" t="s">
        <v>641</v>
      </c>
      <c r="B1" s="821"/>
      <c r="C1" s="821"/>
      <c r="D1" s="821"/>
      <c r="E1" s="821"/>
      <c r="F1" s="821"/>
      <c r="G1" s="821"/>
      <c r="H1" s="821"/>
      <c r="I1" s="195"/>
    </row>
    <row r="2" spans="1:9" ht="18" customHeight="1" x14ac:dyDescent="0.2">
      <c r="A2" s="69"/>
      <c r="B2" s="69"/>
      <c r="C2" s="69"/>
      <c r="D2" s="69"/>
      <c r="E2" s="69"/>
      <c r="F2" s="69"/>
      <c r="G2" s="69"/>
      <c r="H2" s="69">
        <f>inputPrYr!$C$10</f>
        <v>2025</v>
      </c>
    </row>
    <row r="3" spans="1:9" ht="18" customHeight="1" x14ac:dyDescent="0.2">
      <c r="A3" s="765" t="s">
        <v>184</v>
      </c>
      <c r="B3" s="765"/>
      <c r="C3" s="765"/>
      <c r="D3" s="765"/>
      <c r="E3" s="765"/>
      <c r="F3" s="765"/>
      <c r="G3" s="765"/>
      <c r="H3" s="765"/>
    </row>
    <row r="4" spans="1:9" x14ac:dyDescent="0.2">
      <c r="A4" s="697">
        <f>inputPrYr!D3</f>
        <v>0</v>
      </c>
      <c r="B4" s="697"/>
      <c r="C4" s="697"/>
      <c r="D4" s="697"/>
      <c r="E4" s="697"/>
      <c r="F4" s="697"/>
      <c r="G4" s="697"/>
      <c r="H4" s="697"/>
    </row>
    <row r="5" spans="1:9" ht="18" customHeight="1" x14ac:dyDescent="0.2">
      <c r="A5" s="765" t="str">
        <f>CONCATENATE("will meet on ",inputHearing!B32," at ",inputHearing!B34," at ",inputHearing!B36," for the purpose of hearing and")</f>
        <v>will meet on  at  at  for the purpose of hearing and</v>
      </c>
      <c r="B5" s="765"/>
      <c r="C5" s="765"/>
      <c r="D5" s="765"/>
      <c r="E5" s="765"/>
      <c r="F5" s="765"/>
      <c r="G5" s="765"/>
      <c r="H5" s="765"/>
    </row>
    <row r="6" spans="1:9" ht="16.5" customHeight="1" x14ac:dyDescent="0.2">
      <c r="A6" s="765" t="s">
        <v>642</v>
      </c>
      <c r="B6" s="765"/>
      <c r="C6" s="765"/>
      <c r="D6" s="765"/>
      <c r="E6" s="765"/>
      <c r="F6" s="765"/>
      <c r="G6" s="765"/>
      <c r="H6" s="765"/>
    </row>
    <row r="7" spans="1:9" ht="16.5" customHeight="1" x14ac:dyDescent="0.2">
      <c r="A7" s="765" t="str">
        <f>CONCATENATE("Detailed budget information is available at ",inputHearing!B38," and will be available at this hearing.")</f>
        <v>Detailed budget information is available at  and will be available at this hearing.</v>
      </c>
      <c r="B7" s="765"/>
      <c r="C7" s="765"/>
      <c r="D7" s="765"/>
      <c r="E7" s="765"/>
      <c r="F7" s="765"/>
      <c r="G7" s="765"/>
      <c r="H7" s="765"/>
    </row>
    <row r="8" spans="1:9" ht="12" customHeight="1" x14ac:dyDescent="0.2">
      <c r="A8" s="566"/>
      <c r="B8" s="567"/>
      <c r="C8" s="567"/>
      <c r="D8" s="567"/>
      <c r="E8" s="567"/>
      <c r="F8" s="567"/>
      <c r="G8" s="75"/>
      <c r="H8" s="75"/>
    </row>
    <row r="9" spans="1:9" ht="15" customHeight="1" x14ac:dyDescent="0.2">
      <c r="A9" s="821" t="s">
        <v>490</v>
      </c>
      <c r="B9" s="698"/>
      <c r="C9" s="698"/>
      <c r="D9" s="698"/>
      <c r="E9" s="698"/>
      <c r="F9" s="698"/>
      <c r="G9" s="698"/>
      <c r="H9" s="698"/>
    </row>
    <row r="10" spans="1:9" ht="12" customHeight="1" x14ac:dyDescent="0.2">
      <c r="A10" s="822" t="str">
        <f>CONCATENATE(inputPrYr!D4," (home county) ",inputPrYr!D6,IF(inputPrYr!D7="","",", "),inputPrYr!D7,IF(inputPrYr!D8="","",", "),inputPrYr!D8)</f>
        <v xml:space="preserve"> (home county) </v>
      </c>
      <c r="B10" s="823"/>
      <c r="C10" s="823"/>
      <c r="D10" s="823"/>
      <c r="E10" s="823"/>
      <c r="F10" s="823"/>
      <c r="G10" s="823"/>
      <c r="H10" s="823"/>
    </row>
    <row r="11" spans="1:9" ht="12" customHeight="1" x14ac:dyDescent="0.2">
      <c r="A11" s="566"/>
      <c r="B11" s="567"/>
      <c r="C11" s="567"/>
      <c r="D11" s="567"/>
      <c r="E11" s="567"/>
      <c r="F11" s="567"/>
      <c r="G11" s="75"/>
      <c r="H11" s="75"/>
    </row>
    <row r="12" spans="1:9" x14ac:dyDescent="0.2">
      <c r="A12" s="74" t="s">
        <v>3</v>
      </c>
      <c r="B12" s="75"/>
      <c r="C12" s="75"/>
      <c r="D12" s="75"/>
      <c r="E12" s="75"/>
      <c r="F12" s="75"/>
      <c r="G12" s="75"/>
      <c r="H12" s="75"/>
    </row>
    <row r="13" spans="1:9" x14ac:dyDescent="0.2">
      <c r="A13" s="136" t="str">
        <f>CONCATENATE("Proposed Budget ",H2," Expenditures and Amount of ",H2-1," Ad Valorem Tax establish the maximum limits of the ",H2," budget.")</f>
        <v>Proposed Budget 2025 Expenditures and Amount of 2024 Ad Valorem Tax establish the maximum limits of the 2025 budget.</v>
      </c>
      <c r="B13" s="75"/>
      <c r="C13" s="75"/>
      <c r="D13" s="75"/>
      <c r="E13" s="75"/>
      <c r="F13" s="75"/>
      <c r="G13" s="75"/>
      <c r="H13" s="75"/>
    </row>
    <row r="14" spans="1:9" x14ac:dyDescent="0.2">
      <c r="A14" s="136" t="s">
        <v>24</v>
      </c>
      <c r="B14" s="75"/>
      <c r="C14" s="75"/>
      <c r="D14" s="75"/>
      <c r="E14" s="75"/>
      <c r="F14" s="75"/>
      <c r="G14" s="75"/>
      <c r="H14" s="75"/>
    </row>
    <row r="15" spans="1:9" x14ac:dyDescent="0.2">
      <c r="A15" s="69"/>
      <c r="B15" s="196"/>
      <c r="C15" s="196"/>
      <c r="D15" s="196"/>
      <c r="E15" s="196"/>
      <c r="F15" s="196"/>
      <c r="G15" s="196"/>
      <c r="H15" s="196"/>
    </row>
    <row r="16" spans="1:9" x14ac:dyDescent="0.2">
      <c r="A16" s="69"/>
      <c r="B16" s="197" t="str">
        <f>CONCATENATE("Prior Year Actual for ",H2-2,"")</f>
        <v>Prior Year Actual for 2023</v>
      </c>
      <c r="C16" s="139"/>
      <c r="D16" s="197" t="str">
        <f>CONCATENATE("Current Year Estimate for ",H2-1,"")</f>
        <v>Current Year Estimate for 2024</v>
      </c>
      <c r="E16" s="139"/>
      <c r="F16" s="137" t="str">
        <f>CONCATENATE("Proposed Budget for ",H2,"")</f>
        <v>Proposed Budget for 2025</v>
      </c>
      <c r="G16" s="138"/>
      <c r="H16" s="139"/>
    </row>
    <row r="17" spans="1:8" ht="30.75" customHeight="1" x14ac:dyDescent="0.2">
      <c r="A17" s="69"/>
      <c r="B17" s="198"/>
      <c r="C17" s="142" t="s">
        <v>186</v>
      </c>
      <c r="D17" s="142"/>
      <c r="E17" s="142" t="s">
        <v>186</v>
      </c>
      <c r="F17" s="142" t="s">
        <v>326</v>
      </c>
      <c r="G17" s="142" t="str">
        <f>CONCATENATE("Amount of ",H2-1,"")</f>
        <v>Amount of 2024</v>
      </c>
      <c r="H17" s="766" t="s">
        <v>638</v>
      </c>
    </row>
    <row r="18" spans="1:8" x14ac:dyDescent="0.2">
      <c r="A18" s="81" t="s">
        <v>187</v>
      </c>
      <c r="B18" s="146" t="s">
        <v>188</v>
      </c>
      <c r="C18" s="146" t="s">
        <v>189</v>
      </c>
      <c r="D18" s="146" t="s">
        <v>188</v>
      </c>
      <c r="E18" s="146" t="s">
        <v>189</v>
      </c>
      <c r="F18" s="146" t="s">
        <v>327</v>
      </c>
      <c r="G18" s="147" t="s">
        <v>163</v>
      </c>
      <c r="H18" s="767"/>
    </row>
    <row r="19" spans="1:8" outlineLevel="2" x14ac:dyDescent="0.2">
      <c r="A19" s="95" t="str">
        <f>inputPrYr!B22</f>
        <v>General</v>
      </c>
      <c r="B19" s="208" t="str">
        <f>IF(General!$C$107&lt;&gt;0,General!$C$107,"  ")</f>
        <v xml:space="preserve">  </v>
      </c>
      <c r="C19" s="326" t="str">
        <f>IF(inputPrYr!D89&gt;0,inputPrYr!D89,"  ")</f>
        <v xml:space="preserve">  </v>
      </c>
      <c r="D19" s="208" t="str">
        <f>IF(General!$D$107&lt;&gt;0,General!$D$107,"  ")</f>
        <v xml:space="preserve">  </v>
      </c>
      <c r="E19" s="326" t="str">
        <f>IF(inputOth!D32&gt;0,inputOth!D32,"  ")</f>
        <v xml:space="preserve">  </v>
      </c>
      <c r="F19" s="208" t="str">
        <f>IF(General!$E$107&lt;&gt;0,General!$E$107,"  ")</f>
        <v xml:space="preserve">  </v>
      </c>
      <c r="G19" s="208" t="str">
        <f>IF(General!$E$114&lt;&gt;0,General!$E$114,"  ")</f>
        <v xml:space="preserve">  </v>
      </c>
      <c r="H19" s="326" t="str">
        <f>IF(General!E114&gt;0,ROUND(G19/$F$62*1000,3),"  ")</f>
        <v xml:space="preserve">  </v>
      </c>
    </row>
    <row r="20" spans="1:8" outlineLevel="2" x14ac:dyDescent="0.2">
      <c r="A20" s="95" t="str">
        <f>inputPrYr!B23</f>
        <v>Debt Service</v>
      </c>
      <c r="B20" s="208" t="str">
        <f>IF('DebtSvs Library'!$C$33&lt;&gt;0,'DebtSvs Library'!$C$33,"  ")</f>
        <v xml:space="preserve">  </v>
      </c>
      <c r="C20" s="326" t="str">
        <f>IF(inputPrYr!D90&gt;0,inputPrYr!D90,"  ")</f>
        <v xml:space="preserve">  </v>
      </c>
      <c r="D20" s="208" t="str">
        <f>IF('DebtSvs Library'!$D$33&lt;&gt;0,'DebtSvs Library'!$D$33,"  ")</f>
        <v xml:space="preserve">  </v>
      </c>
      <c r="E20" s="326" t="str">
        <f>IF(inputOth!D33&gt;0,inputOth!D33,"  ")</f>
        <v xml:space="preserve">  </v>
      </c>
      <c r="F20" s="208" t="str">
        <f>IF('DebtSvs Library'!$E$33&lt;&gt;0,'DebtSvs Library'!$E$33,"  ")</f>
        <v xml:space="preserve">  </v>
      </c>
      <c r="G20" s="208" t="str">
        <f>IF('DebtSvs Library'!$E$40&lt;&gt;0,'DebtSvs Library'!$E$40,"  ")</f>
        <v xml:space="preserve">  </v>
      </c>
      <c r="H20" s="326" t="str">
        <f>IF('DebtSvs Library'!E40&gt;0,ROUND(G20/$F$62*1000,3),"  ")</f>
        <v xml:space="preserve">  </v>
      </c>
    </row>
    <row r="21" spans="1:8" outlineLevel="2" x14ac:dyDescent="0.2">
      <c r="A21" s="95" t="str">
        <f>IF(inputPrYr!$B24&gt;"  ",(inputPrYr!$B24),"  ")</f>
        <v>Library</v>
      </c>
      <c r="B21" s="208" t="str">
        <f>IF('DebtSvs Library'!$C$73&lt;&gt;0,'DebtSvs Library'!$C$73,"  ")</f>
        <v xml:space="preserve">  </v>
      </c>
      <c r="C21" s="326" t="str">
        <f>IF(inputPrYr!D91&gt;0,inputPrYr!D91,"  ")</f>
        <v xml:space="preserve">  </v>
      </c>
      <c r="D21" s="208" t="str">
        <f>IF('DebtSvs Library'!$D$73&lt;&gt;0,'DebtSvs Library'!$D$73,"  ")</f>
        <v xml:space="preserve">  </v>
      </c>
      <c r="E21" s="326" t="str">
        <f>IF(inputOth!D34&gt;0,inputOth!D34,"  ")</f>
        <v xml:space="preserve">  </v>
      </c>
      <c r="F21" s="208" t="str">
        <f>IF('DebtSvs Library'!$E$73&lt;&gt;0,'DebtSvs Library'!$E$73,"  ")</f>
        <v xml:space="preserve">  </v>
      </c>
      <c r="G21" s="208" t="str">
        <f>IF('DebtSvs Library'!$E$80&lt;&gt;0,'DebtSvs Library'!$E$80,"  ")</f>
        <v xml:space="preserve">  </v>
      </c>
      <c r="H21" s="326" t="str">
        <f>IF('DebtSvs Library'!E80&lt;&gt;0,ROUND(G21/$F$62*1000,3),"  ")</f>
        <v xml:space="preserve">  </v>
      </c>
    </row>
    <row r="22" spans="1:8" outlineLevel="2" x14ac:dyDescent="0.2">
      <c r="A22" s="95" t="str">
        <f>IF(inputPrYr!$B26&gt;"  ",(inputPrYr!$B26),"  ")</f>
        <v xml:space="preserve">  </v>
      </c>
      <c r="B22" s="208" t="str">
        <f>IF('Levy Page 9'!$C$32&gt;0,'Levy Page 9'!$C$32,"  ")</f>
        <v xml:space="preserve">  </v>
      </c>
      <c r="C22" s="326" t="str">
        <f>IF(inputPrYr!D92&gt;0,inputPrYr!D92,"  ")</f>
        <v xml:space="preserve">  </v>
      </c>
      <c r="D22" s="208" t="str">
        <f>IF('Levy Page 9'!$D$32&gt;0,'Levy Page 9'!$D$32,"  ")</f>
        <v xml:space="preserve">  </v>
      </c>
      <c r="E22" s="326" t="str">
        <f>IF(inputOth!D35&gt;0,inputOth!D35,"  ")</f>
        <v xml:space="preserve">  </v>
      </c>
      <c r="F22" s="208" t="str">
        <f>IF('Levy Page 9'!$E$32&gt;0,'Levy Page 9'!$E$32,"  ")</f>
        <v xml:space="preserve">  </v>
      </c>
      <c r="G22" s="208" t="str">
        <f>IF('Levy Page 9'!$E$39&lt;&gt;0,'Levy Page 9'!$E$39,"  ")</f>
        <v xml:space="preserve">  </v>
      </c>
      <c r="H22" s="326" t="str">
        <f>IF('Levy Page 9'!E39&lt;&gt;0,ROUND(G22/$F$62*1000,3),"  ")</f>
        <v xml:space="preserve">  </v>
      </c>
    </row>
    <row r="23" spans="1:8" outlineLevel="2" x14ac:dyDescent="0.2">
      <c r="A23" s="95" t="str">
        <f>IF(inputPrYr!$B27&gt;"  ",(inputPrYr!$B27),"  ")</f>
        <v xml:space="preserve">  </v>
      </c>
      <c r="B23" s="208" t="str">
        <f>IF('Levy Page 9'!$C$71&gt;0,'Levy Page 9'!$C$71,"  ")</f>
        <v xml:space="preserve">  </v>
      </c>
      <c r="C23" s="326" t="str">
        <f>IF(inputPrYr!D93&gt;0,inputPrYr!D93,"  ")</f>
        <v xml:space="preserve">  </v>
      </c>
      <c r="D23" s="208" t="str">
        <f>IF('Levy Page 9'!$D$71&gt;0,'Levy Page 9'!$D$71,"  ")</f>
        <v xml:space="preserve">  </v>
      </c>
      <c r="E23" s="326" t="str">
        <f>IF(inputOth!D36&gt;0,inputOth!D36,"  ")</f>
        <v xml:space="preserve">  </v>
      </c>
      <c r="F23" s="208" t="str">
        <f>IF('Levy Page 9'!$E$71&gt;0,'Levy Page 9'!$E$71,"  ")</f>
        <v xml:space="preserve">  </v>
      </c>
      <c r="G23" s="208" t="str">
        <f>IF('Levy Page 9'!$E$78&lt;&gt;0,'Levy Page 9'!$E$78,"  ")</f>
        <v xml:space="preserve">  </v>
      </c>
      <c r="H23" s="326" t="str">
        <f>IF('Levy Page 9'!E78&lt;&gt;0,ROUND(G23/$F$62*1000,3),"  ")</f>
        <v xml:space="preserve">  </v>
      </c>
    </row>
    <row r="24" spans="1:8" outlineLevel="2" x14ac:dyDescent="0.2">
      <c r="A24" s="95" t="str">
        <f>IF(inputPrYr!$B28&gt;"  ",(inputPrYr!$B28),"  ")</f>
        <v xml:space="preserve">  </v>
      </c>
      <c r="B24" s="208" t="str">
        <f>IF('Levy Page 10'!$C$33&gt;0,'Levy Page 10'!$C$33,"  ")</f>
        <v xml:space="preserve">  </v>
      </c>
      <c r="C24" s="326" t="str">
        <f>IF(inputPrYr!D94&gt;0,inputPrYr!D94,"  ")</f>
        <v xml:space="preserve">  </v>
      </c>
      <c r="D24" s="208" t="str">
        <f>IF('Levy Page 10'!$D$33&gt;0,'Levy Page 10'!$D$33,"  ")</f>
        <v xml:space="preserve">  </v>
      </c>
      <c r="E24" s="326" t="str">
        <f>IF(inputOth!D37&gt;0,inputOth!D37,"  ")</f>
        <v xml:space="preserve">  </v>
      </c>
      <c r="F24" s="208" t="str">
        <f>IF('Levy Page 10'!$E$33&gt;0,'Levy Page 10'!$E$33,"  ")</f>
        <v xml:space="preserve">  </v>
      </c>
      <c r="G24" s="208" t="str">
        <f>IF('Levy Page 10'!$E$40&lt;&gt;0,'Levy Page 10'!$E$40,"  ")</f>
        <v xml:space="preserve">  </v>
      </c>
      <c r="H24" s="326" t="str">
        <f>IF('Levy Page 10'!E40&lt;&gt;0,ROUND(G24/$F$62*1000,3),"  ")</f>
        <v xml:space="preserve">  </v>
      </c>
    </row>
    <row r="25" spans="1:8" outlineLevel="2" x14ac:dyDescent="0.2">
      <c r="A25" s="95" t="str">
        <f>IF(inputPrYr!$B29&gt;"  ",(inputPrYr!$B29),"  ")</f>
        <v xml:space="preserve">  </v>
      </c>
      <c r="B25" s="208" t="str">
        <f>IF('Levy Page 10'!$C$72&gt;0,'Levy Page 10'!$C$72,"  ")</f>
        <v xml:space="preserve">  </v>
      </c>
      <c r="C25" s="326" t="str">
        <f>IF(inputPrYr!D95&gt;0,inputPrYr!D95,"  ")</f>
        <v xml:space="preserve">  </v>
      </c>
      <c r="D25" s="208" t="str">
        <f>IF('Levy Page 10'!$D$72&gt;0,'Levy Page 10'!$D$72,"  ")</f>
        <v xml:space="preserve">  </v>
      </c>
      <c r="E25" s="326" t="str">
        <f>IF(inputOth!D38&gt;0,inputOth!D38,"  ")</f>
        <v xml:space="preserve">  </v>
      </c>
      <c r="F25" s="208" t="str">
        <f>IF('Levy Page 10'!$E$72&gt;0,'Levy Page 10'!$E$72,"  ")</f>
        <v xml:space="preserve">  </v>
      </c>
      <c r="G25" s="208" t="str">
        <f>IF('Levy Page 10'!$E$79&lt;&gt;0,'Levy Page 10'!$E$79,"  ")</f>
        <v xml:space="preserve">  </v>
      </c>
      <c r="H25" s="326" t="str">
        <f>IF('Levy Page 10'!E79&lt;&gt;0,ROUND(G25/$F$62*1000,3),"  ")</f>
        <v xml:space="preserve">  </v>
      </c>
    </row>
    <row r="26" spans="1:8" outlineLevel="2" x14ac:dyDescent="0.2">
      <c r="A26" s="95" t="str">
        <f>IF(inputPrYr!$B30&gt;"  ",(inputPrYr!$B30),"  ")</f>
        <v xml:space="preserve">  </v>
      </c>
      <c r="B26" s="208" t="str">
        <f>IF('Levy Page 11'!$C$32&gt;0,'Levy Page 11'!$C$32,"  ")</f>
        <v xml:space="preserve">  </v>
      </c>
      <c r="C26" s="326" t="str">
        <f>IF(inputPrYr!D96&gt;0,inputPrYr!D96,"  ")</f>
        <v xml:space="preserve">  </v>
      </c>
      <c r="D26" s="208" t="str">
        <f>IF('Levy Page 11'!$D$32&gt;0,'Levy Page 11'!$D$32,"  ")</f>
        <v xml:space="preserve">  </v>
      </c>
      <c r="E26" s="326" t="str">
        <f>IF(inputOth!D39&gt;0,inputOth!D39,"  ")</f>
        <v xml:space="preserve">  </v>
      </c>
      <c r="F26" s="208" t="str">
        <f>IF('Levy Page 11'!$E$32&gt;0,'Levy Page 11'!$E$32,"  ")</f>
        <v xml:space="preserve">  </v>
      </c>
      <c r="G26" s="208" t="str">
        <f>IF('Levy Page 11'!$E$39&lt;&gt;0,'Levy Page 11'!$E$39,"  ")</f>
        <v xml:space="preserve">  </v>
      </c>
      <c r="H26" s="326" t="str">
        <f>IF('Levy Page 11'!E39&lt;&gt;0,ROUND(G26/$F$62*1000,3),"  ")</f>
        <v xml:space="preserve">  </v>
      </c>
    </row>
    <row r="27" spans="1:8" outlineLevel="2" x14ac:dyDescent="0.2">
      <c r="A27" s="95" t="str">
        <f>IF(inputPrYr!$B31&gt;"  ",(inputPrYr!$B31),"  ")</f>
        <v xml:space="preserve">  </v>
      </c>
      <c r="B27" s="208" t="str">
        <f>IF('Levy Page 11'!$C$72&gt;0,'Levy Page 11'!$C$72,"  ")</f>
        <v xml:space="preserve">  </v>
      </c>
      <c r="C27" s="326" t="str">
        <f>IF(inputPrYr!D97&gt;0,inputPrYr!D97,"  ")</f>
        <v xml:space="preserve">  </v>
      </c>
      <c r="D27" s="208" t="str">
        <f>IF('Levy Page 11'!$D$72&gt;0,'Levy Page 11'!$D$72,"  ")</f>
        <v xml:space="preserve">  </v>
      </c>
      <c r="E27" s="326" t="str">
        <f>IF(inputOth!D40&gt;0,inputOth!D40,"  ")</f>
        <v xml:space="preserve">  </v>
      </c>
      <c r="F27" s="208" t="str">
        <f>IF('Levy Page 11'!$E$72&gt;0,'Levy Page 11'!$E$72,"  ")</f>
        <v xml:space="preserve">  </v>
      </c>
      <c r="G27" s="208" t="str">
        <f>IF('Levy Page 11'!$E$79&lt;&gt;0,'Levy Page 11'!$E$79,"  ")</f>
        <v xml:space="preserve">  </v>
      </c>
      <c r="H27" s="326" t="str">
        <f>IF('Levy Page 11'!E79&lt;&gt;0,ROUND(G27/$F$62*1000,3),"  ")</f>
        <v xml:space="preserve">  </v>
      </c>
    </row>
    <row r="28" spans="1:8" outlineLevel="2" x14ac:dyDescent="0.2">
      <c r="A28" s="95" t="str">
        <f>IF(inputPrYr!$B32&gt;"  ",(inputPrYr!$B32),"  ")</f>
        <v xml:space="preserve">  </v>
      </c>
      <c r="B28" s="208" t="str">
        <f>IF('Levy Page 12'!$C$33&gt;0,'Levy Page 12'!$C$33,"  ")</f>
        <v xml:space="preserve">  </v>
      </c>
      <c r="C28" s="326" t="str">
        <f>IF(inputPrYr!D98&gt;0,inputPrYr!D98,"  ")</f>
        <v xml:space="preserve">  </v>
      </c>
      <c r="D28" s="208" t="str">
        <f>IF('Levy Page 12'!$D$33&gt;0,'Levy Page 12'!$D$33,"  ")</f>
        <v xml:space="preserve">  </v>
      </c>
      <c r="E28" s="326" t="str">
        <f>IF(inputOth!D41&gt;0,inputOth!D41,"  ")</f>
        <v xml:space="preserve">  </v>
      </c>
      <c r="F28" s="208" t="str">
        <f>IF('Levy Page 12'!$E$33&gt;0,'Levy Page 12'!$E$33,"  ")</f>
        <v xml:space="preserve">  </v>
      </c>
      <c r="G28" s="208" t="str">
        <f>IF('Levy Page 12'!$E$40&lt;&gt;0,'Levy Page 12'!$E$40,"  ")</f>
        <v xml:space="preserve">  </v>
      </c>
      <c r="H28" s="326" t="str">
        <f>IF('Levy Page 12'!E40&lt;&gt;0,ROUND(G28/$F$62*1000,3),"  ")</f>
        <v xml:space="preserve">  </v>
      </c>
    </row>
    <row r="29" spans="1:8" outlineLevel="2" x14ac:dyDescent="0.2">
      <c r="A29" s="95" t="str">
        <f>IF(inputPrYr!$B33&gt;"  ",(inputPrYr!$B33),"  ")</f>
        <v xml:space="preserve">  </v>
      </c>
      <c r="B29" s="208" t="str">
        <f>IF('Levy Page 12'!$C$72&gt;0,'Levy Page 12'!$C$72,"  ")</f>
        <v xml:space="preserve">  </v>
      </c>
      <c r="C29" s="326" t="str">
        <f>IF(inputPrYr!D99&gt;0,inputPrYr!D99,"  ")</f>
        <v xml:space="preserve">  </v>
      </c>
      <c r="D29" s="208" t="str">
        <f>IF('Levy Page 12'!$D$72&gt;0,'Levy Page 12'!$D$72,"  ")</f>
        <v xml:space="preserve">  </v>
      </c>
      <c r="E29" s="326" t="str">
        <f>IF(inputOth!D42&gt;0,inputOth!D42,"  ")</f>
        <v xml:space="preserve">  </v>
      </c>
      <c r="F29" s="208" t="str">
        <f>IF('Levy Page 12'!$E$72&gt;0,'Levy Page 12'!$E$72,"  ")</f>
        <v xml:space="preserve">  </v>
      </c>
      <c r="G29" s="208" t="str">
        <f>IF('Levy Page 12'!$E$79&lt;&gt;0,'Levy Page 12'!$E$79,"  ")</f>
        <v xml:space="preserve">  </v>
      </c>
      <c r="H29" s="326" t="str">
        <f>IF('Levy Page 12'!E79&lt;&gt;0,ROUND(G29/$F$62*1000,3),"  ")</f>
        <v xml:space="preserve">  </v>
      </c>
    </row>
    <row r="30" spans="1:8" outlineLevel="2" x14ac:dyDescent="0.2">
      <c r="A30" s="95" t="str">
        <f>IF(inputPrYr!$B34&gt;"  ",(inputPrYr!$B34),"  ")</f>
        <v xml:space="preserve">  </v>
      </c>
      <c r="B30" s="208" t="str">
        <f>IF('Levy Page 13'!$C$34&gt;0,'Levy Page 13'!$C$34,"  ")</f>
        <v xml:space="preserve">  </v>
      </c>
      <c r="C30" s="326" t="str">
        <f>IF(inputPrYr!D100&gt;0,inputPrYr!D100,"  ")</f>
        <v xml:space="preserve">  </v>
      </c>
      <c r="D30" s="208" t="str">
        <f>IF('Levy Page 13'!$D$34&gt;0,'Levy Page 13'!$D$34,"  ")</f>
        <v xml:space="preserve">  </v>
      </c>
      <c r="E30" s="326" t="str">
        <f>IF(inputOth!D43&gt;0,inputOth!D43,"  ")</f>
        <v xml:space="preserve">  </v>
      </c>
      <c r="F30" s="208" t="str">
        <f>IF('Levy Page 13'!$E$34&gt;0,'Levy Page 13'!$E$34,"  ")</f>
        <v xml:space="preserve">  </v>
      </c>
      <c r="G30" s="208" t="str">
        <f>IF('Levy Page 13'!$E$41&lt;&gt;0,'Levy Page 13'!$E$41,"  ")</f>
        <v xml:space="preserve">  </v>
      </c>
      <c r="H30" s="326" t="str">
        <f>IF('Levy Page 13'!E41&lt;&gt;0,ROUND(G30/$F$62*1000,3),"  ")</f>
        <v xml:space="preserve">  </v>
      </c>
    </row>
    <row r="31" spans="1:8" outlineLevel="2" x14ac:dyDescent="0.2">
      <c r="A31" s="95" t="str">
        <f>IF(inputPrYr!B35&gt;"  ",(inputPrYr!B35),"  ")</f>
        <v xml:space="preserve">  </v>
      </c>
      <c r="B31" s="208" t="str">
        <f>IF('Levy Page 13'!$C$73&gt;0,'Levy Page 13'!$C$73,"  ")</f>
        <v xml:space="preserve">  </v>
      </c>
      <c r="C31" s="326" t="str">
        <f>IF(inputPrYr!D101&gt;0,inputPrYr!D101,"  ")</f>
        <v xml:space="preserve">  </v>
      </c>
      <c r="D31" s="208" t="str">
        <f>IF('Levy Page 13'!$D$73&gt;0,'Levy Page 13'!$D$73,"  ")</f>
        <v xml:space="preserve">  </v>
      </c>
      <c r="E31" s="326" t="str">
        <f>IF(inputOth!D44&gt;0,inputOth!D44,"  ")</f>
        <v xml:space="preserve">  </v>
      </c>
      <c r="F31" s="208" t="str">
        <f>IF('Levy Page 13'!$E$73&gt;0,'Levy Page 13'!$E$73,"  ")</f>
        <v xml:space="preserve">  </v>
      </c>
      <c r="G31" s="208" t="str">
        <f>IF('Levy Page 13'!$E$80&lt;&gt;0,'Levy Page 13'!$E$80,"  ")</f>
        <v xml:space="preserve">  </v>
      </c>
      <c r="H31" s="326" t="str">
        <f>IF('Levy Page 13'!E80&lt;&gt;0,ROUND(G31/$F$62*1000,3),"  ")</f>
        <v xml:space="preserve">  </v>
      </c>
    </row>
    <row r="32" spans="1:8" outlineLevel="2" x14ac:dyDescent="0.2">
      <c r="A32" s="95" t="str">
        <f>IF(inputPrYr!$B39&gt;"  ",(inputPrYr!$B39),"  ")</f>
        <v>Special Highway</v>
      </c>
      <c r="B32" s="208" t="str">
        <f>IF('Spec Hwy'!$C$28&gt;0,'Spec Hwy'!$C$28,"  ")</f>
        <v xml:space="preserve">  </v>
      </c>
      <c r="C32" s="153"/>
      <c r="D32" s="208" t="str">
        <f>IF('Spec Hwy'!$D$28&gt;0,'Spec Hwy'!$D$28,"  ")</f>
        <v xml:space="preserve">  </v>
      </c>
      <c r="E32" s="153"/>
      <c r="F32" s="208" t="str">
        <f>IF('Spec Hwy'!$E$28&gt;0,'Spec Hwy'!$E$28,"  ")</f>
        <v xml:space="preserve">  </v>
      </c>
      <c r="G32" s="208"/>
      <c r="H32" s="326"/>
    </row>
    <row r="33" spans="1:13" outlineLevel="2" x14ac:dyDescent="0.2">
      <c r="A33" s="95" t="str">
        <f>IF(inputPrYr!$B40&gt;"  ",(inputPrYr!$B40),"  ")</f>
        <v xml:space="preserve">  </v>
      </c>
      <c r="B33" s="208" t="str">
        <f>IF('Spec Hwy'!$C$59&gt;0,'Spec Hwy'!$C$59,"  ")</f>
        <v xml:space="preserve">  </v>
      </c>
      <c r="C33" s="153"/>
      <c r="D33" s="208" t="str">
        <f>IF('Spec Hwy'!$D$59&gt;0,'Spec Hwy'!$D$59,"  ")</f>
        <v xml:space="preserve">  </v>
      </c>
      <c r="E33" s="153"/>
      <c r="F33" s="208" t="str">
        <f>IF('Spec Hwy'!$E$59&gt;0,'Spec Hwy'!$E$59,"  ")</f>
        <v xml:space="preserve">  </v>
      </c>
      <c r="G33" s="208"/>
      <c r="H33" s="326"/>
    </row>
    <row r="34" spans="1:13" outlineLevel="2" x14ac:dyDescent="0.2">
      <c r="A34" s="95" t="str">
        <f>IF(inputPrYr!$B41&gt;"  ",(inputPrYr!$B41),"  ")</f>
        <v xml:space="preserve">  </v>
      </c>
      <c r="B34" s="208" t="str">
        <f>IF('No Levy Page 15'!$C$27&gt;0,'No Levy Page 15'!$C$27,"  ")</f>
        <v xml:space="preserve">  </v>
      </c>
      <c r="C34" s="153"/>
      <c r="D34" s="208" t="str">
        <f>IF('No Levy Page 15'!$D$27&gt;0,'No Levy Page 15'!$D$27,"  ")</f>
        <v xml:space="preserve">  </v>
      </c>
      <c r="E34" s="153"/>
      <c r="F34" s="208" t="str">
        <f>IF('No Levy Page 15'!$E$27&gt;0,'No Levy Page 15'!$E$27,"  ")</f>
        <v xml:space="preserve">  </v>
      </c>
      <c r="G34" s="208"/>
      <c r="H34" s="326"/>
    </row>
    <row r="35" spans="1:13" outlineLevel="2" x14ac:dyDescent="0.2">
      <c r="A35" s="95" t="str">
        <f>IF(inputPrYr!$B42&gt;"  ",(inputPrYr!$B42),"  ")</f>
        <v xml:space="preserve">  </v>
      </c>
      <c r="B35" s="208" t="str">
        <f>IF('No Levy Page 15'!$C$58&gt;0,'No Levy Page 15'!$C$58,"  ")</f>
        <v xml:space="preserve">  </v>
      </c>
      <c r="C35" s="153"/>
      <c r="D35" s="208" t="str">
        <f>IF('No Levy Page 15'!$D$58&gt;0,'No Levy Page 15'!$D$58,"  ")</f>
        <v xml:space="preserve">  </v>
      </c>
      <c r="E35" s="153"/>
      <c r="F35" s="208" t="str">
        <f>IF('No Levy Page 15'!$E$58&gt;0,'No Levy Page 15'!$E$58,"  ")</f>
        <v xml:space="preserve">  </v>
      </c>
      <c r="G35" s="208"/>
      <c r="H35" s="326"/>
    </row>
    <row r="36" spans="1:13" outlineLevel="2" x14ac:dyDescent="0.2">
      <c r="A36" s="95" t="str">
        <f>IF(inputPrYr!$B43&gt;"  ",(inputPrYr!$B43),"  ")</f>
        <v xml:space="preserve">  </v>
      </c>
      <c r="B36" s="208" t="str">
        <f>IF('No Levy Page 16'!$C$28&gt;0,'No Levy Page 16'!$C$28,"  ")</f>
        <v xml:space="preserve">  </v>
      </c>
      <c r="C36" s="153"/>
      <c r="D36" s="208" t="str">
        <f>IF('No Levy Page 16'!$D$28&gt;0,'No Levy Page 16'!$D$28,"  ")</f>
        <v xml:space="preserve">  </v>
      </c>
      <c r="E36" s="153"/>
      <c r="F36" s="208" t="str">
        <f>IF('No Levy Page 16'!$E$28&gt;0,'No Levy Page 16'!$E$28,"  ")</f>
        <v xml:space="preserve">  </v>
      </c>
      <c r="G36" s="208"/>
      <c r="H36" s="153"/>
    </row>
    <row r="37" spans="1:13" outlineLevel="2" x14ac:dyDescent="0.2">
      <c r="A37" s="95" t="str">
        <f>IF(inputPrYr!$B44&gt;"  ",(inputPrYr!$B44),"  ")</f>
        <v xml:space="preserve">  </v>
      </c>
      <c r="B37" s="208" t="str">
        <f>IF('No Levy Page 16'!$C$59&gt;0,'No Levy Page 16'!$C$59,"  ")</f>
        <v xml:space="preserve">  </v>
      </c>
      <c r="C37" s="153"/>
      <c r="D37" s="208" t="str">
        <f>IF('No Levy Page 16'!$D$59&gt;0,'No Levy Page 16'!$D$59,"  ")</f>
        <v xml:space="preserve">  </v>
      </c>
      <c r="E37" s="153"/>
      <c r="F37" s="208" t="str">
        <f>IF('No Levy Page 16'!$E$59&gt;0,'No Levy Page 16'!$E$59,"  ")</f>
        <v xml:space="preserve">  </v>
      </c>
      <c r="G37" s="208"/>
      <c r="H37" s="153"/>
    </row>
    <row r="38" spans="1:13" outlineLevel="2" x14ac:dyDescent="0.2">
      <c r="A38" s="95" t="str">
        <f>IF(inputPrYr!$B45&gt;"  ",(inputPrYr!$B45),"  ")</f>
        <v xml:space="preserve">  </v>
      </c>
      <c r="B38" s="208" t="str">
        <f>IF('No Levy Page 17'!$C$28&gt;0,'No Levy Page 17'!$C$28,"  ")</f>
        <v xml:space="preserve">  </v>
      </c>
      <c r="C38" s="153"/>
      <c r="D38" s="208" t="str">
        <f>IF('No Levy Page 17'!$D$28&gt;0,'No Levy Page 17'!$D$28,"  ")</f>
        <v xml:space="preserve">  </v>
      </c>
      <c r="E38" s="153"/>
      <c r="F38" s="208" t="str">
        <f>IF('No Levy Page 17'!$E$28&gt;0,'No Levy Page 17'!$E$28,"  ")</f>
        <v xml:space="preserve">  </v>
      </c>
      <c r="G38" s="208"/>
      <c r="H38" s="153"/>
    </row>
    <row r="39" spans="1:13" outlineLevel="2" x14ac:dyDescent="0.2">
      <c r="A39" s="95" t="str">
        <f>IF(inputPrYr!$B46&gt;"  ",(inputPrYr!$B46),"  ")</f>
        <v xml:space="preserve">  </v>
      </c>
      <c r="B39" s="208" t="str">
        <f>IF('No Levy Page 17'!$C$59&gt;0,'No Levy Page 17'!$C$59,"  ")</f>
        <v xml:space="preserve">  </v>
      </c>
      <c r="C39" s="153"/>
      <c r="D39" s="208" t="str">
        <f>IF('No Levy Page 17'!$D$59&gt;0,'No Levy Page 17'!$D$59,"  ")</f>
        <v xml:space="preserve">  </v>
      </c>
      <c r="E39" s="153"/>
      <c r="F39" s="208" t="str">
        <f>IF('No Levy Page 17'!$E$59&gt;0,'No Levy Page 17'!$E$59,"  ")</f>
        <v xml:space="preserve">  </v>
      </c>
      <c r="G39" s="208"/>
      <c r="H39" s="153"/>
    </row>
    <row r="40" spans="1:13" outlineLevel="2" x14ac:dyDescent="0.2">
      <c r="A40" s="95" t="str">
        <f>IF(inputPrYr!$B47&gt;"  ",(inputPrYr!$B47),"  ")</f>
        <v xml:space="preserve">  </v>
      </c>
      <c r="B40" s="208" t="str">
        <f>IF('No Levy Page 18'!$C$28&gt;0,'No Levy Page 18'!$C$28,"  ")</f>
        <v xml:space="preserve">  </v>
      </c>
      <c r="C40" s="153"/>
      <c r="D40" s="208" t="str">
        <f>IF('No Levy Page 18'!$D$28&gt;0,'No Levy Page 18'!$D$28,"  ")</f>
        <v xml:space="preserve">  </v>
      </c>
      <c r="E40" s="153"/>
      <c r="F40" s="208" t="str">
        <f>IF('No Levy Page 18'!$E$28&gt;0,'No Levy Page 18'!$E$28,"  ")</f>
        <v xml:space="preserve">  </v>
      </c>
      <c r="G40" s="208"/>
      <c r="H40" s="153"/>
    </row>
    <row r="41" spans="1:13" outlineLevel="2" x14ac:dyDescent="0.2">
      <c r="A41" s="95" t="str">
        <f>IF(inputPrYr!$B48&gt;"  ",(inputPrYr!$B48),"  ")</f>
        <v xml:space="preserve">  </v>
      </c>
      <c r="B41" s="208" t="str">
        <f>IF('No Levy Page 18'!$C$60&gt;0,'No Levy Page 18'!$C$60,"  ")</f>
        <v xml:space="preserve">  </v>
      </c>
      <c r="C41" s="153"/>
      <c r="D41" s="208" t="str">
        <f>IF('No Levy Page 18'!$D$60&gt;0,'No Levy Page 18'!$D$60,"  ")</f>
        <v xml:space="preserve">  </v>
      </c>
      <c r="E41" s="153"/>
      <c r="F41" s="208" t="str">
        <f>IF('No Levy Page 18'!$E$60&gt;0,'No Levy Page 18'!$E$60,"  ")</f>
        <v xml:space="preserve">  </v>
      </c>
      <c r="G41" s="208"/>
      <c r="H41" s="153"/>
    </row>
    <row r="42" spans="1:13" outlineLevel="2" x14ac:dyDescent="0.2">
      <c r="A42" s="95" t="str">
        <f>IF(inputPrYr!$B49&gt;"  ",(inputPrYr!$B49),"  ")</f>
        <v xml:space="preserve">  </v>
      </c>
      <c r="B42" s="208" t="str">
        <f>IF('No Levy Page 19'!$C$28&gt;0,'No Levy Page 19'!$C$28,"  ")</f>
        <v xml:space="preserve">  </v>
      </c>
      <c r="C42" s="153"/>
      <c r="D42" s="208" t="str">
        <f>IF('No Levy Page 19'!$D$28&gt;0,'No Levy Page 19'!$D$28,"  ")</f>
        <v xml:space="preserve">  </v>
      </c>
      <c r="E42" s="153"/>
      <c r="F42" s="208" t="str">
        <f>IF('No Levy Page 19'!$E$28&gt;0,'No Levy Page 19'!$E$28,"  ")</f>
        <v xml:space="preserve">  </v>
      </c>
      <c r="G42" s="208"/>
      <c r="H42" s="153"/>
    </row>
    <row r="43" spans="1:13" outlineLevel="2" x14ac:dyDescent="0.25">
      <c r="A43" s="95" t="str">
        <f>IF(inputPrYr!$B50&gt;"  ",(inputPrYr!$B50),"  ")</f>
        <v xml:space="preserve">  </v>
      </c>
      <c r="B43" s="208" t="str">
        <f>IF('No Levy Page 19'!$C$60&gt;0,'No Levy Page 19'!$C$60,"  ")</f>
        <v xml:space="preserve">  </v>
      </c>
      <c r="C43" s="153"/>
      <c r="D43" s="208" t="str">
        <f>IF('No Levy Page 19'!$D$60&gt;0,'No Levy Page 19'!$D$60,"  ")</f>
        <v xml:space="preserve">  </v>
      </c>
      <c r="E43" s="153"/>
      <c r="F43" s="208" t="str">
        <f>IF('No Levy Page 19'!$E$60&gt;0,'No Levy Page 19'!$E$60,"  ")</f>
        <v xml:space="preserve">  </v>
      </c>
      <c r="G43" s="208"/>
      <c r="H43" s="153"/>
      <c r="J43" s="824" t="str">
        <f>CONCATENATE("Estimated Value Of One Mill For ",H2,"")</f>
        <v>Estimated Value Of One Mill For 2025</v>
      </c>
      <c r="K43" s="825"/>
      <c r="L43" s="825"/>
      <c r="M43" s="826"/>
    </row>
    <row r="44" spans="1:13" outlineLevel="2" x14ac:dyDescent="0.25">
      <c r="A44" s="95" t="str">
        <f>IF(inputPrYr!$B51&gt;"  ",(inputPrYr!$B51),"  ")</f>
        <v xml:space="preserve">  </v>
      </c>
      <c r="B44" s="208" t="str">
        <f>IF('No Levy Page 20'!$C$28&gt;0,'No Levy Page 20'!$C$28,"  ")</f>
        <v xml:space="preserve">  </v>
      </c>
      <c r="C44" s="153"/>
      <c r="D44" s="208" t="str">
        <f>IF('No Levy Page 20'!$D$28&gt;0,'No Levy Page 20'!$D$28,"  ")</f>
        <v xml:space="preserve">  </v>
      </c>
      <c r="E44" s="153"/>
      <c r="F44" s="208" t="str">
        <f>IF('No Levy Page 20'!$E$28&gt;0,'No Levy Page 20'!$E$28,"  ")</f>
        <v xml:space="preserve">  </v>
      </c>
      <c r="G44" s="208"/>
      <c r="H44" s="153"/>
      <c r="J44" s="343"/>
      <c r="K44" s="344"/>
      <c r="L44" s="344"/>
      <c r="M44" s="345"/>
    </row>
    <row r="45" spans="1:13" outlineLevel="2" x14ac:dyDescent="0.25">
      <c r="A45" s="95" t="str">
        <f>IF(inputPrYr!$B52&gt;"  ",(inputPrYr!$B52),"  ")</f>
        <v xml:space="preserve">  </v>
      </c>
      <c r="B45" s="208" t="str">
        <f>IF('No Levy Page 20'!$C$60&gt;0,'No Levy Page 20'!$C$60,"  ")</f>
        <v xml:space="preserve">  </v>
      </c>
      <c r="C45" s="153"/>
      <c r="D45" s="208" t="str">
        <f>IF('No Levy Page 20'!$D$60&gt;0,'No Levy Page 20'!$D$60,"  ")</f>
        <v xml:space="preserve">  </v>
      </c>
      <c r="E45" s="153"/>
      <c r="F45" s="208" t="str">
        <f>IF('No Levy Page 20'!$E$60&gt;0,'No Levy Page 20'!$E$60,"  ")</f>
        <v xml:space="preserve">  </v>
      </c>
      <c r="G45" s="208"/>
      <c r="H45" s="153"/>
      <c r="J45" s="346" t="s">
        <v>352</v>
      </c>
      <c r="K45" s="347"/>
      <c r="L45" s="347"/>
      <c r="M45" s="546">
        <f>ROUND(F62/1000,0)</f>
        <v>0</v>
      </c>
    </row>
    <row r="46" spans="1:13" outlineLevel="2" x14ac:dyDescent="0.2">
      <c r="A46" s="95" t="str">
        <f>IF(inputPrYr!$B53&gt;"  ",(inputPrYr!$B53),"  ")</f>
        <v xml:space="preserve">  </v>
      </c>
      <c r="B46" s="208" t="str">
        <f>IF('No Levy Page 21'!$C$28&gt;0,'No Levy Page 21'!$C$28,"  ")</f>
        <v xml:space="preserve">  </v>
      </c>
      <c r="C46" s="153"/>
      <c r="D46" s="208" t="str">
        <f>IF('No Levy Page 21'!$D$28&gt;0,'No Levy Page 21'!$D$28,"  ")</f>
        <v xml:space="preserve">  </v>
      </c>
      <c r="E46" s="153"/>
      <c r="F46" s="208" t="str">
        <f>IF('No Levy Page 21'!$E$28&gt;0,'No Levy Page 21'!$E$28,"  ")</f>
        <v xml:space="preserve">  </v>
      </c>
      <c r="G46" s="208"/>
      <c r="H46" s="153"/>
    </row>
    <row r="47" spans="1:13" outlineLevel="2" x14ac:dyDescent="0.25">
      <c r="A47" s="95" t="str">
        <f>IF(inputPrYr!$B54&gt;"  ",(inputPrYr!$B54),"  ")</f>
        <v xml:space="preserve">  </v>
      </c>
      <c r="B47" s="208" t="str">
        <f>IF('No Levy Page 21'!$C$60&gt;0,'No Levy Page 21'!$C$60,"  ")</f>
        <v xml:space="preserve">  </v>
      </c>
      <c r="C47" s="153"/>
      <c r="D47" s="208" t="str">
        <f>IF('No Levy Page 21'!$D$60&gt;0,'No Levy Page 21'!$D$60,"  ")</f>
        <v xml:space="preserve">  </v>
      </c>
      <c r="E47" s="153"/>
      <c r="F47" s="208" t="str">
        <f>IF('No Levy Page 21'!$E$60&gt;0,'No Levy Page 21'!$E$60,"  ")</f>
        <v xml:space="preserve">  </v>
      </c>
      <c r="G47" s="208"/>
      <c r="H47" s="153"/>
      <c r="J47" s="824" t="str">
        <f>CONCATENATE("Want The Mill Rate The Same As For ",H2-1,"?")</f>
        <v>Want The Mill Rate The Same As For 2024?</v>
      </c>
      <c r="K47" s="825"/>
      <c r="L47" s="825"/>
      <c r="M47" s="826"/>
    </row>
    <row r="48" spans="1:13" outlineLevel="2" x14ac:dyDescent="0.25">
      <c r="A48" s="95" t="str">
        <f>IF(inputPrYr!$B56&gt;"  ",(inputPrYr!$B56),"  ")</f>
        <v xml:space="preserve">  </v>
      </c>
      <c r="B48" s="208" t="str">
        <f>IF('Single No Levy Page 22'!$C$44&gt;0,'Single No Levy Page 22'!$C$44,"  ")</f>
        <v xml:space="preserve">  </v>
      </c>
      <c r="C48" s="153"/>
      <c r="D48" s="208" t="str">
        <f>IF('Single No Levy Page 22'!$D$44&gt;0,'Single No Levy Page 22'!$D$44,"  ")</f>
        <v xml:space="preserve">  </v>
      </c>
      <c r="E48" s="153"/>
      <c r="F48" s="208" t="str">
        <f>IF('Single No Levy Page 22'!$E$44&gt;0,'Single No Levy Page 22'!$E$44,"  ")</f>
        <v xml:space="preserve">  </v>
      </c>
      <c r="G48" s="208"/>
      <c r="H48" s="153"/>
      <c r="J48" s="350"/>
      <c r="K48" s="344"/>
      <c r="L48" s="344"/>
      <c r="M48" s="351"/>
    </row>
    <row r="49" spans="1:13" outlineLevel="2" x14ac:dyDescent="0.25">
      <c r="A49" s="95" t="str">
        <f>IF(inputPrYr!$B57&gt;"  ",(inputPrYr!$B57),"  ")</f>
        <v xml:space="preserve">  </v>
      </c>
      <c r="B49" s="208" t="str">
        <f>IF('Single No Levy Page 23'!$C$44&gt;0,'Single No Levy Page 23'!$C$44,"  ")</f>
        <v xml:space="preserve">  </v>
      </c>
      <c r="C49" s="153"/>
      <c r="D49" s="208" t="str">
        <f>IF('Single No Levy Page 23'!$D$44&gt;0,'Single No Levy Page 23'!$D$44,"  ")</f>
        <v xml:space="preserve">  </v>
      </c>
      <c r="E49" s="153"/>
      <c r="F49" s="208" t="str">
        <f>IF('Single No Levy Page 23'!$E$44&gt;0,'Single No Levy Page 23'!$E$44,"  ")</f>
        <v xml:space="preserve">  </v>
      </c>
      <c r="G49" s="208"/>
      <c r="H49" s="153"/>
      <c r="J49" s="350" t="str">
        <f>CONCATENATE("",H2-1," Mill Rate Was:")</f>
        <v>2024 Mill Rate Was:</v>
      </c>
      <c r="K49" s="344"/>
      <c r="L49" s="344"/>
      <c r="M49" s="352">
        <f>E56</f>
        <v>0</v>
      </c>
    </row>
    <row r="50" spans="1:13" outlineLevel="2" x14ac:dyDescent="0.25">
      <c r="A50" s="95" t="str">
        <f>IF(inputPrYr!$B58&gt;"  ",(inputPrYr!$B58),"  ")</f>
        <v xml:space="preserve">  </v>
      </c>
      <c r="B50" s="208" t="str">
        <f>IF('Single No Levy Page 24'!$C$44&gt;0,'Single No Levy Page 24'!$C$44,"  ")</f>
        <v xml:space="preserve">  </v>
      </c>
      <c r="C50" s="153"/>
      <c r="D50" s="208" t="str">
        <f>IF('Single No Levy Page 24'!$D$44&gt;0,'Single No Levy Page 24'!$D$44,"  ")</f>
        <v xml:space="preserve">  </v>
      </c>
      <c r="E50" s="153"/>
      <c r="F50" s="208" t="str">
        <f>IF('Single No Levy Page 24'!$E$44&gt;0,'Single No Levy Page 24'!$E$44,"  ")</f>
        <v xml:space="preserve">  </v>
      </c>
      <c r="G50" s="208"/>
      <c r="H50" s="153"/>
      <c r="J50" s="353" t="str">
        <f>CONCATENATE("",H2," Tax Levy Fund Expenditures Must Be")</f>
        <v>2025 Tax Levy Fund Expenditures Must Be</v>
      </c>
      <c r="K50" s="354"/>
      <c r="L50" s="354"/>
      <c r="M50" s="351"/>
    </row>
    <row r="51" spans="1:13" outlineLevel="2" x14ac:dyDescent="0.25">
      <c r="A51" s="95" t="str">
        <f>IF(inputPrYr!$B59&gt;"  ",(inputPrYr!$B59),"  ")</f>
        <v xml:space="preserve">  </v>
      </c>
      <c r="B51" s="208" t="str">
        <f>IF('Single No Levy Page 25'!$C$44&gt;0,'Single No Levy Page 25'!$C$44,"  ")</f>
        <v xml:space="preserve">  </v>
      </c>
      <c r="C51" s="153"/>
      <c r="D51" s="208" t="str">
        <f>IF('Single No Levy Page 25'!$D$44&gt;0,'Single No Levy Page 25'!$D$44,"  ")</f>
        <v xml:space="preserve">  </v>
      </c>
      <c r="E51" s="153"/>
      <c r="F51" s="208" t="str">
        <f>IF('Single No Levy Page 25'!$E$44&gt;0,'Single No Levy Page 25'!$E$44,"  ")</f>
        <v xml:space="preserve">  </v>
      </c>
      <c r="G51" s="208"/>
      <c r="H51" s="153"/>
      <c r="J51" s="353" t="str">
        <f>IF(M51&gt;0,"Increased By:","")</f>
        <v/>
      </c>
      <c r="K51" s="354"/>
      <c r="L51" s="354"/>
      <c r="M51" s="388">
        <f>IF(M58&lt;0,M58*-1,0)</f>
        <v>0</v>
      </c>
    </row>
    <row r="52" spans="1:13" ht="15.75" customHeight="1" outlineLevel="2" x14ac:dyDescent="0.2">
      <c r="A52" s="95" t="str">
        <f>IF(inputPrYr!$B62&gt;"  ",('Non-Budgeted Funds A'!$A3),"  ")</f>
        <v xml:space="preserve">  </v>
      </c>
      <c r="B52" s="208" t="str">
        <f>IF('Non-Budgeted Funds A'!$K$28&gt;0,'Non-Budgeted Funds A'!$K$28,"  ")</f>
        <v xml:space="preserve">  </v>
      </c>
      <c r="C52" s="153"/>
      <c r="D52" s="208"/>
      <c r="E52" s="153"/>
      <c r="F52" s="208"/>
      <c r="G52" s="208"/>
      <c r="H52" s="153"/>
      <c r="J52" s="389" t="str">
        <f>IF(M52&lt;0,"Reduced By:","")</f>
        <v/>
      </c>
      <c r="K52" s="390"/>
      <c r="L52" s="390"/>
      <c r="M52" s="391">
        <f>IF(M58&gt;0,M58*-1,0)</f>
        <v>0</v>
      </c>
    </row>
    <row r="53" spans="1:13" outlineLevel="2" x14ac:dyDescent="0.25">
      <c r="A53" s="95" t="str">
        <f>IF(inputPrYr!$B68&gt;"  ",('Non-Budgeted Funds B'!$A3),"  ")</f>
        <v xml:space="preserve">  </v>
      </c>
      <c r="B53" s="208" t="str">
        <f>IF('Non-Budgeted Funds B'!$K$28&gt;0,'Non-Budgeted Funds B'!$K$28,"  ")</f>
        <v xml:space="preserve">  </v>
      </c>
      <c r="C53" s="153"/>
      <c r="D53" s="208"/>
      <c r="E53" s="153"/>
      <c r="F53" s="208"/>
      <c r="G53" s="208"/>
      <c r="H53" s="153"/>
      <c r="J53" s="349"/>
      <c r="K53" s="349"/>
      <c r="L53" s="349"/>
      <c r="M53" s="349"/>
    </row>
    <row r="54" spans="1:13" outlineLevel="2" x14ac:dyDescent="0.25">
      <c r="A54" s="95" t="str">
        <f>IF(inputPrYr!$B74&gt;"  ",('Non-Budgeted Funds C'!$A3),"  ")</f>
        <v xml:space="preserve">  </v>
      </c>
      <c r="B54" s="208" t="str">
        <f>IF('Non-Budgeted Funds C'!$K$28&gt;0,'Non-Budgeted Funds C'!$K$28,"  ")</f>
        <v xml:space="preserve">  </v>
      </c>
      <c r="C54" s="153"/>
      <c r="D54" s="208"/>
      <c r="E54" s="153"/>
      <c r="F54" s="208"/>
      <c r="G54" s="208"/>
      <c r="H54" s="153"/>
      <c r="J54" s="824" t="str">
        <f>CONCATENATE("Impact On Keeping The Same Mill Rate As For ",H2-1,"")</f>
        <v>Impact On Keeping The Same Mill Rate As For 2024</v>
      </c>
      <c r="K54" s="827"/>
      <c r="L54" s="827"/>
      <c r="M54" s="828"/>
    </row>
    <row r="55" spans="1:13" ht="16.5" outlineLevel="2" thickBot="1" x14ac:dyDescent="0.3">
      <c r="A55" s="95" t="str">
        <f>IF(inputPrYr!$B80&gt;"  ",('Non-Budgeted Funds D'!$A3),"  ")</f>
        <v xml:space="preserve">  </v>
      </c>
      <c r="B55" s="363" t="str">
        <f>IF('Non-Budgeted Funds D'!$K$28&gt;0,'Non-Budgeted Funds D'!$K$28,"  ")</f>
        <v xml:space="preserve">  </v>
      </c>
      <c r="C55" s="324"/>
      <c r="D55" s="363"/>
      <c r="E55" s="324"/>
      <c r="F55" s="363"/>
      <c r="G55" s="363"/>
      <c r="H55" s="324"/>
      <c r="J55" s="350"/>
      <c r="K55" s="344"/>
      <c r="L55" s="344"/>
      <c r="M55" s="351"/>
    </row>
    <row r="56" spans="1:13" ht="16.5" outlineLevel="2" thickBot="1" x14ac:dyDescent="0.3">
      <c r="A56" s="637" t="s">
        <v>357</v>
      </c>
      <c r="B56" s="638">
        <f>SUM(B19:B55)</f>
        <v>0</v>
      </c>
      <c r="C56" s="639">
        <f>SUM(C19:C31)</f>
        <v>0</v>
      </c>
      <c r="D56" s="638">
        <f>SUM(D19:D55)</f>
        <v>0</v>
      </c>
      <c r="E56" s="639">
        <f>SUM(E19:E31)</f>
        <v>0</v>
      </c>
      <c r="F56" s="638">
        <f>SUM(F19:F55)</f>
        <v>0</v>
      </c>
      <c r="G56" s="638">
        <f>SUM(G19:G55)</f>
        <v>0</v>
      </c>
      <c r="H56" s="639">
        <f>SUM(H19:H31)</f>
        <v>0</v>
      </c>
      <c r="J56" s="350" t="str">
        <f>CONCATENATE("",H2," Ad Valorem Tax Revenue:")</f>
        <v>2025 Ad Valorem Tax Revenue:</v>
      </c>
      <c r="K56" s="344"/>
      <c r="L56" s="344"/>
      <c r="M56" s="345">
        <f>G56</f>
        <v>0</v>
      </c>
    </row>
    <row r="57" spans="1:13" ht="16.5" outlineLevel="2" thickTop="1" x14ac:dyDescent="0.25">
      <c r="A57" s="837" t="s">
        <v>533</v>
      </c>
      <c r="B57" s="838"/>
      <c r="C57" s="838"/>
      <c r="D57" s="838"/>
      <c r="E57" s="838"/>
      <c r="F57" s="838"/>
      <c r="G57" s="839"/>
      <c r="H57" s="636">
        <f>inputOth!D28</f>
        <v>0</v>
      </c>
      <c r="I57" s="329"/>
      <c r="J57" s="350" t="str">
        <f>CONCATENATE("",H2-1," Ad Valorem Tax Revenue:")</f>
        <v>2024 Ad Valorem Tax Revenue:</v>
      </c>
      <c r="K57" s="344"/>
      <c r="L57" s="344"/>
      <c r="M57" s="357">
        <f>ROUND(F62*M49/1000,0)</f>
        <v>0</v>
      </c>
    </row>
    <row r="58" spans="1:13" outlineLevel="1" x14ac:dyDescent="0.25">
      <c r="A58" s="72" t="s">
        <v>190</v>
      </c>
      <c r="B58" s="328">
        <f>Transfers!$C$28</f>
        <v>0</v>
      </c>
      <c r="C58" s="374"/>
      <c r="D58" s="328">
        <f>Transfers!$D$28</f>
        <v>0</v>
      </c>
      <c r="E58" s="374"/>
      <c r="F58" s="328">
        <f>Transfers!$E$28</f>
        <v>0</v>
      </c>
      <c r="G58" s="254"/>
      <c r="H58" s="379"/>
      <c r="J58" s="355" t="s">
        <v>353</v>
      </c>
      <c r="K58" s="356"/>
      <c r="L58" s="356"/>
      <c r="M58" s="348">
        <f>SUM(M56-M57)</f>
        <v>0</v>
      </c>
    </row>
    <row r="59" spans="1:13" ht="16.5" thickBot="1" x14ac:dyDescent="0.3">
      <c r="A59" s="72" t="s">
        <v>191</v>
      </c>
      <c r="B59" s="210">
        <f>B56-B58</f>
        <v>0</v>
      </c>
      <c r="C59" s="121"/>
      <c r="D59" s="210">
        <f>D56-D58</f>
        <v>0</v>
      </c>
      <c r="E59" s="327"/>
      <c r="F59" s="210">
        <f>F56-F58</f>
        <v>0</v>
      </c>
      <c r="G59" s="69"/>
      <c r="H59" s="69"/>
      <c r="J59" s="349"/>
      <c r="K59" s="349"/>
      <c r="L59" s="349"/>
      <c r="M59" s="349"/>
    </row>
    <row r="60" spans="1:13" ht="16.5" thickTop="1" x14ac:dyDescent="0.25">
      <c r="A60" s="72" t="s">
        <v>192</v>
      </c>
      <c r="B60" s="328">
        <f>inputPrYr!$E$104</f>
        <v>0</v>
      </c>
      <c r="C60" s="121"/>
      <c r="D60" s="328">
        <f>inputPrYr!$E$36</f>
        <v>0</v>
      </c>
      <c r="E60" s="121"/>
      <c r="F60" s="199" t="s">
        <v>152</v>
      </c>
      <c r="G60" s="254"/>
      <c r="H60" s="121"/>
      <c r="J60" s="824" t="s">
        <v>354</v>
      </c>
      <c r="K60" s="829"/>
      <c r="L60" s="829"/>
      <c r="M60" s="830"/>
    </row>
    <row r="61" spans="1:13" x14ac:dyDescent="0.25">
      <c r="A61" s="72" t="s">
        <v>193</v>
      </c>
      <c r="B61" s="336"/>
      <c r="C61" s="121"/>
      <c r="D61" s="336"/>
      <c r="E61" s="121"/>
      <c r="F61" s="167"/>
      <c r="G61" s="254"/>
      <c r="H61" s="121"/>
      <c r="J61" s="640" t="s">
        <v>532</v>
      </c>
      <c r="K61" s="344"/>
      <c r="L61" s="344"/>
      <c r="M61" s="641">
        <f>H57</f>
        <v>0</v>
      </c>
    </row>
    <row r="62" spans="1:13" x14ac:dyDescent="0.25">
      <c r="A62" s="72" t="s">
        <v>194</v>
      </c>
      <c r="B62" s="328">
        <f>inputPrYr!$E$105</f>
        <v>0</v>
      </c>
      <c r="C62" s="121"/>
      <c r="D62" s="328">
        <f>inputOth!$D$53</f>
        <v>0</v>
      </c>
      <c r="E62" s="121"/>
      <c r="F62" s="328">
        <f>inputOth!$B$14</f>
        <v>0</v>
      </c>
      <c r="G62" s="121"/>
      <c r="H62" s="121"/>
      <c r="J62" s="350" t="str">
        <f>CONCATENATE("Current ",H2," Estimated Mill Rate:")</f>
        <v>Current 2025 Estimated Mill Rate:</v>
      </c>
      <c r="K62" s="344"/>
      <c r="L62" s="344"/>
      <c r="M62" s="352">
        <f>H56</f>
        <v>0</v>
      </c>
    </row>
    <row r="63" spans="1:13" outlineLevel="1" x14ac:dyDescent="0.25">
      <c r="A63" s="72" t="s">
        <v>195</v>
      </c>
      <c r="B63" s="69"/>
      <c r="C63" s="69"/>
      <c r="D63" s="69"/>
      <c r="E63" s="69"/>
      <c r="F63" s="69"/>
      <c r="G63" s="121"/>
      <c r="H63" s="121"/>
      <c r="J63" s="350" t="str">
        <f>CONCATENATE("Desired ",H2," Mill Rate:")</f>
        <v>Desired 2025 Mill Rate:</v>
      </c>
      <c r="K63" s="344"/>
      <c r="L63" s="344"/>
      <c r="M63" s="358"/>
    </row>
    <row r="64" spans="1:13" ht="15.75" customHeight="1" outlineLevel="1" x14ac:dyDescent="0.25">
      <c r="A64" s="72" t="s">
        <v>196</v>
      </c>
      <c r="B64" s="200">
        <f>$H$2-3</f>
        <v>2022</v>
      </c>
      <c r="C64" s="69"/>
      <c r="D64" s="200">
        <f>$H$2-2</f>
        <v>2023</v>
      </c>
      <c r="E64" s="69"/>
      <c r="F64" s="200">
        <f>$H$2-1</f>
        <v>2024</v>
      </c>
      <c r="G64" s="121"/>
      <c r="H64" s="121"/>
      <c r="J64" s="350" t="str">
        <f>CONCATENATE("",H2," Ad Valorem Tax:")</f>
        <v>2025 Ad Valorem Tax:</v>
      </c>
      <c r="K64" s="344"/>
      <c r="L64" s="344"/>
      <c r="M64" s="357">
        <f>ROUND(F62*M63/1000,0)</f>
        <v>0</v>
      </c>
    </row>
    <row r="65" spans="1:13" ht="15.75" customHeight="1" outlineLevel="1" x14ac:dyDescent="0.25">
      <c r="A65" s="72" t="s">
        <v>197</v>
      </c>
      <c r="B65" s="208">
        <f>inputPrYr!$D$109</f>
        <v>0</v>
      </c>
      <c r="C65" s="121"/>
      <c r="D65" s="208">
        <f>inputPrYr!$E$109</f>
        <v>0</v>
      </c>
      <c r="E65" s="121"/>
      <c r="F65" s="208">
        <f>Debt!$G$20</f>
        <v>0</v>
      </c>
      <c r="G65" s="69"/>
      <c r="H65" s="69"/>
      <c r="J65" s="355" t="str">
        <f>CONCATENATE("",H2," Tax Levy Fund Exp. Changed By:")</f>
        <v>2025 Tax Levy Fund Exp. Changed By:</v>
      </c>
      <c r="K65" s="356"/>
      <c r="L65" s="356"/>
      <c r="M65" s="348">
        <f>IF(M63=0,0,(M64-G56))</f>
        <v>0</v>
      </c>
    </row>
    <row r="66" spans="1:13" ht="15.75" customHeight="1" outlineLevel="1" x14ac:dyDescent="0.2">
      <c r="A66" s="72" t="s">
        <v>198</v>
      </c>
      <c r="B66" s="328">
        <f>inputPrYr!$D$110</f>
        <v>0</v>
      </c>
      <c r="C66" s="121"/>
      <c r="D66" s="328">
        <f>inputPrYr!$E$110</f>
        <v>0</v>
      </c>
      <c r="E66" s="121"/>
      <c r="F66" s="208">
        <f>Debt!$G$32</f>
        <v>0</v>
      </c>
      <c r="G66" s="69"/>
      <c r="H66" s="69"/>
    </row>
    <row r="67" spans="1:13" ht="15.75" customHeight="1" outlineLevel="1" x14ac:dyDescent="0.2">
      <c r="A67" s="69" t="s">
        <v>216</v>
      </c>
      <c r="B67" s="328">
        <f>inputPrYr!$D$111</f>
        <v>0</v>
      </c>
      <c r="C67" s="121"/>
      <c r="D67" s="328">
        <f>inputPrYr!$E$111</f>
        <v>0</v>
      </c>
      <c r="E67" s="121"/>
      <c r="F67" s="208">
        <f>Debt!$G$42</f>
        <v>0</v>
      </c>
      <c r="G67" s="69"/>
      <c r="H67" s="69"/>
      <c r="J67" s="815" t="s">
        <v>640</v>
      </c>
      <c r="K67" s="816"/>
      <c r="L67" s="816"/>
      <c r="M67" s="819" t="str">
        <f>IF(H56&gt;H57, "Yes", "No")</f>
        <v>No</v>
      </c>
    </row>
    <row r="68" spans="1:13" ht="18.75" customHeight="1" outlineLevel="1" x14ac:dyDescent="0.2">
      <c r="A68" s="72" t="s">
        <v>25</v>
      </c>
      <c r="B68" s="328">
        <f>inputPrYr!$D$112</f>
        <v>0</v>
      </c>
      <c r="C68" s="121"/>
      <c r="D68" s="328">
        <f>inputPrYr!$E$112</f>
        <v>0</v>
      </c>
      <c r="E68" s="121"/>
      <c r="F68" s="208">
        <f>'LP Form'!$G$28</f>
        <v>0</v>
      </c>
      <c r="G68" s="69"/>
      <c r="H68" s="69"/>
      <c r="J68" s="817"/>
      <c r="K68" s="818"/>
      <c r="L68" s="818"/>
      <c r="M68" s="820"/>
    </row>
    <row r="69" spans="1:13" ht="18.75" customHeight="1" thickBot="1" x14ac:dyDescent="0.25">
      <c r="A69" s="72" t="s">
        <v>199</v>
      </c>
      <c r="B69" s="361">
        <f>SUM(B65:B68)</f>
        <v>0</v>
      </c>
      <c r="C69" s="121"/>
      <c r="D69" s="361">
        <f>SUM(D65:D68)</f>
        <v>0</v>
      </c>
      <c r="E69" s="121"/>
      <c r="F69" s="361">
        <f>SUM(F65:F68)</f>
        <v>0</v>
      </c>
      <c r="G69" s="69"/>
      <c r="H69" s="69"/>
      <c r="J69" s="781" t="str">
        <f>IF(M67="Yes", "Follow procedure prescirbed by KSA 79-2988 to exceed the Revenue Neutral Rate.", " ")</f>
        <v xml:space="preserve"> </v>
      </c>
      <c r="K69" s="781"/>
      <c r="L69" s="781"/>
      <c r="M69" s="781"/>
    </row>
    <row r="70" spans="1:13" ht="18" customHeight="1" thickTop="1" x14ac:dyDescent="0.2">
      <c r="A70" s="72" t="s">
        <v>200</v>
      </c>
      <c r="B70" s="69"/>
      <c r="C70" s="69"/>
      <c r="D70" s="69"/>
      <c r="E70" s="69"/>
      <c r="F70" s="69"/>
      <c r="G70" s="69"/>
      <c r="H70" s="69"/>
      <c r="J70" s="782"/>
      <c r="K70" s="782"/>
      <c r="L70" s="782"/>
      <c r="M70" s="782"/>
    </row>
    <row r="71" spans="1:13" ht="18" customHeight="1" x14ac:dyDescent="0.2">
      <c r="A71" s="613" t="s">
        <v>639</v>
      </c>
      <c r="B71" s="69"/>
      <c r="C71" s="69"/>
      <c r="D71" s="69"/>
      <c r="E71" s="69"/>
      <c r="F71" s="69"/>
      <c r="G71" s="69"/>
      <c r="H71" s="69"/>
      <c r="J71" s="782"/>
      <c r="K71" s="782"/>
      <c r="L71" s="782"/>
      <c r="M71" s="782"/>
    </row>
    <row r="72" spans="1:13" ht="19.5" customHeight="1" x14ac:dyDescent="0.2">
      <c r="A72" s="72"/>
      <c r="B72" s="69"/>
      <c r="C72" s="69"/>
      <c r="D72" s="69"/>
      <c r="E72" s="69"/>
      <c r="F72" s="69"/>
      <c r="G72" s="69"/>
      <c r="H72" s="69"/>
    </row>
    <row r="73" spans="1:13" ht="18.75" customHeight="1" x14ac:dyDescent="0.2">
      <c r="A73" s="835">
        <f>inputHearing!B28</f>
        <v>0</v>
      </c>
      <c r="B73" s="836"/>
      <c r="C73" s="375"/>
      <c r="D73" s="69"/>
      <c r="E73" s="69"/>
      <c r="F73" s="69"/>
      <c r="G73" s="69"/>
      <c r="H73" s="69"/>
    </row>
    <row r="74" spans="1:13" x14ac:dyDescent="0.2">
      <c r="A74" s="834" t="str">
        <f>CONCATENATE("City Official Title: ",inputHearing!B30,"")</f>
        <v xml:space="preserve">City Official Title: </v>
      </c>
      <c r="B74" s="808"/>
      <c r="C74" s="69"/>
      <c r="D74" s="69"/>
      <c r="E74" s="69"/>
      <c r="F74" s="69"/>
      <c r="G74" s="69"/>
      <c r="H74" s="69"/>
    </row>
    <row r="75" spans="1:13" x14ac:dyDescent="0.2">
      <c r="A75" s="161"/>
      <c r="B75" s="832"/>
      <c r="C75" s="833"/>
      <c r="D75" s="69"/>
      <c r="E75" s="69"/>
      <c r="F75" s="69"/>
      <c r="G75" s="69"/>
      <c r="H75" s="69"/>
    </row>
    <row r="76" spans="1:13" x14ac:dyDescent="0.2">
      <c r="A76" s="831"/>
      <c r="B76" s="831"/>
      <c r="C76" s="135" t="s">
        <v>173</v>
      </c>
      <c r="D76" s="564"/>
      <c r="E76" s="69"/>
      <c r="F76" s="69"/>
      <c r="G76" s="69"/>
      <c r="H76" s="69"/>
    </row>
    <row r="77" spans="1:13" x14ac:dyDescent="0.2">
      <c r="A77" s="161"/>
      <c r="B77" s="380"/>
      <c r="C77" s="375"/>
      <c r="D77" s="69"/>
      <c r="E77" s="69"/>
      <c r="F77" s="69"/>
      <c r="G77" s="69"/>
      <c r="H77" s="69"/>
    </row>
    <row r="78" spans="1:13" x14ac:dyDescent="0.2">
      <c r="A78" s="69"/>
      <c r="B78" s="69"/>
      <c r="C78" s="69"/>
      <c r="D78" s="69"/>
      <c r="E78" s="69"/>
      <c r="F78" s="69"/>
      <c r="G78" s="69"/>
      <c r="H78" s="69"/>
    </row>
  </sheetData>
  <sheetProtection sheet="1"/>
  <mergeCells count="21">
    <mergeCell ref="J54:M54"/>
    <mergeCell ref="A1:H1"/>
    <mergeCell ref="A3:H3"/>
    <mergeCell ref="A4:H4"/>
    <mergeCell ref="A5:H5"/>
    <mergeCell ref="A6:H6"/>
    <mergeCell ref="A7:H7"/>
    <mergeCell ref="A9:H9"/>
    <mergeCell ref="A10:H10"/>
    <mergeCell ref="H17:H18"/>
    <mergeCell ref="J43:M43"/>
    <mergeCell ref="J47:M47"/>
    <mergeCell ref="A74:B74"/>
    <mergeCell ref="B75:C75"/>
    <mergeCell ref="A76:B76"/>
    <mergeCell ref="A57:G57"/>
    <mergeCell ref="J60:M60"/>
    <mergeCell ref="J67:L68"/>
    <mergeCell ref="M67:M68"/>
    <mergeCell ref="J69:M71"/>
    <mergeCell ref="A73:B73"/>
  </mergeCells>
  <conditionalFormatting sqref="M67:M68">
    <cfRule type="containsText" dxfId="1" priority="1" operator="containsText" text="Yes">
      <formula>NOT(ISERROR(SEARCH("Yes",M67)))</formula>
    </cfRule>
  </conditionalFormatting>
  <pageMargins left="0.5" right="0.5" top="1" bottom="0.5" header="0.5" footer="0.5"/>
  <pageSetup scale="63" orientation="portrait" blackAndWhite="1" horizontalDpi="120" verticalDpi="144"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49"/>
  <sheetViews>
    <sheetView zoomScale="80" zoomScaleNormal="80" workbookViewId="0">
      <selection activeCell="L1" sqref="L1"/>
    </sheetView>
  </sheetViews>
  <sheetFormatPr defaultRowHeight="15.75" x14ac:dyDescent="0.25"/>
  <cols>
    <col min="1" max="1" width="17.21875" customWidth="1"/>
    <col min="2" max="2" width="16.109375" customWidth="1"/>
    <col min="8" max="8" width="12.6640625" style="1" customWidth="1"/>
    <col min="9" max="9" width="12.44140625" style="1" customWidth="1"/>
    <col min="10" max="11" width="8.88671875" style="1"/>
  </cols>
  <sheetData>
    <row r="1" spans="1:14" ht="15" x14ac:dyDescent="0.2">
      <c r="A1" s="750" t="s">
        <v>619</v>
      </c>
      <c r="B1" s="750"/>
      <c r="C1" s="750"/>
      <c r="D1" s="750"/>
      <c r="E1" s="750"/>
      <c r="F1" s="750"/>
      <c r="H1" s="742" t="s">
        <v>620</v>
      </c>
      <c r="I1" s="742"/>
      <c r="J1" s="742"/>
      <c r="K1" s="742"/>
    </row>
    <row r="2" spans="1:14" ht="20.25" customHeight="1" x14ac:dyDescent="0.2">
      <c r="A2" s="750"/>
      <c r="B2" s="750"/>
      <c r="C2" s="750"/>
      <c r="D2" s="750"/>
      <c r="E2" s="750"/>
      <c r="F2" s="750"/>
      <c r="H2" s="742"/>
      <c r="I2" s="742"/>
      <c r="J2" s="742"/>
      <c r="K2" s="742"/>
    </row>
    <row r="3" spans="1:14" ht="18" customHeight="1" x14ac:dyDescent="0.2">
      <c r="A3" s="751" t="s">
        <v>621</v>
      </c>
      <c r="B3" s="751"/>
      <c r="C3" s="751"/>
      <c r="D3" s="751"/>
      <c r="E3" s="751"/>
      <c r="F3" s="751"/>
      <c r="H3" s="301" t="s">
        <v>324</v>
      </c>
      <c r="I3" s="743" t="s">
        <v>325</v>
      </c>
      <c r="J3" s="744"/>
      <c r="K3" s="745"/>
    </row>
    <row r="4" spans="1:14" ht="18" customHeight="1" x14ac:dyDescent="0.25">
      <c r="A4" s="751"/>
      <c r="B4" s="751"/>
      <c r="C4" s="751"/>
      <c r="D4" s="751"/>
      <c r="E4" s="751"/>
      <c r="F4" s="751"/>
      <c r="H4" s="301"/>
      <c r="I4" s="301"/>
    </row>
    <row r="5" spans="1:14" ht="18" customHeight="1" x14ac:dyDescent="0.2">
      <c r="A5" s="751"/>
      <c r="B5" s="751"/>
      <c r="C5" s="751"/>
      <c r="D5" s="751"/>
      <c r="E5" s="751"/>
      <c r="F5" s="751"/>
      <c r="H5" s="301" t="s">
        <v>281</v>
      </c>
      <c r="I5" s="743" t="s">
        <v>622</v>
      </c>
      <c r="J5" s="744"/>
      <c r="K5" s="745"/>
    </row>
    <row r="6" spans="1:14" ht="18" customHeight="1" x14ac:dyDescent="0.25">
      <c r="A6" s="751"/>
      <c r="B6" s="751"/>
      <c r="C6" s="751"/>
      <c r="D6" s="751"/>
      <c r="E6" s="751"/>
      <c r="F6" s="751"/>
      <c r="H6" s="301"/>
      <c r="I6" s="301"/>
    </row>
    <row r="7" spans="1:14" ht="18" customHeight="1" x14ac:dyDescent="0.2">
      <c r="A7" s="751"/>
      <c r="B7" s="751"/>
      <c r="C7" s="751"/>
      <c r="D7" s="751"/>
      <c r="E7" s="751"/>
      <c r="F7" s="751"/>
      <c r="H7" s="301" t="s">
        <v>282</v>
      </c>
      <c r="I7" s="743" t="s">
        <v>286</v>
      </c>
      <c r="J7" s="744"/>
      <c r="K7" s="745"/>
    </row>
    <row r="8" spans="1:14" ht="18" customHeight="1" x14ac:dyDescent="0.25">
      <c r="A8" s="751"/>
      <c r="B8" s="751"/>
      <c r="C8" s="751"/>
      <c r="D8" s="751"/>
      <c r="E8" s="751"/>
      <c r="F8" s="751"/>
      <c r="H8" s="301"/>
      <c r="I8" s="301"/>
    </row>
    <row r="9" spans="1:14" ht="18" customHeight="1" x14ac:dyDescent="0.2">
      <c r="A9" s="751"/>
      <c r="B9" s="751"/>
      <c r="C9" s="751"/>
      <c r="D9" s="751"/>
      <c r="E9" s="751"/>
      <c r="F9" s="751"/>
      <c r="H9" s="301" t="s">
        <v>283</v>
      </c>
      <c r="I9" s="743" t="s">
        <v>284</v>
      </c>
      <c r="J9" s="744"/>
      <c r="K9" s="745"/>
    </row>
    <row r="10" spans="1:14" ht="18" customHeight="1" x14ac:dyDescent="0.25">
      <c r="A10" s="751"/>
      <c r="B10" s="751"/>
      <c r="C10" s="751"/>
      <c r="D10" s="751"/>
      <c r="E10" s="751"/>
      <c r="F10" s="751"/>
      <c r="H10" s="301"/>
      <c r="I10" s="301"/>
    </row>
    <row r="11" spans="1:14" ht="18" customHeight="1" x14ac:dyDescent="0.2">
      <c r="A11" s="751"/>
      <c r="B11" s="751"/>
      <c r="C11" s="751"/>
      <c r="D11" s="751"/>
      <c r="E11" s="751"/>
      <c r="F11" s="751"/>
      <c r="H11" s="301" t="s">
        <v>285</v>
      </c>
      <c r="I11" s="743" t="s">
        <v>284</v>
      </c>
      <c r="J11" s="744"/>
      <c r="K11" s="745"/>
    </row>
    <row r="12" spans="1:14" ht="18" customHeight="1" x14ac:dyDescent="0.25">
      <c r="A12" s="751"/>
      <c r="B12" s="751"/>
      <c r="C12" s="751"/>
      <c r="D12" s="751"/>
      <c r="E12" s="751"/>
      <c r="F12" s="751"/>
    </row>
    <row r="13" spans="1:14" ht="21" customHeight="1" x14ac:dyDescent="0.3">
      <c r="A13" s="742" t="s">
        <v>623</v>
      </c>
      <c r="B13" s="742"/>
      <c r="C13" s="742"/>
      <c r="D13" s="742"/>
      <c r="E13" s="742"/>
      <c r="F13" s="742"/>
      <c r="G13" s="742"/>
      <c r="H13" s="742"/>
      <c r="I13" s="742"/>
      <c r="J13" s="742"/>
      <c r="K13" s="742"/>
      <c r="M13" s="625"/>
      <c r="N13" s="625"/>
    </row>
    <row r="14" spans="1:14" x14ac:dyDescent="0.25">
      <c r="A14" s="626" t="s">
        <v>420</v>
      </c>
      <c r="B14" s="743"/>
      <c r="C14" s="744"/>
      <c r="D14" s="744"/>
      <c r="E14" s="745"/>
      <c r="H14" s="746" t="s">
        <v>624</v>
      </c>
      <c r="I14" s="746"/>
      <c r="J14" s="746"/>
      <c r="K14" s="746"/>
    </row>
    <row r="15" spans="1:14" x14ac:dyDescent="0.25">
      <c r="A15" s="626"/>
      <c r="B15" s="427"/>
      <c r="C15" s="627"/>
      <c r="D15" s="627"/>
      <c r="E15" s="627"/>
      <c r="H15" s="746"/>
      <c r="I15" s="746"/>
      <c r="J15" s="746"/>
      <c r="K15" s="746"/>
    </row>
    <row r="16" spans="1:14" x14ac:dyDescent="0.25">
      <c r="A16" s="626" t="s">
        <v>324</v>
      </c>
      <c r="B16" s="743"/>
      <c r="C16" s="744"/>
      <c r="D16" s="744"/>
      <c r="E16" s="745"/>
      <c r="H16" s="746"/>
      <c r="I16" s="746"/>
      <c r="J16" s="746"/>
      <c r="K16" s="746"/>
    </row>
    <row r="17" spans="1:13" x14ac:dyDescent="0.25">
      <c r="A17" s="628"/>
      <c r="B17" s="629"/>
      <c r="C17" s="629"/>
      <c r="D17" s="627"/>
      <c r="E17" s="629"/>
      <c r="F17" s="300"/>
      <c r="H17" s="746"/>
      <c r="I17" s="746"/>
      <c r="J17" s="746"/>
      <c r="K17" s="746"/>
    </row>
    <row r="18" spans="1:13" x14ac:dyDescent="0.25">
      <c r="A18" s="630" t="s">
        <v>281</v>
      </c>
      <c r="B18" s="743"/>
      <c r="C18" s="744"/>
      <c r="D18" s="744"/>
      <c r="E18" s="745"/>
      <c r="F18" s="300"/>
      <c r="H18" s="746"/>
      <c r="I18" s="746"/>
      <c r="J18" s="746"/>
      <c r="K18" s="746"/>
    </row>
    <row r="19" spans="1:13" x14ac:dyDescent="0.25">
      <c r="A19" s="631" t="s">
        <v>625</v>
      </c>
      <c r="B19" s="627"/>
      <c r="C19" s="627"/>
      <c r="D19" s="301"/>
      <c r="E19" s="629"/>
      <c r="F19" s="300"/>
      <c r="H19" s="746"/>
      <c r="I19" s="746"/>
      <c r="J19" s="746"/>
      <c r="K19" s="746"/>
    </row>
    <row r="20" spans="1:13" x14ac:dyDescent="0.25">
      <c r="A20" s="630" t="s">
        <v>282</v>
      </c>
      <c r="B20" s="743"/>
      <c r="C20" s="744"/>
      <c r="D20" s="744"/>
      <c r="E20" s="745"/>
      <c r="F20" s="300"/>
      <c r="H20" s="746"/>
      <c r="I20" s="746"/>
      <c r="J20" s="746"/>
      <c r="K20" s="746"/>
    </row>
    <row r="21" spans="1:13" x14ac:dyDescent="0.25">
      <c r="A21" s="630"/>
      <c r="B21" s="301"/>
      <c r="C21" s="301"/>
      <c r="D21" s="301"/>
      <c r="E21" s="629"/>
      <c r="F21" s="300"/>
      <c r="H21" s="746"/>
      <c r="I21" s="746"/>
      <c r="J21" s="746"/>
      <c r="K21" s="746"/>
    </row>
    <row r="22" spans="1:13" x14ac:dyDescent="0.25">
      <c r="A22" s="630" t="s">
        <v>283</v>
      </c>
      <c r="B22" s="747"/>
      <c r="C22" s="748"/>
      <c r="D22" s="748"/>
      <c r="E22" s="749"/>
      <c r="F22" s="300"/>
      <c r="H22" s="746"/>
      <c r="I22" s="746"/>
      <c r="J22" s="746"/>
      <c r="K22" s="746"/>
    </row>
    <row r="23" spans="1:13" x14ac:dyDescent="0.25">
      <c r="A23" s="630"/>
      <c r="B23" s="301"/>
      <c r="C23" s="301"/>
      <c r="D23" s="301"/>
      <c r="E23" s="629"/>
      <c r="F23" s="300"/>
      <c r="H23" s="746"/>
      <c r="I23" s="746"/>
      <c r="J23" s="746"/>
      <c r="K23" s="746"/>
    </row>
    <row r="24" spans="1:13" x14ac:dyDescent="0.25">
      <c r="A24" s="630" t="s">
        <v>626</v>
      </c>
      <c r="B24" s="747"/>
      <c r="C24" s="748"/>
      <c r="D24" s="748"/>
      <c r="E24" s="749"/>
      <c r="F24" s="300"/>
      <c r="H24" s="746"/>
      <c r="I24" s="746"/>
      <c r="J24" s="746"/>
      <c r="K24" s="746"/>
    </row>
    <row r="27" spans="1:13" ht="21" customHeight="1" x14ac:dyDescent="0.2">
      <c r="A27" s="742" t="s">
        <v>627</v>
      </c>
      <c r="B27" s="742"/>
      <c r="C27" s="742"/>
      <c r="D27" s="742"/>
      <c r="E27" s="742"/>
      <c r="F27" s="742"/>
      <c r="G27" s="742"/>
      <c r="H27" s="742"/>
      <c r="I27" s="742"/>
      <c r="J27" s="742"/>
      <c r="K27" s="742"/>
    </row>
    <row r="28" spans="1:13" ht="15.75" customHeight="1" x14ac:dyDescent="0.25">
      <c r="A28" s="626" t="s">
        <v>420</v>
      </c>
      <c r="B28" s="743"/>
      <c r="C28" s="744"/>
      <c r="D28" s="744"/>
      <c r="E28" s="745"/>
      <c r="H28" s="746" t="s">
        <v>628</v>
      </c>
      <c r="I28" s="746"/>
      <c r="J28" s="746"/>
      <c r="K28" s="746"/>
      <c r="M28" t="s">
        <v>629</v>
      </c>
    </row>
    <row r="29" spans="1:13" x14ac:dyDescent="0.25">
      <c r="A29" s="626"/>
      <c r="B29" s="427"/>
      <c r="H29" s="746"/>
      <c r="I29" s="746"/>
      <c r="J29" s="746"/>
      <c r="K29" s="746"/>
    </row>
    <row r="30" spans="1:13" x14ac:dyDescent="0.25">
      <c r="A30" s="626" t="s">
        <v>324</v>
      </c>
      <c r="B30" s="743"/>
      <c r="C30" s="744"/>
      <c r="D30" s="744"/>
      <c r="E30" s="745"/>
      <c r="H30" s="746"/>
      <c r="I30" s="746"/>
      <c r="J30" s="746"/>
      <c r="K30" s="746"/>
    </row>
    <row r="31" spans="1:13" x14ac:dyDescent="0.25">
      <c r="A31" s="628"/>
      <c r="B31" s="300"/>
      <c r="C31" s="300"/>
      <c r="E31" s="300"/>
      <c r="F31" s="300"/>
      <c r="H31" s="746"/>
      <c r="I31" s="746"/>
      <c r="J31" s="746"/>
      <c r="K31" s="746"/>
    </row>
    <row r="32" spans="1:13" x14ac:dyDescent="0.25">
      <c r="A32" s="630" t="s">
        <v>281</v>
      </c>
      <c r="B32" s="743"/>
      <c r="C32" s="744"/>
      <c r="D32" s="744"/>
      <c r="E32" s="745"/>
      <c r="F32" s="300"/>
      <c r="H32" s="746"/>
      <c r="I32" s="746"/>
      <c r="J32" s="746"/>
      <c r="K32" s="746"/>
    </row>
    <row r="33" spans="1:11" x14ac:dyDescent="0.25">
      <c r="A33" s="631" t="s">
        <v>625</v>
      </c>
      <c r="D33" s="301"/>
      <c r="E33" s="300"/>
      <c r="F33" s="300"/>
      <c r="H33" s="746"/>
      <c r="I33" s="746"/>
      <c r="J33" s="746"/>
      <c r="K33" s="746"/>
    </row>
    <row r="34" spans="1:11" x14ac:dyDescent="0.25">
      <c r="A34" s="630" t="s">
        <v>282</v>
      </c>
      <c r="B34" s="743"/>
      <c r="C34" s="744"/>
      <c r="D34" s="744"/>
      <c r="E34" s="745"/>
      <c r="F34" s="300"/>
      <c r="H34" s="746"/>
      <c r="I34" s="746"/>
      <c r="J34" s="746"/>
      <c r="K34" s="746"/>
    </row>
    <row r="35" spans="1:11" x14ac:dyDescent="0.25">
      <c r="A35" s="630"/>
      <c r="B35" s="301"/>
      <c r="C35" s="301"/>
      <c r="D35" s="301"/>
      <c r="E35" s="300"/>
      <c r="F35" s="300"/>
      <c r="H35" s="746"/>
      <c r="I35" s="746"/>
      <c r="J35" s="746"/>
      <c r="K35" s="746"/>
    </row>
    <row r="36" spans="1:11" x14ac:dyDescent="0.25">
      <c r="A36" s="630" t="s">
        <v>283</v>
      </c>
      <c r="B36" s="747"/>
      <c r="C36" s="748"/>
      <c r="D36" s="748"/>
      <c r="E36" s="749"/>
      <c r="F36" s="300"/>
      <c r="H36" s="746"/>
      <c r="I36" s="746"/>
      <c r="J36" s="746"/>
      <c r="K36" s="746"/>
    </row>
    <row r="37" spans="1:11" x14ac:dyDescent="0.25">
      <c r="A37" s="630"/>
      <c r="B37" s="301"/>
      <c r="C37" s="301"/>
      <c r="D37" s="301"/>
      <c r="E37" s="300"/>
      <c r="F37" s="300"/>
      <c r="H37" s="746"/>
      <c r="I37" s="746"/>
      <c r="J37" s="746"/>
      <c r="K37" s="746"/>
    </row>
    <row r="38" spans="1:11" x14ac:dyDescent="0.25">
      <c r="A38" s="630" t="s">
        <v>626</v>
      </c>
      <c r="B38" s="747"/>
      <c r="C38" s="748"/>
      <c r="D38" s="748"/>
      <c r="E38" s="749"/>
      <c r="F38" s="300"/>
      <c r="H38" s="746"/>
      <c r="I38" s="746"/>
      <c r="J38" s="746"/>
      <c r="K38" s="746"/>
    </row>
    <row r="39" spans="1:11" ht="15.75" customHeight="1" x14ac:dyDescent="0.2">
      <c r="H39" s="746"/>
      <c r="I39" s="746"/>
      <c r="J39" s="746"/>
      <c r="K39" s="746"/>
    </row>
    <row r="41" spans="1:11" ht="21" customHeight="1" x14ac:dyDescent="0.2">
      <c r="A41" s="742" t="s">
        <v>630</v>
      </c>
      <c r="B41" s="742"/>
      <c r="C41" s="742"/>
      <c r="D41" s="742"/>
      <c r="E41" s="742"/>
      <c r="F41" s="742"/>
      <c r="G41" s="742"/>
      <c r="H41" s="742"/>
      <c r="I41" s="742"/>
      <c r="J41" s="742"/>
      <c r="K41" s="742"/>
    </row>
    <row r="42" spans="1:11" ht="15.75" customHeight="1" x14ac:dyDescent="0.25">
      <c r="A42" s="630" t="s">
        <v>281</v>
      </c>
      <c r="B42" s="743"/>
      <c r="C42" s="744"/>
      <c r="D42" s="744"/>
      <c r="E42" s="745"/>
      <c r="F42" s="300"/>
      <c r="H42" s="746" t="s">
        <v>631</v>
      </c>
      <c r="I42" s="746"/>
      <c r="J42" s="746"/>
      <c r="K42" s="746"/>
    </row>
    <row r="43" spans="1:11" x14ac:dyDescent="0.25">
      <c r="A43" s="631" t="s">
        <v>625</v>
      </c>
      <c r="B43" s="627"/>
      <c r="C43" s="627"/>
      <c r="D43" s="301"/>
      <c r="E43" s="629"/>
      <c r="F43" s="300"/>
      <c r="H43" s="746"/>
      <c r="I43" s="746"/>
      <c r="J43" s="746"/>
      <c r="K43" s="746"/>
    </row>
    <row r="44" spans="1:11" x14ac:dyDescent="0.25">
      <c r="A44" s="630" t="s">
        <v>282</v>
      </c>
      <c r="B44" s="743"/>
      <c r="C44" s="744"/>
      <c r="D44" s="744"/>
      <c r="E44" s="745"/>
      <c r="F44" s="300"/>
      <c r="H44" s="746"/>
      <c r="I44" s="746"/>
      <c r="J44" s="746"/>
      <c r="K44" s="746"/>
    </row>
    <row r="45" spans="1:11" x14ac:dyDescent="0.25">
      <c r="A45" s="630"/>
      <c r="B45" s="301"/>
      <c r="C45" s="301"/>
      <c r="D45" s="301"/>
      <c r="E45" s="629"/>
      <c r="F45" s="300"/>
      <c r="H45" s="746"/>
      <c r="I45" s="746"/>
      <c r="J45" s="746"/>
      <c r="K45" s="746"/>
    </row>
    <row r="46" spans="1:11" x14ac:dyDescent="0.25">
      <c r="A46" s="630" t="s">
        <v>283</v>
      </c>
      <c r="B46" s="747"/>
      <c r="C46" s="748"/>
      <c r="D46" s="748"/>
      <c r="E46" s="749"/>
      <c r="F46" s="300"/>
      <c r="H46" s="746"/>
      <c r="I46" s="746"/>
      <c r="J46" s="746"/>
      <c r="K46" s="746"/>
    </row>
    <row r="47" spans="1:11" ht="15.75" customHeight="1" x14ac:dyDescent="0.2">
      <c r="H47" s="746"/>
      <c r="I47" s="746"/>
      <c r="J47" s="746"/>
      <c r="K47" s="746"/>
    </row>
    <row r="48" spans="1:11" ht="15.75" customHeight="1" x14ac:dyDescent="0.2">
      <c r="H48" s="746"/>
      <c r="I48" s="746"/>
      <c r="J48" s="746"/>
      <c r="K48" s="746"/>
    </row>
    <row r="49" spans="8:11" ht="15.75" customHeight="1" x14ac:dyDescent="0.2">
      <c r="H49" s="746"/>
      <c r="I49" s="746"/>
      <c r="J49" s="746"/>
      <c r="K49" s="746"/>
    </row>
  </sheetData>
  <sheetProtection sheet="1"/>
  <mergeCells count="29">
    <mergeCell ref="A1:F2"/>
    <mergeCell ref="H1:K2"/>
    <mergeCell ref="A3:F12"/>
    <mergeCell ref="I3:K3"/>
    <mergeCell ref="I5:K5"/>
    <mergeCell ref="I7:K7"/>
    <mergeCell ref="I9:K9"/>
    <mergeCell ref="I11:K11"/>
    <mergeCell ref="A13:K13"/>
    <mergeCell ref="B14:E14"/>
    <mergeCell ref="H14:K24"/>
    <mergeCell ref="B16:E16"/>
    <mergeCell ref="B18:E18"/>
    <mergeCell ref="B20:E20"/>
    <mergeCell ref="B22:E22"/>
    <mergeCell ref="B24:E24"/>
    <mergeCell ref="A27:K27"/>
    <mergeCell ref="B28:E28"/>
    <mergeCell ref="H28:K39"/>
    <mergeCell ref="B30:E30"/>
    <mergeCell ref="B32:E32"/>
    <mergeCell ref="B34:E34"/>
    <mergeCell ref="B36:E36"/>
    <mergeCell ref="B38:E38"/>
    <mergeCell ref="A41:K41"/>
    <mergeCell ref="B42:E42"/>
    <mergeCell ref="H42:K49"/>
    <mergeCell ref="B44:E44"/>
    <mergeCell ref="B46:E46"/>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tabColor rgb="FF00B0F0"/>
  </sheetPr>
  <dimension ref="A1:IV29"/>
  <sheetViews>
    <sheetView workbookViewId="0">
      <selection activeCell="I1" sqref="I1"/>
    </sheetView>
  </sheetViews>
  <sheetFormatPr defaultRowHeight="15.75" x14ac:dyDescent="0.2"/>
  <cols>
    <col min="1" max="1" width="14.109375" style="63" customWidth="1"/>
    <col min="2" max="2" width="12.77734375" style="63" customWidth="1"/>
    <col min="3" max="3" width="8.77734375" style="63" customWidth="1"/>
    <col min="4" max="4" width="7.33203125" style="63" customWidth="1"/>
    <col min="5" max="5" width="8.5546875" style="63" customWidth="1"/>
    <col min="6" max="6" width="12.77734375" style="63" customWidth="1"/>
    <col min="7" max="7" width="11.88671875" style="63" customWidth="1"/>
    <col min="8" max="8" width="14.109375" style="63" customWidth="1"/>
    <col min="9" max="252" width="8.88671875" style="63"/>
    <col min="253" max="253" width="15.77734375" style="63" customWidth="1"/>
    <col min="254" max="254" width="12.77734375" style="63" customWidth="1"/>
    <col min="255" max="255" width="8.77734375" style="63" customWidth="1"/>
    <col min="256" max="256" width="13.77734375" style="63" customWidth="1"/>
  </cols>
  <sheetData>
    <row r="1" spans="1:8" x14ac:dyDescent="0.2">
      <c r="A1" s="69"/>
      <c r="B1" s="69"/>
      <c r="C1" s="69"/>
      <c r="D1" s="69"/>
      <c r="E1" s="69"/>
      <c r="F1" s="69"/>
      <c r="G1" s="69"/>
      <c r="H1" s="642">
        <f>inputPrYr!C10</f>
        <v>2025</v>
      </c>
    </row>
    <row r="2" spans="1:8" x14ac:dyDescent="0.2">
      <c r="A2" s="843" t="s">
        <v>643</v>
      </c>
      <c r="B2" s="739"/>
      <c r="C2" s="739"/>
      <c r="D2" s="739"/>
      <c r="E2" s="739"/>
      <c r="F2" s="739"/>
      <c r="G2" s="739"/>
      <c r="H2" s="739"/>
    </row>
    <row r="3" spans="1:8" x14ac:dyDescent="0.2">
      <c r="A3" s="69"/>
      <c r="B3" s="69"/>
      <c r="C3" s="69"/>
      <c r="D3" s="69"/>
      <c r="E3" s="69"/>
      <c r="F3" s="69"/>
      <c r="G3" s="69"/>
      <c r="H3" s="69"/>
    </row>
    <row r="4" spans="1:8" x14ac:dyDescent="0.2">
      <c r="A4" s="756" t="s">
        <v>184</v>
      </c>
      <c r="B4" s="756"/>
      <c r="C4" s="756"/>
      <c r="D4" s="756"/>
      <c r="E4" s="756"/>
      <c r="F4" s="756"/>
      <c r="G4" s="756"/>
      <c r="H4" s="756"/>
    </row>
    <row r="5" spans="1:8" x14ac:dyDescent="0.2">
      <c r="A5" s="697">
        <f>inputPrYr!D3</f>
        <v>0</v>
      </c>
      <c r="B5" s="842"/>
      <c r="C5" s="842"/>
      <c r="D5" s="842"/>
      <c r="E5" s="842"/>
      <c r="F5" s="842"/>
      <c r="G5" s="842"/>
      <c r="H5" s="842"/>
    </row>
    <row r="6" spans="1:8" x14ac:dyDescent="0.2">
      <c r="A6" s="756" t="str">
        <f>CONCATENATE("will meet on ",inputHearing!B42," at ",inputHearing!B44," at ",inputHearing!B46," for the purpose of hearing and")</f>
        <v>will meet on  at  at  for the purpose of hearing and</v>
      </c>
      <c r="B6" s="756"/>
      <c r="C6" s="756"/>
      <c r="D6" s="756"/>
      <c r="E6" s="756"/>
      <c r="F6" s="756"/>
      <c r="G6" s="756"/>
      <c r="H6" s="756"/>
    </row>
    <row r="7" spans="1:8" x14ac:dyDescent="0.2">
      <c r="A7" s="756" t="s">
        <v>644</v>
      </c>
      <c r="B7" s="756"/>
      <c r="C7" s="756"/>
      <c r="D7" s="756"/>
      <c r="E7" s="756"/>
      <c r="F7" s="756"/>
      <c r="G7" s="756"/>
      <c r="H7" s="756"/>
    </row>
    <row r="8" spans="1:8" x14ac:dyDescent="0.2">
      <c r="A8" s="69"/>
      <c r="B8" s="69"/>
      <c r="C8" s="69"/>
      <c r="D8" s="69"/>
      <c r="E8" s="69"/>
      <c r="F8" s="69"/>
      <c r="G8" s="69"/>
      <c r="H8" s="69"/>
    </row>
    <row r="9" spans="1:8" x14ac:dyDescent="0.2">
      <c r="A9" s="842" t="s">
        <v>490</v>
      </c>
      <c r="B9" s="842"/>
      <c r="C9" s="842"/>
      <c r="D9" s="842"/>
      <c r="E9" s="842"/>
      <c r="F9" s="842"/>
      <c r="G9" s="842"/>
      <c r="H9" s="842"/>
    </row>
    <row r="10" spans="1:8" x14ac:dyDescent="0.2">
      <c r="A10" s="756" t="str">
        <f>CONCATENATE(inputPrYr!D4," (home county) ",inputPrYr!D6,IF(inputPrYr!D7="","",", "),inputPrYr!D7,IF(inputPrYr!D8="","",", "),inputPrYr!D8)</f>
        <v xml:space="preserve"> (home county) </v>
      </c>
      <c r="B10" s="756"/>
      <c r="C10" s="756"/>
      <c r="D10" s="756"/>
      <c r="E10" s="756"/>
      <c r="F10" s="756"/>
      <c r="G10" s="756"/>
      <c r="H10" s="756"/>
    </row>
    <row r="11" spans="1:8" x14ac:dyDescent="0.2">
      <c r="A11" s="136"/>
      <c r="B11" s="75"/>
      <c r="C11" s="75"/>
      <c r="D11" s="75"/>
      <c r="E11" s="75"/>
      <c r="F11" s="75"/>
      <c r="G11" s="75"/>
      <c r="H11" s="75"/>
    </row>
    <row r="12" spans="1:8" x14ac:dyDescent="0.2">
      <c r="A12" s="136"/>
      <c r="B12" s="840" t="s">
        <v>645</v>
      </c>
      <c r="C12" s="840"/>
      <c r="D12" s="643">
        <f>'Budget Hearing Notice'!H57</f>
        <v>0</v>
      </c>
      <c r="E12" s="840" t="s">
        <v>646</v>
      </c>
      <c r="F12" s="840"/>
      <c r="G12" s="644">
        <f>'Budget Hearing Notice'!H56</f>
        <v>0</v>
      </c>
      <c r="H12" s="75"/>
    </row>
    <row r="13" spans="1:8" x14ac:dyDescent="0.2">
      <c r="A13" s="69"/>
      <c r="B13" s="276"/>
      <c r="C13" s="276"/>
      <c r="D13" s="276"/>
      <c r="E13" s="276"/>
      <c r="F13" s="276"/>
      <c r="G13" s="276"/>
      <c r="H13" s="276"/>
    </row>
    <row r="14" spans="1:8" x14ac:dyDescent="0.2">
      <c r="A14" s="69"/>
      <c r="B14" s="841" t="s">
        <v>647</v>
      </c>
      <c r="C14" s="841"/>
      <c r="D14" s="841"/>
      <c r="E14" s="841"/>
      <c r="F14" s="841"/>
      <c r="G14" s="69"/>
      <c r="H14" s="102"/>
    </row>
    <row r="15" spans="1:8" x14ac:dyDescent="0.2">
      <c r="A15" s="69"/>
      <c r="B15" s="841" t="s">
        <v>648</v>
      </c>
      <c r="C15" s="841"/>
      <c r="D15" s="841"/>
      <c r="E15" s="841"/>
      <c r="F15" s="841"/>
      <c r="G15" s="69"/>
      <c r="H15" s="102"/>
    </row>
    <row r="16" spans="1:8" x14ac:dyDescent="0.2">
      <c r="A16" s="69"/>
      <c r="B16" s="645"/>
      <c r="C16" s="645"/>
      <c r="D16" s="645"/>
      <c r="E16" s="645"/>
      <c r="F16" s="645"/>
      <c r="G16" s="69"/>
      <c r="H16" s="102"/>
    </row>
    <row r="17" spans="1:8" x14ac:dyDescent="0.2">
      <c r="A17" s="69"/>
      <c r="B17" s="645"/>
      <c r="C17" s="645"/>
      <c r="D17" s="135" t="s">
        <v>173</v>
      </c>
      <c r="E17" s="564"/>
      <c r="F17" s="645"/>
      <c r="G17" s="69"/>
      <c r="H17" s="102"/>
    </row>
    <row r="19" spans="1:8" x14ac:dyDescent="0.2">
      <c r="A19" s="65"/>
      <c r="B19" s="65"/>
      <c r="C19" s="65"/>
      <c r="D19" s="65"/>
      <c r="E19" s="65"/>
      <c r="F19" s="65"/>
      <c r="G19" s="65"/>
      <c r="H19" s="65"/>
    </row>
    <row r="21" spans="1:8" x14ac:dyDescent="0.2">
      <c r="A21" s="65"/>
      <c r="B21" s="65"/>
      <c r="C21" s="65"/>
      <c r="D21" s="65"/>
      <c r="E21" s="65"/>
      <c r="F21" s="65"/>
      <c r="G21" s="65"/>
      <c r="H21" s="65"/>
    </row>
    <row r="22" spans="1:8" x14ac:dyDescent="0.2">
      <c r="A22" s="65"/>
      <c r="B22" s="65"/>
      <c r="C22" s="65"/>
      <c r="D22" s="65"/>
      <c r="E22" s="65"/>
      <c r="F22" s="65"/>
      <c r="G22" s="65"/>
      <c r="H22" s="65"/>
    </row>
    <row r="23" spans="1:8" x14ac:dyDescent="0.2">
      <c r="A23" s="65"/>
      <c r="B23" s="65"/>
      <c r="C23" s="65"/>
      <c r="D23" s="65"/>
      <c r="E23" s="65"/>
      <c r="F23" s="65"/>
      <c r="G23" s="65"/>
      <c r="H23" s="65"/>
    </row>
    <row r="24" spans="1:8" x14ac:dyDescent="0.2">
      <c r="A24" s="65"/>
      <c r="B24" s="65"/>
      <c r="C24" s="65"/>
      <c r="D24" s="65"/>
      <c r="E24" s="65"/>
      <c r="F24" s="65"/>
      <c r="G24" s="65"/>
      <c r="H24" s="65"/>
    </row>
    <row r="25" spans="1:8" x14ac:dyDescent="0.2">
      <c r="A25" s="65"/>
      <c r="B25" s="65"/>
      <c r="C25" s="65"/>
      <c r="D25" s="65"/>
      <c r="E25" s="65"/>
      <c r="F25" s="65"/>
      <c r="G25" s="65"/>
      <c r="H25" s="65"/>
    </row>
    <row r="26" spans="1:8" x14ac:dyDescent="0.2">
      <c r="A26" s="65"/>
      <c r="B26" s="65"/>
      <c r="C26" s="65"/>
      <c r="D26" s="65"/>
      <c r="E26" s="65"/>
      <c r="F26" s="65"/>
      <c r="G26" s="65"/>
      <c r="H26" s="65"/>
    </row>
    <row r="27" spans="1:8" x14ac:dyDescent="0.2">
      <c r="A27" s="65"/>
      <c r="B27" s="65"/>
      <c r="C27" s="65"/>
      <c r="D27" s="65"/>
      <c r="E27" s="65"/>
      <c r="F27" s="65"/>
      <c r="G27" s="65"/>
      <c r="H27" s="65"/>
    </row>
    <row r="28" spans="1:8" x14ac:dyDescent="0.2">
      <c r="A28" s="65"/>
      <c r="B28" s="65"/>
      <c r="C28" s="65"/>
      <c r="D28" s="65"/>
      <c r="E28" s="65"/>
      <c r="F28" s="65"/>
      <c r="G28" s="65"/>
      <c r="H28" s="65"/>
    </row>
    <row r="29" spans="1:8" x14ac:dyDescent="0.2">
      <c r="A29" s="65"/>
      <c r="B29" s="65"/>
      <c r="C29" s="65"/>
      <c r="D29" s="65"/>
      <c r="E29" s="65"/>
      <c r="F29" s="65"/>
      <c r="G29" s="65"/>
      <c r="H29" s="65"/>
    </row>
  </sheetData>
  <sheetProtection sheet="1" objects="1" scenarios="1"/>
  <mergeCells count="11">
    <mergeCell ref="A9:H9"/>
    <mergeCell ref="A2:H2"/>
    <mergeCell ref="A4:H4"/>
    <mergeCell ref="A5:H5"/>
    <mergeCell ref="A6:H6"/>
    <mergeCell ref="A7:H7"/>
    <mergeCell ref="A10:H10"/>
    <mergeCell ref="B12:C12"/>
    <mergeCell ref="E12:F12"/>
    <mergeCell ref="B14:F14"/>
    <mergeCell ref="B15:F1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pageSetUpPr fitToPage="1"/>
  </sheetPr>
  <dimension ref="A1:F41"/>
  <sheetViews>
    <sheetView workbookViewId="0">
      <selection activeCell="G1" sqref="G1"/>
    </sheetView>
  </sheetViews>
  <sheetFormatPr defaultColWidth="8.88671875" defaultRowHeight="15" x14ac:dyDescent="0.2"/>
  <cols>
    <col min="1" max="1" width="9.5546875" style="107" customWidth="1"/>
    <col min="2" max="2" width="18.21875" style="107" customWidth="1"/>
    <col min="3" max="3" width="11.77734375" style="107" customWidth="1"/>
    <col min="4" max="4" width="12.77734375" style="107" customWidth="1"/>
    <col min="5" max="5" width="11.77734375" style="107" customWidth="1"/>
    <col min="6" max="16384" width="8.88671875" style="107"/>
  </cols>
  <sheetData>
    <row r="1" spans="1:6" ht="15.75" x14ac:dyDescent="0.2">
      <c r="A1" s="89">
        <f>inputPrYr!D3</f>
        <v>0</v>
      </c>
      <c r="B1" s="69"/>
      <c r="C1" s="69"/>
      <c r="D1" s="69"/>
      <c r="E1" s="69"/>
      <c r="F1" s="69">
        <f>inputPrYr!C10</f>
        <v>2025</v>
      </c>
    </row>
    <row r="2" spans="1:6" ht="15.75" x14ac:dyDescent="0.2">
      <c r="A2" s="69"/>
      <c r="B2" s="69"/>
      <c r="C2" s="69"/>
      <c r="D2" s="69"/>
      <c r="E2" s="69"/>
      <c r="F2" s="69"/>
    </row>
    <row r="3" spans="1:6" ht="15.75" x14ac:dyDescent="0.2">
      <c r="A3" s="69"/>
      <c r="B3" s="844" t="str">
        <f>CONCATENATE("",F1," Neighborhood Revitalization Rebate")</f>
        <v>2025 Neighborhood Revitalization Rebate</v>
      </c>
      <c r="C3" s="844"/>
      <c r="D3" s="844"/>
      <c r="E3" s="844"/>
      <c r="F3" s="69"/>
    </row>
    <row r="4" spans="1:6" ht="15.75" x14ac:dyDescent="0.2">
      <c r="A4" s="69"/>
      <c r="B4" s="69"/>
      <c r="C4" s="69"/>
      <c r="D4" s="69"/>
      <c r="E4" s="69"/>
      <c r="F4" s="69"/>
    </row>
    <row r="5" spans="1:6" ht="51" customHeight="1" x14ac:dyDescent="0.2">
      <c r="A5" s="69"/>
      <c r="B5" s="203" t="str">
        <f>CONCATENATE("Budgeted Funds                     for ",F1,"")</f>
        <v>Budgeted Funds                     for 2025</v>
      </c>
      <c r="C5" s="203" t="str">
        <f>CONCATENATE("",F1-1," Ad Valorem before Rebate**")</f>
        <v>2024 Ad Valorem before Rebate**</v>
      </c>
      <c r="D5" s="204" t="str">
        <f>CONCATENATE("",F1-1," Mil Rate before Rebate")</f>
        <v>2024 Mil Rate before Rebate</v>
      </c>
      <c r="E5" s="205" t="str">
        <f>CONCATENATE("Estimate ",F1," NR Rebate")</f>
        <v>Estimate 2025 NR Rebate</v>
      </c>
      <c r="F5" s="102"/>
    </row>
    <row r="6" spans="1:6" ht="15.75" x14ac:dyDescent="0.2">
      <c r="A6" s="69"/>
      <c r="B6" s="81" t="str">
        <f>inputPrYr!B22</f>
        <v>General</v>
      </c>
      <c r="C6" s="206"/>
      <c r="D6" s="207" t="str">
        <f>IF(C6&gt;0,C6/$D$24,"")</f>
        <v/>
      </c>
      <c r="E6" s="208">
        <f t="shared" ref="E6:E18" si="0">IF(C6&gt;0,ROUND(D6*$D$28,0),0)</f>
        <v>0</v>
      </c>
      <c r="F6" s="102"/>
    </row>
    <row r="7" spans="1:6" ht="15.75" x14ac:dyDescent="0.2">
      <c r="A7" s="69"/>
      <c r="B7" s="81" t="str">
        <f>inputPrYr!B23</f>
        <v>Debt Service</v>
      </c>
      <c r="C7" s="206"/>
      <c r="D7" s="207" t="str">
        <f t="shared" ref="D7:D17" si="1">IF(C7&gt;0,C7/$D$24,"")</f>
        <v/>
      </c>
      <c r="E7" s="208">
        <f t="shared" si="0"/>
        <v>0</v>
      </c>
      <c r="F7" s="102"/>
    </row>
    <row r="8" spans="1:6" ht="15.75" x14ac:dyDescent="0.2">
      <c r="A8" s="69"/>
      <c r="B8" s="95" t="str">
        <f>inputPrYr!B24</f>
        <v>Library</v>
      </c>
      <c r="C8" s="206"/>
      <c r="D8" s="207" t="str">
        <f t="shared" si="1"/>
        <v/>
      </c>
      <c r="E8" s="208">
        <f t="shared" si="0"/>
        <v>0</v>
      </c>
      <c r="F8" s="102"/>
    </row>
    <row r="9" spans="1:6" ht="15.75" x14ac:dyDescent="0.2">
      <c r="A9" s="69"/>
      <c r="B9" s="95">
        <f>inputPrYr!B26</f>
        <v>0</v>
      </c>
      <c r="C9" s="206"/>
      <c r="D9" s="207" t="str">
        <f t="shared" si="1"/>
        <v/>
      </c>
      <c r="E9" s="208">
        <f t="shared" si="0"/>
        <v>0</v>
      </c>
      <c r="F9" s="102"/>
    </row>
    <row r="10" spans="1:6" ht="15.75" x14ac:dyDescent="0.2">
      <c r="A10" s="69"/>
      <c r="B10" s="95">
        <f>inputPrYr!B27</f>
        <v>0</v>
      </c>
      <c r="C10" s="206"/>
      <c r="D10" s="207" t="str">
        <f t="shared" si="1"/>
        <v/>
      </c>
      <c r="E10" s="208">
        <f t="shared" si="0"/>
        <v>0</v>
      </c>
      <c r="F10" s="102"/>
    </row>
    <row r="11" spans="1:6" ht="15.75" x14ac:dyDescent="0.2">
      <c r="A11" s="69"/>
      <c r="B11" s="95">
        <f>inputPrYr!B28</f>
        <v>0</v>
      </c>
      <c r="C11" s="206"/>
      <c r="D11" s="207" t="str">
        <f t="shared" si="1"/>
        <v/>
      </c>
      <c r="E11" s="208">
        <f t="shared" si="0"/>
        <v>0</v>
      </c>
      <c r="F11" s="102"/>
    </row>
    <row r="12" spans="1:6" ht="15.75" x14ac:dyDescent="0.2">
      <c r="A12" s="69"/>
      <c r="B12" s="95">
        <f>inputPrYr!B29</f>
        <v>0</v>
      </c>
      <c r="C12" s="209"/>
      <c r="D12" s="207" t="str">
        <f t="shared" si="1"/>
        <v/>
      </c>
      <c r="E12" s="208">
        <f t="shared" si="0"/>
        <v>0</v>
      </c>
      <c r="F12" s="102"/>
    </row>
    <row r="13" spans="1:6" ht="15.75" x14ac:dyDescent="0.2">
      <c r="A13" s="69"/>
      <c r="B13" s="95">
        <f>inputPrYr!B30</f>
        <v>0</v>
      </c>
      <c r="C13" s="209"/>
      <c r="D13" s="207" t="str">
        <f t="shared" si="1"/>
        <v/>
      </c>
      <c r="E13" s="208">
        <f t="shared" si="0"/>
        <v>0</v>
      </c>
      <c r="F13" s="102"/>
    </row>
    <row r="14" spans="1:6" ht="15.75" x14ac:dyDescent="0.2">
      <c r="A14" s="69"/>
      <c r="B14" s="95">
        <f>inputPrYr!B31</f>
        <v>0</v>
      </c>
      <c r="C14" s="209"/>
      <c r="D14" s="207" t="str">
        <f t="shared" si="1"/>
        <v/>
      </c>
      <c r="E14" s="208">
        <f t="shared" si="0"/>
        <v>0</v>
      </c>
      <c r="F14" s="102"/>
    </row>
    <row r="15" spans="1:6" ht="15.75" x14ac:dyDescent="0.2">
      <c r="A15" s="69"/>
      <c r="B15" s="95">
        <f>inputPrYr!B32</f>
        <v>0</v>
      </c>
      <c r="C15" s="209"/>
      <c r="D15" s="207" t="str">
        <f t="shared" si="1"/>
        <v/>
      </c>
      <c r="E15" s="208">
        <f t="shared" si="0"/>
        <v>0</v>
      </c>
      <c r="F15" s="102"/>
    </row>
    <row r="16" spans="1:6" ht="15.75" x14ac:dyDescent="0.2">
      <c r="A16" s="69"/>
      <c r="B16" s="95">
        <f>inputPrYr!B33</f>
        <v>0</v>
      </c>
      <c r="C16" s="209"/>
      <c r="D16" s="207" t="str">
        <f t="shared" si="1"/>
        <v/>
      </c>
      <c r="E16" s="208">
        <f t="shared" si="0"/>
        <v>0</v>
      </c>
      <c r="F16" s="102"/>
    </row>
    <row r="17" spans="1:6" ht="15.75" x14ac:dyDescent="0.2">
      <c r="A17" s="69"/>
      <c r="B17" s="95">
        <f>inputPrYr!B34</f>
        <v>0</v>
      </c>
      <c r="C17" s="209"/>
      <c r="D17" s="207" t="str">
        <f t="shared" si="1"/>
        <v/>
      </c>
      <c r="E17" s="208">
        <f t="shared" si="0"/>
        <v>0</v>
      </c>
      <c r="F17" s="102"/>
    </row>
    <row r="18" spans="1:6" ht="15.75" x14ac:dyDescent="0.2">
      <c r="A18" s="69"/>
      <c r="B18" s="95">
        <f>inputPrYr!B35</f>
        <v>0</v>
      </c>
      <c r="C18" s="209"/>
      <c r="D18" s="207" t="str">
        <f>IF(C18&gt;0,C18/$D$24,"")</f>
        <v/>
      </c>
      <c r="E18" s="208">
        <f t="shared" si="0"/>
        <v>0</v>
      </c>
      <c r="F18" s="102"/>
    </row>
    <row r="19" spans="1:6" ht="16.5" thickBot="1" x14ac:dyDescent="0.25">
      <c r="A19" s="69"/>
      <c r="B19" s="82" t="s">
        <v>158</v>
      </c>
      <c r="C19" s="210">
        <f>SUM(C6:C18)</f>
        <v>0</v>
      </c>
      <c r="D19" s="211">
        <f>SUM(D6:D18)</f>
        <v>0</v>
      </c>
      <c r="E19" s="210">
        <f>SUM(E6:E18)</f>
        <v>0</v>
      </c>
      <c r="F19" s="102"/>
    </row>
    <row r="20" spans="1:6" ht="16.5" thickTop="1" x14ac:dyDescent="0.2">
      <c r="A20" s="69"/>
      <c r="B20" s="69"/>
      <c r="C20" s="69"/>
      <c r="D20" s="69"/>
      <c r="E20" s="69"/>
      <c r="F20" s="102"/>
    </row>
    <row r="21" spans="1:6" ht="15.75" x14ac:dyDescent="0.2">
      <c r="A21" s="69"/>
      <c r="B21" s="69"/>
      <c r="C21" s="69"/>
      <c r="D21" s="69"/>
      <c r="E21" s="69"/>
      <c r="F21" s="102"/>
    </row>
    <row r="22" spans="1:6" ht="15.75" x14ac:dyDescent="0.2">
      <c r="A22" s="845" t="str">
        <f>CONCATENATE("",F1-1," July 1 Valuation:")</f>
        <v>2024 July 1 Valuation:</v>
      </c>
      <c r="B22" s="784"/>
      <c r="C22" s="845"/>
      <c r="D22" s="201">
        <f>inputOth!B14</f>
        <v>0</v>
      </c>
      <c r="E22" s="69"/>
      <c r="F22" s="102"/>
    </row>
    <row r="23" spans="1:6" ht="15.75" x14ac:dyDescent="0.2">
      <c r="A23" s="69"/>
      <c r="B23" s="69"/>
      <c r="C23" s="69"/>
      <c r="D23" s="69"/>
      <c r="E23" s="69"/>
      <c r="F23" s="102"/>
    </row>
    <row r="24" spans="1:6" ht="15.75" x14ac:dyDescent="0.2">
      <c r="A24" s="69"/>
      <c r="B24" s="845" t="s">
        <v>227</v>
      </c>
      <c r="C24" s="845"/>
      <c r="D24" s="212" t="str">
        <f>IF(D22&gt;0,(D22*0.001),"")</f>
        <v/>
      </c>
      <c r="E24" s="69"/>
      <c r="F24" s="102"/>
    </row>
    <row r="25" spans="1:6" ht="15.75" x14ac:dyDescent="0.2">
      <c r="A25" s="69"/>
      <c r="B25" s="135"/>
      <c r="C25" s="135"/>
      <c r="D25" s="213"/>
      <c r="E25" s="69"/>
      <c r="F25" s="102"/>
    </row>
    <row r="26" spans="1:6" ht="15.75" x14ac:dyDescent="0.2">
      <c r="A26" s="783" t="s">
        <v>228</v>
      </c>
      <c r="B26" s="739"/>
      <c r="C26" s="739"/>
      <c r="D26" s="201">
        <f>inputOth!E26</f>
        <v>0</v>
      </c>
      <c r="E26" s="84"/>
      <c r="F26" s="84"/>
    </row>
    <row r="27" spans="1:6" x14ac:dyDescent="0.2">
      <c r="A27" s="84"/>
      <c r="B27" s="84"/>
      <c r="C27" s="84"/>
      <c r="D27" s="214"/>
      <c r="E27" s="84"/>
      <c r="F27" s="84"/>
    </row>
    <row r="28" spans="1:6" ht="15.75" x14ac:dyDescent="0.2">
      <c r="A28" s="84"/>
      <c r="B28" s="783" t="s">
        <v>229</v>
      </c>
      <c r="C28" s="784"/>
      <c r="D28" s="212" t="str">
        <f>IF(D26&gt;0,(D26*0.001),"")</f>
        <v/>
      </c>
      <c r="E28" s="84"/>
      <c r="F28" s="84"/>
    </row>
    <row r="29" spans="1:6" x14ac:dyDescent="0.2">
      <c r="A29" s="84"/>
      <c r="B29" s="84"/>
      <c r="C29" s="84"/>
      <c r="D29" s="84"/>
      <c r="E29" s="84"/>
      <c r="F29" s="84"/>
    </row>
    <row r="30" spans="1:6" x14ac:dyDescent="0.2">
      <c r="A30" s="84"/>
      <c r="B30" s="84"/>
      <c r="C30" s="84"/>
      <c r="D30" s="84"/>
      <c r="E30" s="84"/>
      <c r="F30" s="84"/>
    </row>
    <row r="31" spans="1:6" x14ac:dyDescent="0.2">
      <c r="A31" s="84"/>
      <c r="B31" s="84"/>
      <c r="C31" s="84"/>
      <c r="D31" s="84"/>
      <c r="E31" s="84"/>
      <c r="F31" s="84"/>
    </row>
    <row r="32" spans="1:6" ht="15.75" x14ac:dyDescent="0.25">
      <c r="A32" s="6" t="str">
        <f>CONCATENATE("**This information comes from the ",F1," Budget Summary page.  See instructions tab #12 for completing")</f>
        <v>**This information comes from the 2025 Budget Summary page.  See instructions tab #12 for completing</v>
      </c>
      <c r="B32" s="84"/>
      <c r="C32" s="84"/>
      <c r="D32" s="84"/>
      <c r="E32" s="84"/>
      <c r="F32" s="84"/>
    </row>
    <row r="33" spans="1:6" ht="15.75" x14ac:dyDescent="0.25">
      <c r="A33" s="6" t="s">
        <v>312</v>
      </c>
      <c r="B33" s="84"/>
      <c r="C33" s="84"/>
      <c r="D33" s="84"/>
      <c r="E33" s="84"/>
      <c r="F33" s="84"/>
    </row>
    <row r="34" spans="1:6" ht="15.75" x14ac:dyDescent="0.25">
      <c r="A34" s="6"/>
      <c r="B34" s="84"/>
      <c r="C34" s="84"/>
      <c r="D34" s="84"/>
      <c r="E34" s="84"/>
      <c r="F34" s="84"/>
    </row>
    <row r="35" spans="1:6" ht="15.75" x14ac:dyDescent="0.25">
      <c r="A35" s="6"/>
      <c r="B35" s="84"/>
      <c r="C35" s="84"/>
      <c r="D35" s="84"/>
      <c r="E35" s="84"/>
      <c r="F35" s="84"/>
    </row>
    <row r="36" spans="1:6" ht="15.75" x14ac:dyDescent="0.25">
      <c r="A36" s="6"/>
      <c r="B36" s="84"/>
      <c r="C36" s="84"/>
      <c r="D36" s="84"/>
      <c r="E36" s="84"/>
      <c r="F36" s="84"/>
    </row>
    <row r="37" spans="1:6" ht="15.75" x14ac:dyDescent="0.25">
      <c r="A37" s="6"/>
      <c r="B37" s="84"/>
      <c r="C37" s="84"/>
      <c r="D37" s="84"/>
      <c r="E37" s="84"/>
      <c r="F37" s="84"/>
    </row>
    <row r="38" spans="1:6" ht="15.75" x14ac:dyDescent="0.25">
      <c r="A38" s="6"/>
      <c r="B38" s="84"/>
      <c r="C38" s="84"/>
      <c r="D38" s="84"/>
      <c r="E38" s="84"/>
      <c r="F38" s="84"/>
    </row>
    <row r="39" spans="1:6" x14ac:dyDescent="0.2">
      <c r="A39" s="84"/>
      <c r="B39" s="84"/>
      <c r="C39" s="84"/>
      <c r="D39" s="84"/>
      <c r="E39" s="84"/>
      <c r="F39" s="84"/>
    </row>
    <row r="40" spans="1:6" ht="15.75" x14ac:dyDescent="0.2">
      <c r="A40" s="84"/>
      <c r="B40" s="135" t="s">
        <v>181</v>
      </c>
      <c r="C40" s="564"/>
      <c r="D40" s="84"/>
      <c r="E40" s="84"/>
      <c r="F40" s="84"/>
    </row>
    <row r="41" spans="1:6" ht="15.75" x14ac:dyDescent="0.2">
      <c r="A41" s="102"/>
      <c r="B41" s="69"/>
      <c r="C41" s="69"/>
      <c r="D41" s="215"/>
      <c r="E41" s="102"/>
      <c r="F41" s="102"/>
    </row>
  </sheetData>
  <sheetProtection sheet="1"/>
  <mergeCells count="5">
    <mergeCell ref="B28:C28"/>
    <mergeCell ref="B3:E3"/>
    <mergeCell ref="A22:C22"/>
    <mergeCell ref="B24:C24"/>
    <mergeCell ref="A26:C26"/>
  </mergeCells>
  <phoneticPr fontId="8" type="noConversion"/>
  <pageMargins left="0.75" right="0.75" top="1" bottom="1" header="0.5" footer="0.5"/>
  <pageSetup scale="91" orientation="portrait" blackAndWhite="1" r:id="rId1"/>
  <headerFooter alignWithMargins="0">
    <oddHeader>&amp;RState of Kansas
City</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1:H14"/>
  <sheetViews>
    <sheetView workbookViewId="0">
      <selection activeCell="I2" sqref="I1:I2"/>
    </sheetView>
  </sheetViews>
  <sheetFormatPr defaultRowHeight="15" x14ac:dyDescent="0.2"/>
  <sheetData>
    <row r="1" spans="1:8" ht="15.75" x14ac:dyDescent="0.25">
      <c r="A1" s="846" t="s">
        <v>690</v>
      </c>
      <c r="B1" s="846"/>
      <c r="C1" s="846"/>
      <c r="D1" s="846"/>
      <c r="E1" s="846"/>
      <c r="F1" s="846"/>
      <c r="G1" s="846"/>
      <c r="H1" s="846"/>
    </row>
    <row r="2" spans="1:8" ht="15.75" x14ac:dyDescent="0.25">
      <c r="A2" s="1"/>
      <c r="B2" s="1"/>
      <c r="C2" s="1"/>
      <c r="D2" s="1"/>
      <c r="E2" s="1"/>
      <c r="F2" s="1"/>
      <c r="G2" s="1"/>
      <c r="H2" s="1"/>
    </row>
    <row r="3" spans="1:8" ht="49.5" customHeight="1" x14ac:dyDescent="0.25">
      <c r="A3" s="847" t="s">
        <v>691</v>
      </c>
      <c r="B3" s="847"/>
      <c r="C3" s="847"/>
      <c r="D3" s="847"/>
      <c r="E3" s="847"/>
      <c r="F3" s="847"/>
      <c r="G3" s="847"/>
      <c r="H3" s="847"/>
    </row>
    <row r="4" spans="1:8" ht="20.25" customHeight="1" x14ac:dyDescent="0.25">
      <c r="A4" s="1"/>
      <c r="B4" s="1"/>
      <c r="C4" s="1"/>
      <c r="D4" s="1"/>
      <c r="E4" s="1"/>
      <c r="F4" s="1"/>
      <c r="G4" s="1"/>
      <c r="H4" s="1"/>
    </row>
    <row r="5" spans="1:8" ht="49.5" customHeight="1" x14ac:dyDescent="0.25">
      <c r="A5" s="655"/>
      <c r="B5" s="848" t="s">
        <v>692</v>
      </c>
      <c r="C5" s="848"/>
      <c r="D5" s="848"/>
      <c r="E5" s="848"/>
      <c r="F5" s="848"/>
      <c r="G5" s="848"/>
      <c r="H5" s="848"/>
    </row>
    <row r="6" spans="1:8" ht="17.25" customHeight="1" x14ac:dyDescent="0.25">
      <c r="A6" s="1"/>
      <c r="B6" s="1"/>
      <c r="C6" s="1"/>
      <c r="D6" s="1"/>
      <c r="E6" s="1"/>
      <c r="F6" s="1"/>
      <c r="G6" s="1"/>
      <c r="H6" s="1"/>
    </row>
    <row r="7" spans="1:8" ht="37.5" customHeight="1" x14ac:dyDescent="0.25">
      <c r="A7" s="655"/>
      <c r="B7" s="848" t="s">
        <v>693</v>
      </c>
      <c r="C7" s="848"/>
      <c r="D7" s="848"/>
      <c r="E7" s="848"/>
      <c r="F7" s="848"/>
      <c r="G7" s="848"/>
      <c r="H7" s="848"/>
    </row>
    <row r="8" spans="1:8" ht="14.25" customHeight="1" x14ac:dyDescent="0.25">
      <c r="A8" s="1"/>
      <c r="B8" s="1"/>
      <c r="C8" s="1"/>
      <c r="D8" s="1"/>
      <c r="E8" s="1"/>
      <c r="F8" s="1"/>
      <c r="G8" s="1"/>
      <c r="H8" s="1"/>
    </row>
    <row r="9" spans="1:8" ht="15.75" x14ac:dyDescent="0.25">
      <c r="A9" s="849" t="s">
        <v>694</v>
      </c>
      <c r="B9" s="849"/>
      <c r="C9" s="849"/>
      <c r="D9" s="849"/>
      <c r="E9" s="849"/>
      <c r="F9" s="849"/>
      <c r="G9" s="849"/>
      <c r="H9" s="849"/>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695</v>
      </c>
      <c r="B13" s="1"/>
      <c r="C13" s="1"/>
      <c r="D13" s="1"/>
      <c r="E13" s="1"/>
      <c r="F13" s="655"/>
      <c r="G13" s="655"/>
      <c r="H13" s="655"/>
    </row>
    <row r="14" spans="1:8" ht="15.75" x14ac:dyDescent="0.25">
      <c r="A14" s="1"/>
      <c r="B14" s="1"/>
      <c r="C14" s="1"/>
      <c r="D14" s="1"/>
      <c r="E14" s="1"/>
      <c r="F14" s="1" t="s">
        <v>696</v>
      </c>
    </row>
  </sheetData>
  <sheetProtection sheet="1" objects="1" scenarios="1"/>
  <mergeCells count="5">
    <mergeCell ref="A1:H1"/>
    <mergeCell ref="A3:H3"/>
    <mergeCell ref="B5:H5"/>
    <mergeCell ref="B7:H7"/>
    <mergeCell ref="A9:H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DB4E1-CE64-4EB2-9F3B-CE1084CDFB6B}">
  <sheetPr codeName="Sheet351"/>
  <dimension ref="A1:G22"/>
  <sheetViews>
    <sheetView workbookViewId="0">
      <selection sqref="A1:G1"/>
    </sheetView>
  </sheetViews>
  <sheetFormatPr defaultRowHeight="15.75" x14ac:dyDescent="0.25"/>
  <cols>
    <col min="1" max="3" width="11.5546875" style="663" customWidth="1"/>
    <col min="4" max="4" width="12.109375" style="663" customWidth="1"/>
    <col min="5" max="7" width="8.6640625" style="663" customWidth="1"/>
    <col min="8" max="256" width="8.88671875" style="663"/>
    <col min="257" max="260" width="11.5546875" style="663" customWidth="1"/>
    <col min="261" max="263" width="10.5546875" style="663" customWidth="1"/>
    <col min="264" max="512" width="8.88671875" style="663"/>
    <col min="513" max="516" width="11.5546875" style="663" customWidth="1"/>
    <col min="517" max="519" width="10.5546875" style="663" customWidth="1"/>
    <col min="520" max="768" width="8.88671875" style="663"/>
    <col min="769" max="772" width="11.5546875" style="663" customWidth="1"/>
    <col min="773" max="775" width="10.5546875" style="663" customWidth="1"/>
    <col min="776" max="1024" width="8.88671875" style="663"/>
    <col min="1025" max="1028" width="11.5546875" style="663" customWidth="1"/>
    <col min="1029" max="1031" width="10.5546875" style="663" customWidth="1"/>
    <col min="1032" max="1280" width="8.88671875" style="663"/>
    <col min="1281" max="1284" width="11.5546875" style="663" customWidth="1"/>
    <col min="1285" max="1287" width="10.5546875" style="663" customWidth="1"/>
    <col min="1288" max="1536" width="8.88671875" style="663"/>
    <col min="1537" max="1540" width="11.5546875" style="663" customWidth="1"/>
    <col min="1541" max="1543" width="10.5546875" style="663" customWidth="1"/>
    <col min="1544" max="1792" width="8.88671875" style="663"/>
    <col min="1793" max="1796" width="11.5546875" style="663" customWidth="1"/>
    <col min="1797" max="1799" width="10.5546875" style="663" customWidth="1"/>
    <col min="1800" max="2048" width="8.88671875" style="663"/>
    <col min="2049" max="2052" width="11.5546875" style="663" customWidth="1"/>
    <col min="2053" max="2055" width="10.5546875" style="663" customWidth="1"/>
    <col min="2056" max="2304" width="8.88671875" style="663"/>
    <col min="2305" max="2308" width="11.5546875" style="663" customWidth="1"/>
    <col min="2309" max="2311" width="10.5546875" style="663" customWidth="1"/>
    <col min="2312" max="2560" width="8.88671875" style="663"/>
    <col min="2561" max="2564" width="11.5546875" style="663" customWidth="1"/>
    <col min="2565" max="2567" width="10.5546875" style="663" customWidth="1"/>
    <col min="2568" max="2816" width="8.88671875" style="663"/>
    <col min="2817" max="2820" width="11.5546875" style="663" customWidth="1"/>
    <col min="2821" max="2823" width="10.5546875" style="663" customWidth="1"/>
    <col min="2824" max="3072" width="8.88671875" style="663"/>
    <col min="3073" max="3076" width="11.5546875" style="663" customWidth="1"/>
    <col min="3077" max="3079" width="10.5546875" style="663" customWidth="1"/>
    <col min="3080" max="3328" width="8.88671875" style="663"/>
    <col min="3329" max="3332" width="11.5546875" style="663" customWidth="1"/>
    <col min="3333" max="3335" width="10.5546875" style="663" customWidth="1"/>
    <col min="3336" max="3584" width="8.88671875" style="663"/>
    <col min="3585" max="3588" width="11.5546875" style="663" customWidth="1"/>
    <col min="3589" max="3591" width="10.5546875" style="663" customWidth="1"/>
    <col min="3592" max="3840" width="8.88671875" style="663"/>
    <col min="3841" max="3844" width="11.5546875" style="663" customWidth="1"/>
    <col min="3845" max="3847" width="10.5546875" style="663" customWidth="1"/>
    <col min="3848" max="4096" width="8.88671875" style="663"/>
    <col min="4097" max="4100" width="11.5546875" style="663" customWidth="1"/>
    <col min="4101" max="4103" width="10.5546875" style="663" customWidth="1"/>
    <col min="4104" max="4352" width="8.88671875" style="663"/>
    <col min="4353" max="4356" width="11.5546875" style="663" customWidth="1"/>
    <col min="4357" max="4359" width="10.5546875" style="663" customWidth="1"/>
    <col min="4360" max="4608" width="8.88671875" style="663"/>
    <col min="4609" max="4612" width="11.5546875" style="663" customWidth="1"/>
    <col min="4613" max="4615" width="10.5546875" style="663" customWidth="1"/>
    <col min="4616" max="4864" width="8.88671875" style="663"/>
    <col min="4865" max="4868" width="11.5546875" style="663" customWidth="1"/>
    <col min="4869" max="4871" width="10.5546875" style="663" customWidth="1"/>
    <col min="4872" max="5120" width="8.88671875" style="663"/>
    <col min="5121" max="5124" width="11.5546875" style="663" customWidth="1"/>
    <col min="5125" max="5127" width="10.5546875" style="663" customWidth="1"/>
    <col min="5128" max="5376" width="8.88671875" style="663"/>
    <col min="5377" max="5380" width="11.5546875" style="663" customWidth="1"/>
    <col min="5381" max="5383" width="10.5546875" style="663" customWidth="1"/>
    <col min="5384" max="5632" width="8.88671875" style="663"/>
    <col min="5633" max="5636" width="11.5546875" style="663" customWidth="1"/>
    <col min="5637" max="5639" width="10.5546875" style="663" customWidth="1"/>
    <col min="5640" max="5888" width="8.88671875" style="663"/>
    <col min="5889" max="5892" width="11.5546875" style="663" customWidth="1"/>
    <col min="5893" max="5895" width="10.5546875" style="663" customWidth="1"/>
    <col min="5896" max="6144" width="8.88671875" style="663"/>
    <col min="6145" max="6148" width="11.5546875" style="663" customWidth="1"/>
    <col min="6149" max="6151" width="10.5546875" style="663" customWidth="1"/>
    <col min="6152" max="6400" width="8.88671875" style="663"/>
    <col min="6401" max="6404" width="11.5546875" style="663" customWidth="1"/>
    <col min="6405" max="6407" width="10.5546875" style="663" customWidth="1"/>
    <col min="6408" max="6656" width="8.88671875" style="663"/>
    <col min="6657" max="6660" width="11.5546875" style="663" customWidth="1"/>
    <col min="6661" max="6663" width="10.5546875" style="663" customWidth="1"/>
    <col min="6664" max="6912" width="8.88671875" style="663"/>
    <col min="6913" max="6916" width="11.5546875" style="663" customWidth="1"/>
    <col min="6917" max="6919" width="10.5546875" style="663" customWidth="1"/>
    <col min="6920" max="7168" width="8.88671875" style="663"/>
    <col min="7169" max="7172" width="11.5546875" style="663" customWidth="1"/>
    <col min="7173" max="7175" width="10.5546875" style="663" customWidth="1"/>
    <col min="7176" max="7424" width="8.88671875" style="663"/>
    <col min="7425" max="7428" width="11.5546875" style="663" customWidth="1"/>
    <col min="7429" max="7431" width="10.5546875" style="663" customWidth="1"/>
    <col min="7432" max="7680" width="8.88671875" style="663"/>
    <col min="7681" max="7684" width="11.5546875" style="663" customWidth="1"/>
    <col min="7685" max="7687" width="10.5546875" style="663" customWidth="1"/>
    <col min="7688" max="7936" width="8.88671875" style="663"/>
    <col min="7937" max="7940" width="11.5546875" style="663" customWidth="1"/>
    <col min="7941" max="7943" width="10.5546875" style="663" customWidth="1"/>
    <col min="7944" max="8192" width="8.88671875" style="663"/>
    <col min="8193" max="8196" width="11.5546875" style="663" customWidth="1"/>
    <col min="8197" max="8199" width="10.5546875" style="663" customWidth="1"/>
    <col min="8200" max="8448" width="8.88671875" style="663"/>
    <col min="8449" max="8452" width="11.5546875" style="663" customWidth="1"/>
    <col min="8453" max="8455" width="10.5546875" style="663" customWidth="1"/>
    <col min="8456" max="8704" width="8.88671875" style="663"/>
    <col min="8705" max="8708" width="11.5546875" style="663" customWidth="1"/>
    <col min="8709" max="8711" width="10.5546875" style="663" customWidth="1"/>
    <col min="8712" max="8960" width="8.88671875" style="663"/>
    <col min="8961" max="8964" width="11.5546875" style="663" customWidth="1"/>
    <col min="8965" max="8967" width="10.5546875" style="663" customWidth="1"/>
    <col min="8968" max="9216" width="8.88671875" style="663"/>
    <col min="9217" max="9220" width="11.5546875" style="663" customWidth="1"/>
    <col min="9221" max="9223" width="10.5546875" style="663" customWidth="1"/>
    <col min="9224" max="9472" width="8.88671875" style="663"/>
    <col min="9473" max="9476" width="11.5546875" style="663" customWidth="1"/>
    <col min="9477" max="9479" width="10.5546875" style="663" customWidth="1"/>
    <col min="9480" max="9728" width="8.88671875" style="663"/>
    <col min="9729" max="9732" width="11.5546875" style="663" customWidth="1"/>
    <col min="9733" max="9735" width="10.5546875" style="663" customWidth="1"/>
    <col min="9736" max="9984" width="8.88671875" style="663"/>
    <col min="9985" max="9988" width="11.5546875" style="663" customWidth="1"/>
    <col min="9989" max="9991" width="10.5546875" style="663" customWidth="1"/>
    <col min="9992" max="10240" width="8.88671875" style="663"/>
    <col min="10241" max="10244" width="11.5546875" style="663" customWidth="1"/>
    <col min="10245" max="10247" width="10.5546875" style="663" customWidth="1"/>
    <col min="10248" max="10496" width="8.88671875" style="663"/>
    <col min="10497" max="10500" width="11.5546875" style="663" customWidth="1"/>
    <col min="10501" max="10503" width="10.5546875" style="663" customWidth="1"/>
    <col min="10504" max="10752" width="8.88671875" style="663"/>
    <col min="10753" max="10756" width="11.5546875" style="663" customWidth="1"/>
    <col min="10757" max="10759" width="10.5546875" style="663" customWidth="1"/>
    <col min="10760" max="11008" width="8.88671875" style="663"/>
    <col min="11009" max="11012" width="11.5546875" style="663" customWidth="1"/>
    <col min="11013" max="11015" width="10.5546875" style="663" customWidth="1"/>
    <col min="11016" max="11264" width="8.88671875" style="663"/>
    <col min="11265" max="11268" width="11.5546875" style="663" customWidth="1"/>
    <col min="11269" max="11271" width="10.5546875" style="663" customWidth="1"/>
    <col min="11272" max="11520" width="8.88671875" style="663"/>
    <col min="11521" max="11524" width="11.5546875" style="663" customWidth="1"/>
    <col min="11525" max="11527" width="10.5546875" style="663" customWidth="1"/>
    <col min="11528" max="11776" width="8.88671875" style="663"/>
    <col min="11777" max="11780" width="11.5546875" style="663" customWidth="1"/>
    <col min="11781" max="11783" width="10.5546875" style="663" customWidth="1"/>
    <col min="11784" max="12032" width="8.88671875" style="663"/>
    <col min="12033" max="12036" width="11.5546875" style="663" customWidth="1"/>
    <col min="12037" max="12039" width="10.5546875" style="663" customWidth="1"/>
    <col min="12040" max="12288" width="8.88671875" style="663"/>
    <col min="12289" max="12292" width="11.5546875" style="663" customWidth="1"/>
    <col min="12293" max="12295" width="10.5546875" style="663" customWidth="1"/>
    <col min="12296" max="12544" width="8.88671875" style="663"/>
    <col min="12545" max="12548" width="11.5546875" style="663" customWidth="1"/>
    <col min="12549" max="12551" width="10.5546875" style="663" customWidth="1"/>
    <col min="12552" max="12800" width="8.88671875" style="663"/>
    <col min="12801" max="12804" width="11.5546875" style="663" customWidth="1"/>
    <col min="12805" max="12807" width="10.5546875" style="663" customWidth="1"/>
    <col min="12808" max="13056" width="8.88671875" style="663"/>
    <col min="13057" max="13060" width="11.5546875" style="663" customWidth="1"/>
    <col min="13061" max="13063" width="10.5546875" style="663" customWidth="1"/>
    <col min="13064" max="13312" width="8.88671875" style="663"/>
    <col min="13313" max="13316" width="11.5546875" style="663" customWidth="1"/>
    <col min="13317" max="13319" width="10.5546875" style="663" customWidth="1"/>
    <col min="13320" max="13568" width="8.88671875" style="663"/>
    <col min="13569" max="13572" width="11.5546875" style="663" customWidth="1"/>
    <col min="13573" max="13575" width="10.5546875" style="663" customWidth="1"/>
    <col min="13576" max="13824" width="8.88671875" style="663"/>
    <col min="13825" max="13828" width="11.5546875" style="663" customWidth="1"/>
    <col min="13829" max="13831" width="10.5546875" style="663" customWidth="1"/>
    <col min="13832" max="14080" width="8.88671875" style="663"/>
    <col min="14081" max="14084" width="11.5546875" style="663" customWidth="1"/>
    <col min="14085" max="14087" width="10.5546875" style="663" customWidth="1"/>
    <col min="14088" max="14336" width="8.88671875" style="663"/>
    <col min="14337" max="14340" width="11.5546875" style="663" customWidth="1"/>
    <col min="14341" max="14343" width="10.5546875" style="663" customWidth="1"/>
    <col min="14344" max="14592" width="8.88671875" style="663"/>
    <col min="14593" max="14596" width="11.5546875" style="663" customWidth="1"/>
    <col min="14597" max="14599" width="10.5546875" style="663" customWidth="1"/>
    <col min="14600" max="14848" width="8.88671875" style="663"/>
    <col min="14849" max="14852" width="11.5546875" style="663" customWidth="1"/>
    <col min="14853" max="14855" width="10.5546875" style="663" customWidth="1"/>
    <col min="14856" max="15104" width="8.88671875" style="663"/>
    <col min="15105" max="15108" width="11.5546875" style="663" customWidth="1"/>
    <col min="15109" max="15111" width="10.5546875" style="663" customWidth="1"/>
    <col min="15112" max="15360" width="8.88671875" style="663"/>
    <col min="15361" max="15364" width="11.5546875" style="663" customWidth="1"/>
    <col min="15365" max="15367" width="10.5546875" style="663" customWidth="1"/>
    <col min="15368" max="15616" width="8.88671875" style="663"/>
    <col min="15617" max="15620" width="11.5546875" style="663" customWidth="1"/>
    <col min="15621" max="15623" width="10.5546875" style="663" customWidth="1"/>
    <col min="15624" max="15872" width="8.88671875" style="663"/>
    <col min="15873" max="15876" width="11.5546875" style="663" customWidth="1"/>
    <col min="15877" max="15879" width="10.5546875" style="663" customWidth="1"/>
    <col min="15880" max="16128" width="8.88671875" style="663"/>
    <col min="16129" max="16132" width="11.5546875" style="663" customWidth="1"/>
    <col min="16133" max="16135" width="10.5546875" style="663" customWidth="1"/>
    <col min="16136" max="16384" width="8.88671875" style="663"/>
  </cols>
  <sheetData>
    <row r="1" spans="1:7" ht="18.75" x14ac:dyDescent="0.3">
      <c r="A1" s="857" t="s">
        <v>703</v>
      </c>
      <c r="B1" s="857"/>
      <c r="C1" s="857"/>
      <c r="D1" s="857"/>
      <c r="E1" s="857"/>
      <c r="F1" s="857"/>
      <c r="G1" s="857"/>
    </row>
    <row r="2" spans="1:7" x14ac:dyDescent="0.25">
      <c r="A2" s="664"/>
      <c r="B2" s="664"/>
      <c r="C2" s="664"/>
      <c r="D2" s="664"/>
      <c r="E2" s="664"/>
      <c r="F2" s="664"/>
      <c r="G2" s="664"/>
    </row>
    <row r="3" spans="1:7" ht="32.25" customHeight="1" x14ac:dyDescent="0.25">
      <c r="A3" s="858" t="s">
        <v>704</v>
      </c>
      <c r="B3" s="858"/>
      <c r="C3" s="858"/>
      <c r="D3" s="858"/>
      <c r="E3" s="858"/>
      <c r="F3" s="858"/>
      <c r="G3" s="858"/>
    </row>
    <row r="4" spans="1:7" ht="8.25" customHeight="1" x14ac:dyDescent="0.25">
      <c r="A4" s="665"/>
      <c r="B4" s="665"/>
      <c r="C4" s="665"/>
      <c r="D4" s="665"/>
      <c r="E4" s="665"/>
      <c r="F4" s="665"/>
      <c r="G4" s="665"/>
    </row>
    <row r="5" spans="1:7" x14ac:dyDescent="0.25">
      <c r="A5" s="859" t="s">
        <v>705</v>
      </c>
      <c r="B5" s="859"/>
      <c r="C5" s="859"/>
      <c r="D5" s="859"/>
      <c r="E5" s="859"/>
      <c r="F5" s="859"/>
      <c r="G5" s="859"/>
    </row>
    <row r="6" spans="1:7" ht="8.25" customHeight="1" x14ac:dyDescent="0.25">
      <c r="A6" s="666"/>
      <c r="B6" s="666"/>
      <c r="C6" s="666"/>
      <c r="D6" s="666"/>
      <c r="E6" s="666"/>
      <c r="F6" s="666"/>
      <c r="G6" s="666"/>
    </row>
    <row r="7" spans="1:7" x14ac:dyDescent="0.25">
      <c r="A7" s="859" t="s">
        <v>706</v>
      </c>
      <c r="B7" s="859"/>
      <c r="C7" s="859"/>
      <c r="D7" s="859"/>
      <c r="E7" s="859"/>
      <c r="F7" s="859"/>
      <c r="G7" s="859"/>
    </row>
    <row r="8" spans="1:7" x14ac:dyDescent="0.25">
      <c r="A8" s="666"/>
      <c r="B8" s="666"/>
      <c r="C8" s="666"/>
      <c r="D8" s="666"/>
      <c r="E8" s="666"/>
      <c r="F8" s="666"/>
      <c r="G8" s="666"/>
    </row>
    <row r="9" spans="1:7" ht="22.5" customHeight="1" x14ac:dyDescent="0.25">
      <c r="A9" s="860" t="s">
        <v>707</v>
      </c>
      <c r="B9" s="861"/>
      <c r="C9" s="861"/>
      <c r="D9" s="862"/>
      <c r="E9" s="667" t="s">
        <v>708</v>
      </c>
      <c r="F9" s="667" t="s">
        <v>709</v>
      </c>
      <c r="G9" s="667" t="s">
        <v>710</v>
      </c>
    </row>
    <row r="10" spans="1:7" ht="22.5" customHeight="1" x14ac:dyDescent="0.25">
      <c r="A10" s="854"/>
      <c r="B10" s="855"/>
      <c r="C10" s="855"/>
      <c r="D10" s="856"/>
      <c r="E10" s="668"/>
      <c r="F10" s="668"/>
      <c r="G10" s="668"/>
    </row>
    <row r="11" spans="1:7" ht="22.5" customHeight="1" x14ac:dyDescent="0.25">
      <c r="A11" s="854"/>
      <c r="B11" s="855"/>
      <c r="C11" s="855"/>
      <c r="D11" s="856"/>
      <c r="E11" s="668"/>
      <c r="F11" s="668"/>
      <c r="G11" s="668"/>
    </row>
    <row r="12" spans="1:7" ht="22.5" customHeight="1" x14ac:dyDescent="0.25">
      <c r="A12" s="850"/>
      <c r="B12" s="850"/>
      <c r="C12" s="850"/>
      <c r="D12" s="850"/>
      <c r="E12" s="668"/>
      <c r="F12" s="668"/>
      <c r="G12" s="668"/>
    </row>
    <row r="13" spans="1:7" ht="22.5" customHeight="1" x14ac:dyDescent="0.25">
      <c r="A13" s="850"/>
      <c r="B13" s="850"/>
      <c r="C13" s="850"/>
      <c r="D13" s="850"/>
      <c r="E13" s="668"/>
      <c r="F13" s="668"/>
      <c r="G13" s="668"/>
    </row>
    <row r="14" spans="1:7" ht="22.5" customHeight="1" x14ac:dyDescent="0.25">
      <c r="A14" s="850"/>
      <c r="B14" s="850"/>
      <c r="C14" s="850"/>
      <c r="D14" s="850"/>
      <c r="E14" s="668"/>
      <c r="F14" s="668"/>
      <c r="G14" s="668"/>
    </row>
    <row r="15" spans="1:7" ht="22.5" customHeight="1" x14ac:dyDescent="0.25">
      <c r="A15" s="850"/>
      <c r="B15" s="850"/>
      <c r="C15" s="850"/>
      <c r="D15" s="850"/>
      <c r="E15" s="668"/>
      <c r="F15" s="668"/>
      <c r="G15" s="668"/>
    </row>
    <row r="16" spans="1:7" ht="22.5" customHeight="1" x14ac:dyDescent="0.25">
      <c r="A16" s="850"/>
      <c r="B16" s="850"/>
      <c r="C16" s="850"/>
      <c r="D16" s="850"/>
      <c r="E16" s="668"/>
      <c r="F16" s="668"/>
      <c r="G16" s="668"/>
    </row>
    <row r="17" spans="1:7" ht="22.5" customHeight="1" x14ac:dyDescent="0.25">
      <c r="A17" s="850"/>
      <c r="B17" s="850"/>
      <c r="C17" s="850"/>
      <c r="D17" s="850"/>
      <c r="E17" s="668"/>
      <c r="F17" s="668"/>
      <c r="G17" s="668"/>
    </row>
    <row r="18" spans="1:7" ht="22.5" customHeight="1" thickBot="1" x14ac:dyDescent="0.3">
      <c r="A18" s="851"/>
      <c r="B18" s="851"/>
      <c r="C18" s="851"/>
      <c r="D18" s="851"/>
      <c r="E18" s="669"/>
      <c r="F18" s="669"/>
      <c r="G18" s="669"/>
    </row>
    <row r="19" spans="1:7" ht="22.5" customHeight="1" thickTop="1" x14ac:dyDescent="0.25">
      <c r="A19" s="852" t="s">
        <v>158</v>
      </c>
      <c r="B19" s="852"/>
      <c r="C19" s="852"/>
      <c r="D19" s="852"/>
      <c r="E19" s="670"/>
      <c r="F19" s="670"/>
      <c r="G19" s="670"/>
    </row>
    <row r="21" spans="1:7" x14ac:dyDescent="0.25">
      <c r="A21" s="671" t="s">
        <v>711</v>
      </c>
      <c r="B21" s="672"/>
    </row>
    <row r="22" spans="1:7" x14ac:dyDescent="0.25">
      <c r="A22" s="853"/>
      <c r="B22" s="853"/>
      <c r="C22" s="853"/>
    </row>
  </sheetData>
  <sheetProtection sheet="1" objects="1" scenarios="1"/>
  <mergeCells count="16">
    <mergeCell ref="A10:D10"/>
    <mergeCell ref="A1:G1"/>
    <mergeCell ref="A3:G3"/>
    <mergeCell ref="A5:G5"/>
    <mergeCell ref="A7:G7"/>
    <mergeCell ref="A9:D9"/>
    <mergeCell ref="A17:D17"/>
    <mergeCell ref="A18:D18"/>
    <mergeCell ref="A19:D19"/>
    <mergeCell ref="A22:C22"/>
    <mergeCell ref="A11:D11"/>
    <mergeCell ref="A12:D12"/>
    <mergeCell ref="A13:D13"/>
    <mergeCell ref="A14:D14"/>
    <mergeCell ref="A15:D15"/>
    <mergeCell ref="A16:D16"/>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G16"/>
  <sheetViews>
    <sheetView workbookViewId="0">
      <selection activeCell="H1" sqref="H1"/>
    </sheetView>
  </sheetViews>
  <sheetFormatPr defaultRowHeight="15.75" x14ac:dyDescent="0.25"/>
  <cols>
    <col min="1" max="1" width="8.88671875" style="1"/>
    <col min="4" max="4" width="18" customWidth="1"/>
    <col min="7" max="7" width="12.77734375" customWidth="1"/>
  </cols>
  <sheetData>
    <row r="1" spans="1:7" x14ac:dyDescent="0.25">
      <c r="A1" s="849" t="s">
        <v>675</v>
      </c>
      <c r="B1" s="849"/>
      <c r="C1" s="849"/>
      <c r="D1" s="849"/>
      <c r="E1" s="849"/>
      <c r="F1" s="849"/>
      <c r="G1" s="849"/>
    </row>
    <row r="3" spans="1:7" ht="55.5" customHeight="1" x14ac:dyDescent="0.25">
      <c r="A3" s="863" t="s">
        <v>676</v>
      </c>
      <c r="B3" s="863"/>
      <c r="C3" s="863"/>
      <c r="D3" s="863"/>
      <c r="E3" s="863"/>
      <c r="F3" s="863"/>
      <c r="G3" s="863"/>
    </row>
    <row r="4" spans="1:7" ht="55.5" customHeight="1" x14ac:dyDescent="0.25">
      <c r="A4" s="864" t="s">
        <v>677</v>
      </c>
      <c r="B4" s="864"/>
      <c r="C4" s="864"/>
      <c r="D4" s="864"/>
      <c r="E4" s="864"/>
      <c r="F4" s="864"/>
      <c r="G4" s="864"/>
    </row>
    <row r="5" spans="1:7" ht="55.5" customHeight="1" x14ac:dyDescent="0.25">
      <c r="A5" s="864" t="s">
        <v>678</v>
      </c>
      <c r="B5" s="864"/>
      <c r="C5" s="864"/>
      <c r="D5" s="864"/>
      <c r="E5" s="864"/>
      <c r="F5" s="864"/>
      <c r="G5" s="864"/>
    </row>
    <row r="6" spans="1:7" ht="55.5" customHeight="1" x14ac:dyDescent="0.25">
      <c r="A6" s="864" t="s">
        <v>679</v>
      </c>
      <c r="B6" s="864"/>
      <c r="C6" s="864"/>
      <c r="D6" s="864"/>
      <c r="E6" s="864"/>
      <c r="F6" s="864"/>
      <c r="G6" s="864"/>
    </row>
    <row r="7" spans="1:7" ht="55.5" customHeight="1" x14ac:dyDescent="0.25">
      <c r="A7" s="864" t="s">
        <v>680</v>
      </c>
      <c r="B7" s="864"/>
      <c r="C7" s="864"/>
      <c r="D7" s="864"/>
      <c r="E7" s="864"/>
      <c r="F7" s="864"/>
      <c r="G7" s="864"/>
    </row>
    <row r="8" spans="1:7" ht="55.5" customHeight="1" x14ac:dyDescent="0.25">
      <c r="A8" s="863" t="s">
        <v>681</v>
      </c>
      <c r="B8" s="863"/>
      <c r="C8" s="863"/>
      <c r="D8" s="863"/>
      <c r="E8" s="863"/>
      <c r="F8" s="863"/>
      <c r="G8" s="863"/>
    </row>
    <row r="9" spans="1:7" ht="55.5" customHeight="1" x14ac:dyDescent="0.25">
      <c r="A9" s="864" t="s">
        <v>682</v>
      </c>
      <c r="B9" s="864"/>
      <c r="C9" s="864"/>
      <c r="D9" s="864"/>
      <c r="E9" s="864"/>
      <c r="F9" s="864"/>
      <c r="G9" s="864"/>
    </row>
    <row r="10" spans="1:7" ht="55.5" customHeight="1" x14ac:dyDescent="0.25">
      <c r="A10" s="864" t="s">
        <v>683</v>
      </c>
      <c r="B10" s="864"/>
      <c r="C10" s="864"/>
      <c r="D10" s="864"/>
      <c r="E10" s="864"/>
      <c r="F10" s="864"/>
      <c r="G10" s="864"/>
    </row>
    <row r="11" spans="1:7" ht="55.5" customHeight="1" x14ac:dyDescent="0.25">
      <c r="A11" s="864" t="s">
        <v>684</v>
      </c>
      <c r="B11" s="864"/>
      <c r="C11" s="864"/>
      <c r="D11" s="864"/>
      <c r="E11" s="864"/>
      <c r="F11" s="864"/>
      <c r="G11" s="864"/>
    </row>
    <row r="12" spans="1:7" ht="15.75" customHeight="1" x14ac:dyDescent="0.25">
      <c r="A12" s="848" t="s">
        <v>685</v>
      </c>
      <c r="B12" s="848"/>
      <c r="C12" s="848"/>
      <c r="D12" s="848"/>
      <c r="E12" s="848"/>
      <c r="F12" s="848"/>
      <c r="G12" s="848"/>
    </row>
    <row r="13" spans="1:7" ht="15.75" customHeight="1" x14ac:dyDescent="0.25">
      <c r="A13" s="848" t="s">
        <v>686</v>
      </c>
      <c r="B13" s="848"/>
      <c r="C13" s="848"/>
      <c r="D13" s="848"/>
      <c r="E13" s="848"/>
      <c r="F13" s="848"/>
      <c r="G13" s="848"/>
    </row>
    <row r="14" spans="1:7" ht="15.75" customHeight="1" x14ac:dyDescent="0.25">
      <c r="A14" s="848" t="s">
        <v>687</v>
      </c>
      <c r="B14" s="848"/>
      <c r="C14" s="848"/>
      <c r="D14" s="848"/>
      <c r="E14" s="848"/>
      <c r="F14" s="848"/>
      <c r="G14" s="848"/>
    </row>
    <row r="15" spans="1:7" ht="15.75" customHeight="1" x14ac:dyDescent="0.25">
      <c r="A15" s="848" t="s">
        <v>688</v>
      </c>
      <c r="B15" s="848"/>
      <c r="C15" s="848"/>
      <c r="D15" s="848"/>
      <c r="E15" s="848"/>
      <c r="F15" s="848"/>
      <c r="G15" s="848"/>
    </row>
    <row r="16" spans="1:7" ht="15.75" customHeight="1" x14ac:dyDescent="0.25">
      <c r="A16" s="848" t="s">
        <v>689</v>
      </c>
      <c r="B16" s="848"/>
      <c r="C16" s="848"/>
      <c r="D16" s="848"/>
      <c r="E16" s="848"/>
      <c r="F16" s="848"/>
      <c r="G16" s="848"/>
    </row>
  </sheetData>
  <sheetProtection sheet="1" objects="1" scenarios="1"/>
  <mergeCells count="15">
    <mergeCell ref="A7:G7"/>
    <mergeCell ref="A1:G1"/>
    <mergeCell ref="A3:G3"/>
    <mergeCell ref="A4:G4"/>
    <mergeCell ref="A5:G5"/>
    <mergeCell ref="A6:G6"/>
    <mergeCell ref="A14:G14"/>
    <mergeCell ref="A15:G15"/>
    <mergeCell ref="A16:G16"/>
    <mergeCell ref="A8:G8"/>
    <mergeCell ref="A9:G9"/>
    <mergeCell ref="A10:G10"/>
    <mergeCell ref="A11:G11"/>
    <mergeCell ref="A12:G12"/>
    <mergeCell ref="A13:G1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487A0-FF93-40FF-9F83-1D79A4638983}">
  <sheetPr codeName="Sheet261">
    <tabColor rgb="FFFF0000"/>
  </sheetPr>
  <dimension ref="A1:L64"/>
  <sheetViews>
    <sheetView workbookViewId="0">
      <selection activeCell="A58" sqref="A58"/>
    </sheetView>
  </sheetViews>
  <sheetFormatPr defaultRowHeight="15.75" x14ac:dyDescent="0.25"/>
  <cols>
    <col min="1" max="1" width="67" style="1" customWidth="1"/>
  </cols>
  <sheetData>
    <row r="1" spans="1:12" ht="15.75" customHeight="1" x14ac:dyDescent="0.2">
      <c r="A1" s="865" t="s">
        <v>649</v>
      </c>
    </row>
    <row r="2" spans="1:12" ht="15.75" customHeight="1" x14ac:dyDescent="0.2">
      <c r="A2" s="866"/>
    </row>
    <row r="3" spans="1:12" x14ac:dyDescent="0.25">
      <c r="A3" s="646" t="s">
        <v>287</v>
      </c>
      <c r="B3" s="302"/>
      <c r="C3" s="302"/>
      <c r="D3" s="302"/>
      <c r="E3" s="302"/>
      <c r="F3" s="302"/>
      <c r="G3" s="302"/>
      <c r="H3" s="302"/>
      <c r="I3" s="302"/>
      <c r="J3" s="302"/>
      <c r="K3" s="302"/>
      <c r="L3" s="302"/>
    </row>
    <row r="5" spans="1:12" x14ac:dyDescent="0.25">
      <c r="A5" s="1" t="str">
        <f>CONCATENATE("Welcome. You have been directed to this tab because your ",inputPrYr!C10-2," total expenditures exceed your ")</f>
        <v xml:space="preserve">Welcome. You have been directed to this tab because your 2023 total expenditures exceed your </v>
      </c>
    </row>
    <row r="6" spans="1:12" x14ac:dyDescent="0.25">
      <c r="A6" s="1" t="str">
        <f>CONCATENATE(inputPrYr!C10-2," budget authority.")</f>
        <v>2023 budget authority.</v>
      </c>
    </row>
    <row r="8" spans="1:12" x14ac:dyDescent="0.25">
      <c r="A8" s="1" t="s">
        <v>712</v>
      </c>
    </row>
    <row r="9" spans="1:12" x14ac:dyDescent="0.25">
      <c r="A9" s="1" t="s">
        <v>713</v>
      </c>
    </row>
    <row r="11" spans="1:12" x14ac:dyDescent="0.25">
      <c r="A11" s="647" t="s">
        <v>288</v>
      </c>
    </row>
    <row r="13" spans="1:12" x14ac:dyDescent="0.25">
      <c r="A13" s="1" t="s">
        <v>714</v>
      </c>
    </row>
    <row r="14" spans="1:12" x14ac:dyDescent="0.25">
      <c r="A14" s="1" t="str">
        <f>CONCATENATE("or the ",inputPrYr!C6," adopted budget has not been submitted to the county clerk) then the budget violation")</f>
        <v>or the  adopted budget has not been submitted to the county clerk) then the budget violation</v>
      </c>
    </row>
    <row r="15" spans="1:12" x14ac:dyDescent="0.25">
      <c r="A15" s="1" t="s">
        <v>715</v>
      </c>
    </row>
    <row r="17" spans="1:1" x14ac:dyDescent="0.25">
      <c r="A17" s="647" t="s">
        <v>289</v>
      </c>
    </row>
    <row r="18" spans="1:1" x14ac:dyDescent="0.25">
      <c r="A18" s="647"/>
    </row>
    <row r="19" spans="1:1" x14ac:dyDescent="0.25">
      <c r="A19" s="1" t="s">
        <v>716</v>
      </c>
    </row>
    <row r="20" spans="1:1" x14ac:dyDescent="0.25">
      <c r="A20" s="1" t="str">
        <f>CONCATENATE("entered for this particular fund.  If your ",inputPrYr!C10-2," budget was amended, did you use the amended,")</f>
        <v>entered for this particular fund.  If your 2023 budget was amended, did you use the amended,</v>
      </c>
    </row>
    <row r="21" spans="1:1" x14ac:dyDescent="0.25">
      <c r="A21" s="1" t="s">
        <v>717</v>
      </c>
    </row>
    <row r="23" spans="1:1" x14ac:dyDescent="0.25">
      <c r="A23" s="1" t="str">
        <f>CONCATENATE("Next, look to see if any of your ",inputPrYr!C10-2," expenditures can be reduced or eliminated. For example,")</f>
        <v>Next, look to see if any of your 2023 expenditures can be reduced or eliminated. For example,</v>
      </c>
    </row>
    <row r="24" spans="1:1" x14ac:dyDescent="0.25">
      <c r="A24" s="1" t="s">
        <v>718</v>
      </c>
    </row>
    <row r="25" spans="1:1" x14ac:dyDescent="0.25">
      <c r="A25" s="1" t="s">
        <v>719</v>
      </c>
    </row>
    <row r="27" spans="1:1" x14ac:dyDescent="0.25">
      <c r="A27" s="1" t="str">
        <f>CONCATENATE("Additionally, do your ",inputPrYr!C10-2," receipts contain a reimbursement (e.g. FEMA)? If so, instead of")</f>
        <v>Additionally, do your 2023 receipts contain a reimbursement (e.g. FEMA)? If so, instead of</v>
      </c>
    </row>
    <row r="28" spans="1:1" x14ac:dyDescent="0.25">
      <c r="A28" s="1" t="s">
        <v>720</v>
      </c>
    </row>
    <row r="30" spans="1:1" x14ac:dyDescent="0.25">
      <c r="A30" s="1" t="s">
        <v>721</v>
      </c>
    </row>
    <row r="31" spans="1:1" x14ac:dyDescent="0.25">
      <c r="A31" s="1" t="s">
        <v>722</v>
      </c>
    </row>
    <row r="32" spans="1:1" x14ac:dyDescent="0.25">
      <c r="A32" s="1" t="s">
        <v>723</v>
      </c>
    </row>
    <row r="33" spans="1:1" x14ac:dyDescent="0.25">
      <c r="A33" s="1" t="s">
        <v>724</v>
      </c>
    </row>
    <row r="34" spans="1:1" x14ac:dyDescent="0.25">
      <c r="A34" s="1" t="s">
        <v>290</v>
      </c>
    </row>
    <row r="36" spans="1:1" x14ac:dyDescent="0.25">
      <c r="A36" s="1" t="s">
        <v>725</v>
      </c>
    </row>
    <row r="37" spans="1:1" x14ac:dyDescent="0.25">
      <c r="A37" s="1" t="s">
        <v>726</v>
      </c>
    </row>
    <row r="39" spans="1:1" x14ac:dyDescent="0.25">
      <c r="A39" s="1" t="s">
        <v>727</v>
      </c>
    </row>
    <row r="40" spans="1:1" x14ac:dyDescent="0.25">
      <c r="A40" s="1" t="s">
        <v>728</v>
      </c>
    </row>
    <row r="42" spans="1:1" x14ac:dyDescent="0.25">
      <c r="A42" s="647" t="s">
        <v>291</v>
      </c>
    </row>
    <row r="44" spans="1:1" x14ac:dyDescent="0.25">
      <c r="A44" s="1" t="s">
        <v>729</v>
      </c>
    </row>
    <row r="45" spans="1:1" x14ac:dyDescent="0.25">
      <c r="A45" s="1" t="s">
        <v>730</v>
      </c>
    </row>
    <row r="46" spans="1:1" x14ac:dyDescent="0.25">
      <c r="A46" s="1" t="s">
        <v>731</v>
      </c>
    </row>
    <row r="47" spans="1:1" x14ac:dyDescent="0.25">
      <c r="A47" s="1" t="s">
        <v>732</v>
      </c>
    </row>
    <row r="48" spans="1:1" x14ac:dyDescent="0.25">
      <c r="A48" s="1" t="s">
        <v>733</v>
      </c>
    </row>
    <row r="49" spans="1:1" x14ac:dyDescent="0.25">
      <c r="A49" s="1" t="s">
        <v>734</v>
      </c>
    </row>
    <row r="50" spans="1:1" x14ac:dyDescent="0.25">
      <c r="A50" s="1" t="s">
        <v>735</v>
      </c>
    </row>
    <row r="51" spans="1:1" x14ac:dyDescent="0.25">
      <c r="A51" s="1" t="s">
        <v>736</v>
      </c>
    </row>
    <row r="53" spans="1:1" x14ac:dyDescent="0.25">
      <c r="A53" s="1" t="s">
        <v>737</v>
      </c>
    </row>
    <row r="54" spans="1:1" x14ac:dyDescent="0.25">
      <c r="A54" s="1" t="s">
        <v>738</v>
      </c>
    </row>
    <row r="56" spans="1:1" x14ac:dyDescent="0.25">
      <c r="A56" s="647" t="str">
        <f>CONCATENATE("What if the ",inputPrYr!C10-2," financial records have been closed?")</f>
        <v>What if the 2023 financial records have been closed?</v>
      </c>
    </row>
    <row r="57" spans="1:1" x14ac:dyDescent="0.25">
      <c r="A57" s="1" t="s">
        <v>143</v>
      </c>
    </row>
    <row r="58" spans="1:1" x14ac:dyDescent="0.25">
      <c r="A58" s="1" t="str">
        <f>CONCATENATE("If the municipality financial records have been closed (i.e. an audit for ",inputPrYr!C10-2," has been completed, or")</f>
        <v>If the municipality financial records have been closed (i.e. an audit for 2023 has been completed, or</v>
      </c>
    </row>
    <row r="59" spans="1:1" x14ac:dyDescent="0.25">
      <c r="A59" s="1" t="str">
        <f>CONCATENATE("the ",inputPrYr!C6," the violation cannot be fixed and must be shown as it occurred. ")</f>
        <v xml:space="preserve">the  the violation cannot be fixed and must be shown as it occurred. </v>
      </c>
    </row>
    <row r="61" spans="1:1" x14ac:dyDescent="0.25">
      <c r="A61" s="1" t="s">
        <v>739</v>
      </c>
    </row>
    <row r="62" spans="1:1" x14ac:dyDescent="0.25">
      <c r="A62" s="1" t="s">
        <v>740</v>
      </c>
    </row>
    <row r="64" spans="1:1" x14ac:dyDescent="0.25">
      <c r="A64" s="1" t="s">
        <v>292</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BF63-C255-48FC-A8E8-52E6626F3ACD}">
  <sheetPr codeName="Sheet271">
    <tabColor rgb="FFFF0000"/>
  </sheetPr>
  <dimension ref="A1:J92"/>
  <sheetViews>
    <sheetView workbookViewId="0">
      <selection activeCell="A5" sqref="A5"/>
    </sheetView>
  </sheetViews>
  <sheetFormatPr defaultRowHeight="15.75" x14ac:dyDescent="0.25"/>
  <cols>
    <col min="1" max="1" width="66.77734375" style="1" customWidth="1"/>
  </cols>
  <sheetData>
    <row r="1" spans="1:10" ht="15.75" customHeight="1" x14ac:dyDescent="0.2">
      <c r="A1" s="867" t="s">
        <v>650</v>
      </c>
    </row>
    <row r="2" spans="1:10" ht="15.75" customHeight="1" x14ac:dyDescent="0.2">
      <c r="A2" s="867"/>
    </row>
    <row r="3" spans="1:10" x14ac:dyDescent="0.25">
      <c r="A3" s="646" t="s">
        <v>293</v>
      </c>
      <c r="B3" s="302"/>
      <c r="C3" s="302"/>
      <c r="D3" s="302"/>
      <c r="E3" s="302"/>
      <c r="F3" s="302"/>
      <c r="G3" s="302"/>
      <c r="H3" s="304"/>
      <c r="I3" s="304"/>
      <c r="J3" s="304"/>
    </row>
    <row r="5" spans="1:10" x14ac:dyDescent="0.25">
      <c r="A5" s="1" t="str">
        <f>CONCATENATE("Welcome. You have been directed to this tab because your ",inputPrYr!C10-2," expenditures show that you ")</f>
        <v xml:space="preserve">Welcome. You have been directed to this tab because your 2023 expenditures show that you </v>
      </c>
    </row>
    <row r="6" spans="1:10" x14ac:dyDescent="0.25">
      <c r="A6" s="1" t="s">
        <v>741</v>
      </c>
    </row>
    <row r="8" spans="1:10" x14ac:dyDescent="0.25">
      <c r="A8" s="1" t="s">
        <v>742</v>
      </c>
    </row>
    <row r="9" spans="1:10" x14ac:dyDescent="0.25">
      <c r="A9" s="1" t="s">
        <v>296</v>
      </c>
    </row>
    <row r="11" spans="1:10" x14ac:dyDescent="0.25">
      <c r="A11" s="647" t="s">
        <v>294</v>
      </c>
    </row>
    <row r="12" spans="1:10" x14ac:dyDescent="0.25">
      <c r="A12" s="647"/>
    </row>
    <row r="13" spans="1:10" x14ac:dyDescent="0.25">
      <c r="A13" s="1" t="s">
        <v>743</v>
      </c>
    </row>
    <row r="14" spans="1:10" x14ac:dyDescent="0.25">
      <c r="A14" s="1" t="s">
        <v>744</v>
      </c>
    </row>
    <row r="16" spans="1:10" x14ac:dyDescent="0.25">
      <c r="A16" s="647" t="s">
        <v>295</v>
      </c>
    </row>
    <row r="17" spans="1:8" x14ac:dyDescent="0.25">
      <c r="A17" s="647"/>
    </row>
    <row r="18" spans="1:8" x14ac:dyDescent="0.25">
      <c r="A18" s="1" t="s">
        <v>745</v>
      </c>
    </row>
    <row r="19" spans="1:8" x14ac:dyDescent="0.25">
      <c r="A19" s="1" t="s">
        <v>746</v>
      </c>
    </row>
    <row r="21" spans="1:8" x14ac:dyDescent="0.25">
      <c r="A21" s="647" t="s">
        <v>747</v>
      </c>
    </row>
    <row r="22" spans="1:8" x14ac:dyDescent="0.25">
      <c r="A22" s="647"/>
    </row>
    <row r="23" spans="1:8" x14ac:dyDescent="0.25">
      <c r="A23" s="1" t="s">
        <v>748</v>
      </c>
    </row>
    <row r="24" spans="1:8" x14ac:dyDescent="0.25">
      <c r="A24" s="1" t="s">
        <v>749</v>
      </c>
    </row>
    <row r="26" spans="1:8" x14ac:dyDescent="0.25">
      <c r="A26" s="647" t="s">
        <v>297</v>
      </c>
    </row>
    <row r="27" spans="1:8" x14ac:dyDescent="0.25">
      <c r="A27" s="647"/>
    </row>
    <row r="28" spans="1:8" x14ac:dyDescent="0.25">
      <c r="A28" s="1" t="str">
        <f>CONCATENATE("If your financial records are not closed for ",inputPrYr!C10-2," (i.e.an audit has not been completed, or the")</f>
        <v>If your financial records are not closed for 2023 (i.e.an audit has not been completed, or the</v>
      </c>
      <c r="B28" s="303"/>
      <c r="C28" s="303"/>
      <c r="D28" s="303"/>
      <c r="E28" s="303"/>
      <c r="F28" s="303"/>
      <c r="G28" s="303"/>
      <c r="H28" s="303"/>
    </row>
    <row r="29" spans="1:8" x14ac:dyDescent="0.25">
      <c r="A29" s="1" t="str">
        <f>CONCATENATE(inputPrYr!C6," adopted budget has not been submitted to the county clerk) then either your fund receipts will")</f>
        <v xml:space="preserve"> adopted budget has not been submitted to the county clerk) then either your fund receipts will</v>
      </c>
      <c r="B29" s="303"/>
      <c r="C29" s="303"/>
      <c r="D29" s="303"/>
      <c r="E29" s="303"/>
      <c r="F29" s="303"/>
      <c r="G29" s="303"/>
      <c r="H29" s="303"/>
    </row>
    <row r="30" spans="1:8" x14ac:dyDescent="0.25">
      <c r="A30" s="1" t="s">
        <v>750</v>
      </c>
      <c r="B30" s="303"/>
      <c r="C30" s="303"/>
      <c r="D30" s="303"/>
      <c r="E30" s="303"/>
      <c r="F30" s="303"/>
      <c r="G30" s="303"/>
      <c r="H30" s="303"/>
    </row>
    <row r="31" spans="1:8" x14ac:dyDescent="0.25">
      <c r="A31" s="1" t="s">
        <v>751</v>
      </c>
      <c r="B31" s="303"/>
      <c r="C31" s="303"/>
      <c r="D31" s="303"/>
      <c r="E31" s="303"/>
      <c r="F31" s="303"/>
      <c r="G31" s="303"/>
      <c r="H31" s="303"/>
    </row>
    <row r="32" spans="1:8" x14ac:dyDescent="0.25">
      <c r="B32" s="303"/>
      <c r="C32" s="303"/>
      <c r="D32" s="303"/>
      <c r="E32" s="303"/>
      <c r="F32" s="303"/>
      <c r="G32" s="303"/>
      <c r="H32" s="303"/>
    </row>
    <row r="33" spans="1:8" x14ac:dyDescent="0.25">
      <c r="B33" s="303"/>
      <c r="C33" s="303"/>
      <c r="D33" s="303"/>
      <c r="E33" s="303"/>
      <c r="F33" s="303"/>
      <c r="G33" s="303"/>
      <c r="H33" s="303"/>
    </row>
    <row r="34" spans="1:8" x14ac:dyDescent="0.25">
      <c r="A34" s="1" t="s">
        <v>752</v>
      </c>
      <c r="B34" s="303"/>
      <c r="C34" s="303"/>
      <c r="D34" s="303"/>
      <c r="E34" s="303"/>
      <c r="F34" s="303"/>
      <c r="G34" s="303"/>
      <c r="H34" s="303"/>
    </row>
    <row r="35" spans="1:8" x14ac:dyDescent="0.25">
      <c r="A35" s="1" t="s">
        <v>753</v>
      </c>
      <c r="B35" s="303"/>
      <c r="C35" s="303"/>
      <c r="D35" s="303"/>
      <c r="E35" s="303"/>
      <c r="F35" s="303"/>
      <c r="G35" s="303"/>
      <c r="H35" s="303"/>
    </row>
    <row r="36" spans="1:8" x14ac:dyDescent="0.25">
      <c r="A36" s="1" t="s">
        <v>754</v>
      </c>
      <c r="B36" s="303"/>
      <c r="C36" s="303"/>
      <c r="D36" s="303"/>
      <c r="E36" s="303"/>
      <c r="F36" s="303"/>
      <c r="G36" s="303"/>
      <c r="H36" s="303"/>
    </row>
    <row r="37" spans="1:8" x14ac:dyDescent="0.25">
      <c r="B37" s="303"/>
      <c r="C37" s="303"/>
      <c r="D37" s="303"/>
      <c r="E37" s="303"/>
      <c r="F37" s="303"/>
      <c r="G37" s="303"/>
      <c r="H37" s="303"/>
    </row>
    <row r="38" spans="1:8" x14ac:dyDescent="0.25">
      <c r="A38" s="1" t="s">
        <v>755</v>
      </c>
      <c r="B38" s="303"/>
      <c r="C38" s="303"/>
      <c r="D38" s="303"/>
      <c r="E38" s="303"/>
      <c r="F38" s="303"/>
      <c r="G38" s="303"/>
      <c r="H38" s="303"/>
    </row>
    <row r="39" spans="1:8" x14ac:dyDescent="0.25">
      <c r="A39" s="1" t="s">
        <v>756</v>
      </c>
      <c r="B39" s="303"/>
      <c r="C39" s="303"/>
      <c r="D39" s="303"/>
      <c r="E39" s="303"/>
      <c r="F39" s="303"/>
      <c r="G39" s="303"/>
      <c r="H39" s="303"/>
    </row>
    <row r="40" spans="1:8" x14ac:dyDescent="0.25">
      <c r="A40" s="1" t="s">
        <v>757</v>
      </c>
      <c r="B40" s="303"/>
      <c r="C40" s="303"/>
      <c r="D40" s="303"/>
      <c r="E40" s="303"/>
      <c r="F40" s="303"/>
      <c r="G40" s="303"/>
      <c r="H40" s="303"/>
    </row>
    <row r="41" spans="1:8" x14ac:dyDescent="0.25">
      <c r="B41" s="303"/>
      <c r="C41" s="303"/>
      <c r="D41" s="303"/>
      <c r="E41" s="303"/>
      <c r="F41" s="303"/>
      <c r="G41" s="303"/>
      <c r="H41" s="303"/>
    </row>
    <row r="42" spans="1:8" x14ac:dyDescent="0.25">
      <c r="A42" s="647" t="s">
        <v>758</v>
      </c>
      <c r="B42" s="304"/>
      <c r="C42" s="304"/>
      <c r="D42" s="304"/>
      <c r="E42" s="304"/>
      <c r="F42" s="304"/>
      <c r="G42" s="304"/>
      <c r="H42" s="303"/>
    </row>
    <row r="43" spans="1:8" x14ac:dyDescent="0.25">
      <c r="B43" s="303"/>
      <c r="C43" s="303"/>
      <c r="D43" s="303"/>
      <c r="E43" s="303"/>
      <c r="F43" s="303"/>
      <c r="G43" s="303"/>
      <c r="H43" s="303"/>
    </row>
    <row r="44" spans="1:8" x14ac:dyDescent="0.25">
      <c r="A44" s="1" t="s">
        <v>759</v>
      </c>
      <c r="B44" s="303"/>
      <c r="C44" s="303"/>
      <c r="D44" s="303"/>
      <c r="E44" s="303"/>
      <c r="F44" s="303"/>
      <c r="G44" s="303"/>
      <c r="H44" s="303"/>
    </row>
    <row r="45" spans="1:8" x14ac:dyDescent="0.25">
      <c r="A45" s="1" t="s">
        <v>760</v>
      </c>
      <c r="B45" s="303"/>
      <c r="C45" s="303"/>
      <c r="D45" s="303"/>
      <c r="E45" s="303"/>
      <c r="F45" s="303"/>
      <c r="G45" s="303"/>
      <c r="H45" s="303"/>
    </row>
    <row r="46" spans="1:8" x14ac:dyDescent="0.25">
      <c r="B46" s="303"/>
      <c r="C46" s="303"/>
      <c r="D46" s="303"/>
      <c r="E46" s="303"/>
      <c r="F46" s="303"/>
      <c r="G46" s="303"/>
      <c r="H46" s="303"/>
    </row>
    <row r="47" spans="1:8" x14ac:dyDescent="0.25">
      <c r="A47" s="1" t="s">
        <v>761</v>
      </c>
      <c r="B47" s="303"/>
      <c r="C47" s="303"/>
      <c r="D47" s="303"/>
      <c r="E47" s="303"/>
      <c r="F47" s="303"/>
      <c r="G47" s="303"/>
      <c r="H47" s="303"/>
    </row>
    <row r="48" spans="1:8" x14ac:dyDescent="0.25">
      <c r="A48" s="1" t="s">
        <v>762</v>
      </c>
      <c r="B48" s="303"/>
      <c r="C48" s="303"/>
      <c r="D48" s="303"/>
      <c r="E48" s="303"/>
      <c r="F48" s="303"/>
      <c r="G48" s="303"/>
      <c r="H48" s="303"/>
    </row>
    <row r="49" spans="1:8" x14ac:dyDescent="0.25">
      <c r="A49" s="1" t="s">
        <v>763</v>
      </c>
      <c r="B49" s="303"/>
      <c r="C49" s="303"/>
      <c r="D49" s="303"/>
      <c r="E49" s="303"/>
      <c r="F49" s="303"/>
      <c r="G49" s="303"/>
      <c r="H49" s="303"/>
    </row>
    <row r="50" spans="1:8" x14ac:dyDescent="0.25">
      <c r="A50" s="1" t="s">
        <v>764</v>
      </c>
      <c r="B50" s="303"/>
      <c r="C50" s="303"/>
      <c r="D50" s="303"/>
      <c r="E50" s="303"/>
      <c r="F50" s="303"/>
      <c r="G50" s="303"/>
      <c r="H50" s="303"/>
    </row>
    <row r="51" spans="1:8" x14ac:dyDescent="0.25">
      <c r="B51" s="303"/>
      <c r="C51" s="303"/>
      <c r="D51" s="303"/>
      <c r="E51" s="303"/>
      <c r="F51" s="303"/>
      <c r="G51" s="303"/>
      <c r="H51" s="303"/>
    </row>
    <row r="52" spans="1:8" x14ac:dyDescent="0.25">
      <c r="B52" s="303"/>
      <c r="C52" s="303"/>
      <c r="D52" s="303"/>
      <c r="E52" s="303"/>
      <c r="F52" s="303"/>
      <c r="G52" s="303"/>
      <c r="H52" s="303"/>
    </row>
    <row r="53" spans="1:8" x14ac:dyDescent="0.25">
      <c r="A53" s="1" t="s">
        <v>765</v>
      </c>
      <c r="B53" s="303"/>
      <c r="C53" s="303"/>
      <c r="D53" s="303"/>
      <c r="E53" s="303"/>
      <c r="F53" s="303"/>
      <c r="G53" s="303"/>
      <c r="H53" s="303"/>
    </row>
    <row r="54" spans="1:8" x14ac:dyDescent="0.25">
      <c r="A54" s="1" t="s">
        <v>766</v>
      </c>
      <c r="B54" s="303"/>
      <c r="C54" s="303"/>
      <c r="D54" s="303"/>
      <c r="E54" s="303"/>
      <c r="F54" s="303"/>
      <c r="G54" s="303"/>
      <c r="H54" s="303"/>
    </row>
    <row r="55" spans="1:8" x14ac:dyDescent="0.25">
      <c r="A55" s="1" t="s">
        <v>767</v>
      </c>
      <c r="B55" s="303"/>
      <c r="C55" s="303"/>
      <c r="D55" s="303"/>
      <c r="E55" s="303"/>
      <c r="F55" s="303"/>
      <c r="G55" s="303"/>
      <c r="H55" s="303"/>
    </row>
    <row r="56" spans="1:8" x14ac:dyDescent="0.25">
      <c r="A56" s="1" t="s">
        <v>768</v>
      </c>
      <c r="B56" s="303"/>
      <c r="C56" s="303"/>
      <c r="D56" s="303"/>
      <c r="E56" s="303"/>
      <c r="F56" s="303"/>
      <c r="G56" s="303"/>
      <c r="H56" s="303"/>
    </row>
    <row r="57" spans="1:8" x14ac:dyDescent="0.25">
      <c r="A57" s="1" t="s">
        <v>301</v>
      </c>
      <c r="B57" s="303"/>
      <c r="C57" s="303"/>
      <c r="D57" s="303"/>
      <c r="E57" s="303"/>
      <c r="F57" s="303"/>
      <c r="G57" s="303"/>
      <c r="H57" s="303"/>
    </row>
    <row r="58" spans="1:8" x14ac:dyDescent="0.25">
      <c r="B58" s="303"/>
      <c r="C58" s="303"/>
      <c r="D58" s="303"/>
      <c r="E58" s="303"/>
      <c r="F58" s="303"/>
      <c r="G58" s="303"/>
      <c r="H58" s="303"/>
    </row>
    <row r="59" spans="1:8" x14ac:dyDescent="0.25">
      <c r="A59" s="1" t="s">
        <v>769</v>
      </c>
      <c r="B59" s="303"/>
      <c r="C59" s="303"/>
      <c r="D59" s="303"/>
      <c r="E59" s="303"/>
      <c r="F59" s="303"/>
      <c r="G59" s="303"/>
      <c r="H59" s="303"/>
    </row>
    <row r="60" spans="1:8" x14ac:dyDescent="0.25">
      <c r="A60" s="1" t="s">
        <v>770</v>
      </c>
      <c r="B60" s="303"/>
      <c r="C60" s="303"/>
      <c r="D60" s="303"/>
      <c r="E60" s="303"/>
      <c r="F60" s="303"/>
      <c r="G60" s="303"/>
      <c r="H60" s="303"/>
    </row>
    <row r="61" spans="1:8" x14ac:dyDescent="0.25">
      <c r="B61" s="303"/>
      <c r="C61" s="303"/>
      <c r="D61" s="303"/>
      <c r="E61" s="303"/>
      <c r="F61" s="303"/>
      <c r="G61" s="303"/>
      <c r="H61" s="303"/>
    </row>
    <row r="62" spans="1:8" x14ac:dyDescent="0.25">
      <c r="A62" s="1" t="s">
        <v>292</v>
      </c>
    </row>
    <row r="63" spans="1:8" x14ac:dyDescent="0.25">
      <c r="A63" s="647"/>
    </row>
    <row r="90" spans="1:1" x14ac:dyDescent="0.25">
      <c r="A90" s="647"/>
    </row>
    <row r="91" spans="1:1" x14ac:dyDescent="0.25">
      <c r="A91" s="647"/>
    </row>
    <row r="92" spans="1:1" x14ac:dyDescent="0.25">
      <c r="A92" s="647"/>
    </row>
  </sheetData>
  <mergeCells count="1">
    <mergeCell ref="A1:A2"/>
  </mergeCells>
  <pageMargins left="0.7" right="0.7" top="0.75" bottom="0.75" header="0.3" footer="0.3"/>
  <pageSetup orientation="portrait" r:id="rId1"/>
  <headerFooter>
    <oddFooter>&amp;Lrevised 10/02/09</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66EC-FC85-4492-A2A3-00EC0F95E00E}">
  <sheetPr codeName="Sheet281">
    <tabColor rgb="FFFF0000"/>
  </sheetPr>
  <dimension ref="A1:L55"/>
  <sheetViews>
    <sheetView workbookViewId="0">
      <selection activeCell="A6" sqref="A6"/>
    </sheetView>
  </sheetViews>
  <sheetFormatPr defaultRowHeight="15.75" x14ac:dyDescent="0.25"/>
  <cols>
    <col min="1" max="1" width="66.77734375" style="1" customWidth="1"/>
  </cols>
  <sheetData>
    <row r="1" spans="1:12" ht="15.75" customHeight="1" x14ac:dyDescent="0.2">
      <c r="A1" s="867" t="s">
        <v>651</v>
      </c>
    </row>
    <row r="2" spans="1:12" ht="15.75" customHeight="1" x14ac:dyDescent="0.2">
      <c r="A2" s="867"/>
    </row>
    <row r="3" spans="1:12" x14ac:dyDescent="0.25">
      <c r="A3" s="646" t="s">
        <v>298</v>
      </c>
      <c r="B3" s="302"/>
      <c r="C3" s="302"/>
      <c r="D3" s="302"/>
      <c r="E3" s="302"/>
      <c r="F3" s="302"/>
      <c r="G3" s="302"/>
      <c r="H3" s="302"/>
      <c r="I3" s="302"/>
      <c r="J3" s="302"/>
      <c r="K3" s="302"/>
      <c r="L3" s="302"/>
    </row>
    <row r="4" spans="1:12" x14ac:dyDescent="0.25">
      <c r="A4" s="646"/>
      <c r="B4" s="302"/>
      <c r="C4" s="302"/>
      <c r="D4" s="302"/>
      <c r="E4" s="302"/>
      <c r="F4" s="302"/>
      <c r="G4" s="302"/>
      <c r="H4" s="302"/>
      <c r="I4" s="302"/>
      <c r="J4" s="302"/>
      <c r="K4" s="302"/>
      <c r="L4" s="302"/>
    </row>
    <row r="5" spans="1:12" x14ac:dyDescent="0.25">
      <c r="I5" s="302"/>
      <c r="J5" s="302"/>
      <c r="K5" s="302"/>
      <c r="L5" s="302"/>
    </row>
    <row r="6" spans="1:12" x14ac:dyDescent="0.25">
      <c r="A6" s="1" t="str">
        <f>CONCATENATE("Welcome.  You have been directed to this tab because your estimated ",inputPrYr!C10-1," total expenditures")</f>
        <v>Welcome.  You have been directed to this tab because your estimated 2024 total expenditures</v>
      </c>
      <c r="I6" s="302"/>
      <c r="J6" s="302"/>
      <c r="K6" s="302"/>
      <c r="L6" s="302"/>
    </row>
    <row r="7" spans="1:12" x14ac:dyDescent="0.25">
      <c r="A7" s="648" t="str">
        <f>CONCATENATE("exceed your ",inputPrYr!C10-1," budget authority.")</f>
        <v>exceed your 2024 budget authority.</v>
      </c>
      <c r="I7" s="302"/>
      <c r="J7" s="302"/>
      <c r="K7" s="302"/>
      <c r="L7" s="302"/>
    </row>
    <row r="8" spans="1:12" x14ac:dyDescent="0.25">
      <c r="I8" s="302"/>
      <c r="J8" s="302"/>
      <c r="K8" s="302"/>
      <c r="L8" s="302"/>
    </row>
    <row r="9" spans="1:12" x14ac:dyDescent="0.25">
      <c r="A9" s="1" t="s">
        <v>771</v>
      </c>
      <c r="I9" s="302"/>
      <c r="J9" s="302"/>
      <c r="K9" s="302"/>
      <c r="L9" s="302"/>
    </row>
    <row r="10" spans="1:12" x14ac:dyDescent="0.25">
      <c r="A10" s="1" t="s">
        <v>772</v>
      </c>
      <c r="I10" s="302"/>
      <c r="J10" s="302"/>
      <c r="K10" s="302"/>
      <c r="L10" s="302"/>
    </row>
    <row r="11" spans="1:12" x14ac:dyDescent="0.25">
      <c r="A11" s="1" t="s">
        <v>773</v>
      </c>
      <c r="I11" s="302"/>
      <c r="J11" s="302"/>
      <c r="K11" s="302"/>
      <c r="L11" s="302"/>
    </row>
    <row r="12" spans="1:12" x14ac:dyDescent="0.25">
      <c r="A12" s="646"/>
      <c r="B12" s="302"/>
      <c r="C12" s="302"/>
      <c r="D12" s="302"/>
      <c r="E12" s="302"/>
      <c r="F12" s="302"/>
      <c r="G12" s="302"/>
      <c r="H12" s="302"/>
      <c r="I12" s="302"/>
      <c r="J12" s="302"/>
      <c r="K12" s="302"/>
      <c r="L12" s="302"/>
    </row>
    <row r="13" spans="1:12" x14ac:dyDescent="0.25">
      <c r="A13" s="647" t="s">
        <v>774</v>
      </c>
    </row>
    <row r="14" spans="1:12" x14ac:dyDescent="0.25">
      <c r="B14" s="303"/>
      <c r="C14" s="303"/>
      <c r="D14" s="303"/>
      <c r="E14" s="303"/>
      <c r="F14" s="303"/>
      <c r="G14" s="303"/>
    </row>
    <row r="15" spans="1:12" x14ac:dyDescent="0.25">
      <c r="A15" s="1" t="str">
        <f>CONCATENATE("Naturally, our preference would be that you consider your ",inputPrYr!C10-1," numbers to see what steps might be")</f>
        <v>Naturally, our preference would be that you consider your 2024 numbers to see what steps might be</v>
      </c>
      <c r="B15" s="303"/>
      <c r="C15" s="303"/>
      <c r="D15" s="303"/>
      <c r="E15" s="303"/>
      <c r="F15" s="303"/>
      <c r="G15" s="303"/>
    </row>
    <row r="16" spans="1:12" ht="17.25" customHeight="1" x14ac:dyDescent="0.25">
      <c r="A16" s="1" t="s">
        <v>775</v>
      </c>
      <c r="B16" s="303"/>
      <c r="C16" s="303"/>
      <c r="D16" s="303"/>
      <c r="E16" s="303"/>
      <c r="F16" s="303"/>
      <c r="G16" s="303"/>
    </row>
    <row r="17" spans="1:7" ht="17.25" customHeight="1" x14ac:dyDescent="0.25">
      <c r="A17" s="1" t="s">
        <v>776</v>
      </c>
      <c r="B17" s="303"/>
      <c r="C17" s="303"/>
      <c r="D17" s="303"/>
      <c r="E17" s="303"/>
      <c r="F17" s="303"/>
      <c r="G17" s="303"/>
    </row>
    <row r="19" spans="1:7" x14ac:dyDescent="0.25">
      <c r="A19" s="647" t="s">
        <v>299</v>
      </c>
    </row>
    <row r="20" spans="1:7" x14ac:dyDescent="0.25">
      <c r="A20" s="647"/>
    </row>
    <row r="21" spans="1:7" x14ac:dyDescent="0.25">
      <c r="A21" s="1" t="s">
        <v>777</v>
      </c>
    </row>
    <row r="22" spans="1:7" x14ac:dyDescent="0.25">
      <c r="A22" s="1" t="s">
        <v>778</v>
      </c>
      <c r="B22" s="303"/>
      <c r="C22" s="303"/>
      <c r="D22" s="303"/>
      <c r="E22" s="303"/>
      <c r="F22" s="303"/>
    </row>
    <row r="23" spans="1:7" x14ac:dyDescent="0.25">
      <c r="B23" s="303"/>
      <c r="C23" s="303"/>
      <c r="D23" s="303"/>
      <c r="E23" s="303"/>
      <c r="F23" s="303"/>
    </row>
    <row r="24" spans="1:7" x14ac:dyDescent="0.25">
      <c r="A24" s="647" t="s">
        <v>779</v>
      </c>
      <c r="B24" s="304"/>
      <c r="C24" s="304"/>
      <c r="D24" s="304"/>
      <c r="E24" s="304"/>
      <c r="F24" s="304"/>
      <c r="G24" s="304"/>
    </row>
    <row r="25" spans="1:7" x14ac:dyDescent="0.25">
      <c r="B25" s="303"/>
      <c r="C25" s="303"/>
      <c r="D25" s="303"/>
      <c r="E25" s="303"/>
      <c r="F25" s="303"/>
    </row>
    <row r="26" spans="1:7" x14ac:dyDescent="0.25">
      <c r="A26" s="673" t="str">
        <f>CONCATENATE("Well, let's look to see if any of your ",inputPrYr!C10-1," expenditures can be reduced or eliminated.  For example,")</f>
        <v>Well, let's look to see if any of your 2024 expenditures can be reduced or eliminated.  For example,</v>
      </c>
      <c r="B26" s="303"/>
      <c r="C26" s="303"/>
      <c r="D26" s="303"/>
      <c r="E26" s="303"/>
      <c r="F26" s="303"/>
    </row>
    <row r="27" spans="1:7" x14ac:dyDescent="0.25">
      <c r="A27" s="673" t="s">
        <v>780</v>
      </c>
      <c r="B27" s="303"/>
      <c r="C27" s="303"/>
      <c r="D27" s="303"/>
      <c r="E27" s="303"/>
      <c r="F27" s="303"/>
    </row>
    <row r="28" spans="1:7" x14ac:dyDescent="0.25">
      <c r="A28" s="673" t="s">
        <v>781</v>
      </c>
      <c r="B28" s="303"/>
      <c r="C28" s="303"/>
      <c r="D28" s="303"/>
      <c r="E28" s="303"/>
      <c r="F28" s="303"/>
    </row>
    <row r="29" spans="1:7" x14ac:dyDescent="0.25">
      <c r="A29" s="673"/>
      <c r="B29" s="303"/>
      <c r="C29" s="303"/>
      <c r="D29" s="303"/>
      <c r="E29" s="303"/>
      <c r="F29" s="303"/>
    </row>
    <row r="30" spans="1:7" x14ac:dyDescent="0.25">
      <c r="A30" s="673" t="str">
        <f>CONCATENATE("Additionally, do your ",inputPrYr!C10-1," receipts contain a reimbursement (e.g. FEMA)?  If so, instead of showing")</f>
        <v>Additionally, do your 2024 receipts contain a reimbursement (e.g. FEMA)?  If so, instead of showing</v>
      </c>
      <c r="B30" s="303"/>
      <c r="C30" s="303"/>
      <c r="D30" s="303"/>
      <c r="E30" s="303"/>
      <c r="F30" s="303"/>
    </row>
    <row r="31" spans="1:7" x14ac:dyDescent="0.25">
      <c r="A31" s="673" t="s">
        <v>782</v>
      </c>
      <c r="B31" s="303"/>
      <c r="C31" s="303"/>
      <c r="D31" s="303"/>
      <c r="E31" s="303"/>
      <c r="F31" s="303"/>
    </row>
    <row r="32" spans="1:7" x14ac:dyDescent="0.25">
      <c r="A32" s="673"/>
      <c r="B32" s="303"/>
      <c r="C32" s="303"/>
      <c r="D32" s="303"/>
      <c r="E32" s="303"/>
      <c r="F32" s="303"/>
    </row>
    <row r="33" spans="1:6" x14ac:dyDescent="0.25">
      <c r="A33" s="673" t="s">
        <v>783</v>
      </c>
      <c r="B33" s="303"/>
      <c r="C33" s="303"/>
      <c r="D33" s="303"/>
      <c r="E33" s="303"/>
      <c r="F33" s="303"/>
    </row>
    <row r="34" spans="1:6" x14ac:dyDescent="0.25">
      <c r="A34" s="673" t="s">
        <v>784</v>
      </c>
      <c r="B34" s="303"/>
      <c r="C34" s="303"/>
      <c r="D34" s="303"/>
      <c r="E34" s="303"/>
      <c r="F34" s="303"/>
    </row>
    <row r="35" spans="1:6" x14ac:dyDescent="0.25">
      <c r="A35" s="673" t="s">
        <v>785</v>
      </c>
      <c r="B35" s="303"/>
      <c r="C35" s="303"/>
      <c r="D35" s="303"/>
      <c r="E35" s="303"/>
      <c r="F35" s="303"/>
    </row>
    <row r="36" spans="1:6" x14ac:dyDescent="0.25">
      <c r="A36" s="673" t="s">
        <v>786</v>
      </c>
      <c r="B36" s="303"/>
      <c r="C36" s="303"/>
      <c r="D36" s="303"/>
      <c r="E36" s="303"/>
      <c r="F36" s="303"/>
    </row>
    <row r="37" spans="1:6" x14ac:dyDescent="0.25">
      <c r="A37" s="673" t="s">
        <v>290</v>
      </c>
      <c r="B37" s="303"/>
      <c r="C37" s="303"/>
      <c r="D37" s="303"/>
      <c r="E37" s="303"/>
      <c r="F37" s="303"/>
    </row>
    <row r="38" spans="1:6" x14ac:dyDescent="0.25">
      <c r="A38" s="673"/>
      <c r="B38" s="303"/>
      <c r="C38" s="303"/>
      <c r="D38" s="303"/>
      <c r="E38" s="303"/>
      <c r="F38" s="303"/>
    </row>
    <row r="39" spans="1:6" x14ac:dyDescent="0.25">
      <c r="A39" s="673" t="s">
        <v>725</v>
      </c>
      <c r="B39" s="303"/>
      <c r="C39" s="303"/>
      <c r="D39" s="303"/>
      <c r="E39" s="303"/>
      <c r="F39" s="303"/>
    </row>
    <row r="40" spans="1:6" x14ac:dyDescent="0.25">
      <c r="A40" s="673" t="s">
        <v>726</v>
      </c>
      <c r="B40" s="303"/>
      <c r="C40" s="303"/>
      <c r="D40" s="303"/>
      <c r="E40" s="303"/>
      <c r="F40" s="303"/>
    </row>
    <row r="41" spans="1:6" x14ac:dyDescent="0.25">
      <c r="A41" s="673"/>
      <c r="B41" s="303"/>
      <c r="C41" s="303"/>
      <c r="D41" s="303"/>
      <c r="E41" s="303"/>
      <c r="F41" s="303"/>
    </row>
    <row r="42" spans="1:6" x14ac:dyDescent="0.25">
      <c r="A42" s="673" t="s">
        <v>787</v>
      </c>
      <c r="B42" s="303"/>
      <c r="C42" s="303"/>
      <c r="D42" s="303"/>
      <c r="E42" s="303"/>
      <c r="F42" s="303"/>
    </row>
    <row r="43" spans="1:6" x14ac:dyDescent="0.25">
      <c r="A43" s="673" t="s">
        <v>788</v>
      </c>
      <c r="B43" s="303"/>
      <c r="C43" s="303"/>
      <c r="D43" s="303"/>
      <c r="E43" s="303"/>
      <c r="F43" s="303"/>
    </row>
    <row r="44" spans="1:6" x14ac:dyDescent="0.25">
      <c r="A44" s="673" t="s">
        <v>789</v>
      </c>
      <c r="B44" s="303"/>
      <c r="C44" s="303"/>
      <c r="D44" s="303"/>
      <c r="E44" s="303"/>
      <c r="F44" s="303"/>
    </row>
    <row r="45" spans="1:6" x14ac:dyDescent="0.25">
      <c r="A45" s="673"/>
      <c r="B45" s="303"/>
      <c r="C45" s="303"/>
      <c r="D45" s="303"/>
      <c r="E45" s="303"/>
      <c r="F45" s="303"/>
    </row>
    <row r="46" spans="1:6" x14ac:dyDescent="0.25">
      <c r="A46" s="673" t="s">
        <v>790</v>
      </c>
      <c r="B46" s="303"/>
      <c r="C46" s="303"/>
      <c r="D46" s="303"/>
      <c r="E46" s="303"/>
      <c r="F46" s="303"/>
    </row>
    <row r="47" spans="1:6" x14ac:dyDescent="0.25">
      <c r="A47" s="673" t="s">
        <v>791</v>
      </c>
      <c r="B47" s="303"/>
      <c r="C47" s="303"/>
      <c r="D47" s="303"/>
      <c r="E47" s="303"/>
      <c r="F47" s="303"/>
    </row>
    <row r="48" spans="1:6" x14ac:dyDescent="0.25">
      <c r="A48" s="673" t="s">
        <v>792</v>
      </c>
    </row>
    <row r="50" spans="1:1" x14ac:dyDescent="0.25">
      <c r="A50" s="1" t="s">
        <v>793</v>
      </c>
    </row>
    <row r="51" spans="1:1" x14ac:dyDescent="0.25">
      <c r="A51" s="1" t="s">
        <v>794</v>
      </c>
    </row>
    <row r="52" spans="1:1" x14ac:dyDescent="0.25">
      <c r="A52" s="1" t="s">
        <v>795</v>
      </c>
    </row>
    <row r="53" spans="1:1" x14ac:dyDescent="0.25">
      <c r="A53" s="1" t="s">
        <v>796</v>
      </c>
    </row>
    <row r="55" spans="1:1" x14ac:dyDescent="0.25">
      <c r="A55" s="1" t="s">
        <v>292</v>
      </c>
    </row>
  </sheetData>
  <mergeCells count="1">
    <mergeCell ref="A1:A2"/>
  </mergeCells>
  <pageMargins left="0.7" right="0.7" top="0.75" bottom="0.75" header="0.3" footer="0.3"/>
  <pageSetup orientation="portrait" r:id="rId1"/>
  <headerFooter>
    <oddFooter>&amp;Lrevised 10/2/09</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377D5-62A4-4F00-A174-954991956E61}">
  <sheetPr codeName="Sheet291">
    <tabColor rgb="FFFF0000"/>
  </sheetPr>
  <dimension ref="A1:G59"/>
  <sheetViews>
    <sheetView topLeftCell="A10" workbookViewId="0">
      <selection activeCell="A31" sqref="A31"/>
    </sheetView>
  </sheetViews>
  <sheetFormatPr defaultRowHeight="15.75" x14ac:dyDescent="0.25"/>
  <cols>
    <col min="1" max="1" width="66.77734375" style="1" customWidth="1"/>
  </cols>
  <sheetData>
    <row r="1" spans="1:7" ht="15.75" customHeight="1" x14ac:dyDescent="0.2">
      <c r="A1" s="867" t="s">
        <v>652</v>
      </c>
    </row>
    <row r="2" spans="1:7" ht="15.75" customHeight="1" x14ac:dyDescent="0.2">
      <c r="A2" s="867"/>
    </row>
    <row r="3" spans="1:7" x14ac:dyDescent="0.25">
      <c r="A3" s="646" t="s">
        <v>300</v>
      </c>
      <c r="B3" s="302"/>
      <c r="C3" s="302"/>
      <c r="D3" s="302"/>
      <c r="E3" s="302"/>
      <c r="F3" s="302"/>
      <c r="G3" s="302"/>
    </row>
    <row r="4" spans="1:7" x14ac:dyDescent="0.25">
      <c r="A4" s="646"/>
      <c r="B4" s="302"/>
      <c r="C4" s="302"/>
      <c r="D4" s="302"/>
      <c r="E4" s="302"/>
      <c r="F4" s="302"/>
      <c r="G4" s="302"/>
    </row>
    <row r="5" spans="1:7" x14ac:dyDescent="0.25">
      <c r="A5" s="1" t="str">
        <f>CONCATENATE("Welcome.  You have been directed to this tab because your ",inputPrYr!C10," estimated expenditures show")</f>
        <v>Welcome.  You have been directed to this tab because your 2025 estimated expenditures show</v>
      </c>
    </row>
    <row r="6" spans="1:7" x14ac:dyDescent="0.25">
      <c r="A6" s="1" t="s">
        <v>797</v>
      </c>
    </row>
    <row r="8" spans="1:7" x14ac:dyDescent="0.25">
      <c r="A8" s="1" t="s">
        <v>742</v>
      </c>
    </row>
    <row r="9" spans="1:7" x14ac:dyDescent="0.25">
      <c r="A9" s="1" t="s">
        <v>296</v>
      </c>
    </row>
    <row r="10" spans="1:7" x14ac:dyDescent="0.25">
      <c r="A10" s="646"/>
      <c r="B10" s="302"/>
      <c r="C10" s="302"/>
      <c r="D10" s="302"/>
      <c r="E10" s="302"/>
      <c r="F10" s="302"/>
      <c r="G10" s="302"/>
    </row>
    <row r="11" spans="1:7" x14ac:dyDescent="0.25">
      <c r="A11" s="647" t="s">
        <v>302</v>
      </c>
    </row>
    <row r="13" spans="1:7" x14ac:dyDescent="0.25">
      <c r="A13" s="1" t="s">
        <v>798</v>
      </c>
    </row>
    <row r="14" spans="1:7" x14ac:dyDescent="0.25">
      <c r="A14" s="1" t="s">
        <v>303</v>
      </c>
    </row>
    <row r="16" spans="1:7" x14ac:dyDescent="0.25">
      <c r="A16" s="1" t="s">
        <v>799</v>
      </c>
    </row>
    <row r="17" spans="1:7" x14ac:dyDescent="0.25">
      <c r="A17" s="1" t="s">
        <v>800</v>
      </c>
    </row>
    <row r="19" spans="1:7" x14ac:dyDescent="0.25">
      <c r="A19" s="647" t="s">
        <v>299</v>
      </c>
    </row>
    <row r="20" spans="1:7" x14ac:dyDescent="0.25">
      <c r="A20" s="647"/>
    </row>
    <row r="21" spans="1:7" x14ac:dyDescent="0.25">
      <c r="A21" s="1" t="s">
        <v>801</v>
      </c>
    </row>
    <row r="22" spans="1:7" x14ac:dyDescent="0.25">
      <c r="A22" s="1" t="s">
        <v>802</v>
      </c>
      <c r="B22" s="303"/>
      <c r="C22" s="303"/>
      <c r="D22" s="303"/>
      <c r="E22" s="303"/>
      <c r="F22" s="303"/>
    </row>
    <row r="23" spans="1:7" x14ac:dyDescent="0.25">
      <c r="B23" s="303"/>
      <c r="C23" s="303"/>
      <c r="D23" s="303"/>
      <c r="E23" s="303"/>
      <c r="F23" s="303"/>
    </row>
    <row r="25" spans="1:7" x14ac:dyDescent="0.25">
      <c r="A25" s="647" t="s">
        <v>779</v>
      </c>
      <c r="B25" s="304"/>
      <c r="C25" s="304"/>
      <c r="D25" s="304"/>
      <c r="E25" s="304"/>
      <c r="F25" s="304"/>
      <c r="G25" s="304"/>
    </row>
    <row r="26" spans="1:7" x14ac:dyDescent="0.25">
      <c r="A26" s="647"/>
      <c r="B26" s="304"/>
      <c r="C26" s="304"/>
      <c r="D26" s="304"/>
      <c r="E26" s="304"/>
      <c r="F26" s="304"/>
      <c r="G26" s="304"/>
    </row>
    <row r="27" spans="1:7" x14ac:dyDescent="0.25">
      <c r="A27" s="1" t="s">
        <v>803</v>
      </c>
      <c r="B27" s="303"/>
      <c r="C27" s="303"/>
      <c r="D27" s="303"/>
      <c r="E27" s="303"/>
      <c r="F27" s="303"/>
      <c r="G27" s="303"/>
    </row>
    <row r="28" spans="1:7" x14ac:dyDescent="0.25">
      <c r="A28" s="1" t="s">
        <v>804</v>
      </c>
      <c r="B28" s="303"/>
      <c r="C28" s="303"/>
      <c r="D28" s="303"/>
      <c r="E28" s="303"/>
      <c r="F28" s="303"/>
      <c r="G28" s="303"/>
    </row>
    <row r="29" spans="1:7" x14ac:dyDescent="0.25">
      <c r="A29" s="1" t="s">
        <v>805</v>
      </c>
      <c r="B29" s="303"/>
      <c r="C29" s="303"/>
      <c r="D29" s="303"/>
      <c r="E29" s="303"/>
      <c r="F29" s="303"/>
      <c r="G29" s="303"/>
    </row>
    <row r="30" spans="1:7" x14ac:dyDescent="0.25">
      <c r="A30" s="647"/>
      <c r="B30" s="304"/>
      <c r="C30" s="304"/>
      <c r="D30" s="304"/>
      <c r="E30" s="304"/>
      <c r="F30" s="304"/>
      <c r="G30" s="304"/>
    </row>
    <row r="31" spans="1:7" x14ac:dyDescent="0.25">
      <c r="A31" s="673" t="str">
        <f>CONCATENATE("So, let's look to see if any of your ",inputPrYr!C10-1," expenditures can be reduced or eliminated. For example,")</f>
        <v>So, let's look to see if any of your 2024 expenditures can be reduced or eliminated. For example,</v>
      </c>
      <c r="B31" s="303"/>
      <c r="C31" s="303"/>
      <c r="D31" s="303"/>
      <c r="E31" s="303"/>
      <c r="F31" s="303"/>
    </row>
    <row r="32" spans="1:7" x14ac:dyDescent="0.25">
      <c r="A32" s="673" t="s">
        <v>718</v>
      </c>
      <c r="B32" s="303"/>
      <c r="C32" s="303"/>
      <c r="D32" s="303"/>
      <c r="E32" s="303"/>
      <c r="F32" s="303"/>
    </row>
    <row r="33" spans="1:7" x14ac:dyDescent="0.25">
      <c r="A33" s="673" t="s">
        <v>719</v>
      </c>
      <c r="B33" s="303"/>
      <c r="C33" s="303"/>
      <c r="D33" s="303"/>
      <c r="E33" s="303"/>
      <c r="F33" s="303"/>
    </row>
    <row r="35" spans="1:7" x14ac:dyDescent="0.25">
      <c r="A35" s="673" t="str">
        <f>CONCATENATE("Additionally, do your ",inputPrYr!C10-1," receipts contain a reimbursement (e.g. FEMA)?  If so, instead of")</f>
        <v>Additionally, do your 2024 receipts contain a reimbursement (e.g. FEMA)?  If so, instead of</v>
      </c>
      <c r="B35" s="303"/>
      <c r="C35" s="303"/>
      <c r="D35" s="303"/>
      <c r="E35" s="303"/>
      <c r="F35" s="303"/>
    </row>
    <row r="36" spans="1:7" x14ac:dyDescent="0.25">
      <c r="A36" s="673" t="s">
        <v>806</v>
      </c>
      <c r="B36" s="303"/>
      <c r="C36" s="303"/>
      <c r="D36" s="303"/>
      <c r="E36" s="303"/>
      <c r="F36" s="303"/>
    </row>
    <row r="37" spans="1:7" x14ac:dyDescent="0.25">
      <c r="B37" s="303"/>
      <c r="C37" s="303"/>
      <c r="D37" s="303"/>
      <c r="E37" s="303"/>
      <c r="F37" s="303"/>
      <c r="G37" s="303"/>
    </row>
    <row r="38" spans="1:7" x14ac:dyDescent="0.25">
      <c r="A38" s="1" t="s">
        <v>807</v>
      </c>
      <c r="B38" s="303"/>
      <c r="C38" s="303"/>
      <c r="D38" s="303"/>
      <c r="E38" s="303"/>
      <c r="F38" s="303"/>
      <c r="G38" s="303"/>
    </row>
    <row r="39" spans="1:7" x14ac:dyDescent="0.25">
      <c r="A39" s="1" t="s">
        <v>808</v>
      </c>
      <c r="B39" s="303"/>
      <c r="C39" s="303"/>
      <c r="D39" s="303"/>
      <c r="E39" s="303"/>
      <c r="F39" s="303"/>
      <c r="G39" s="303"/>
    </row>
    <row r="40" spans="1:7" x14ac:dyDescent="0.25">
      <c r="A40" s="1" t="s">
        <v>809</v>
      </c>
      <c r="B40" s="303"/>
      <c r="C40" s="303"/>
      <c r="D40" s="303"/>
      <c r="E40" s="303"/>
      <c r="F40" s="303"/>
      <c r="G40" s="303"/>
    </row>
    <row r="41" spans="1:7" x14ac:dyDescent="0.25">
      <c r="B41" s="303"/>
      <c r="C41" s="303"/>
      <c r="D41" s="303"/>
      <c r="E41" s="303"/>
      <c r="F41" s="303"/>
      <c r="G41" s="303"/>
    </row>
    <row r="42" spans="1:7" x14ac:dyDescent="0.25">
      <c r="A42" s="673" t="s">
        <v>725</v>
      </c>
      <c r="B42" s="303"/>
      <c r="C42" s="303"/>
      <c r="D42" s="303"/>
      <c r="E42" s="303"/>
      <c r="F42" s="303"/>
    </row>
    <row r="43" spans="1:7" x14ac:dyDescent="0.25">
      <c r="A43" s="673" t="s">
        <v>726</v>
      </c>
      <c r="B43" s="303"/>
      <c r="C43" s="303"/>
      <c r="D43" s="303"/>
      <c r="E43" s="303"/>
      <c r="F43" s="303"/>
    </row>
    <row r="44" spans="1:7" x14ac:dyDescent="0.25">
      <c r="A44" s="673"/>
      <c r="B44" s="303"/>
      <c r="C44" s="303"/>
      <c r="D44" s="303"/>
      <c r="E44" s="303"/>
      <c r="F44" s="303"/>
    </row>
    <row r="45" spans="1:7" x14ac:dyDescent="0.25">
      <c r="A45" s="1" t="s">
        <v>810</v>
      </c>
      <c r="B45" s="303"/>
      <c r="C45" s="303"/>
      <c r="D45" s="303"/>
      <c r="E45" s="303"/>
      <c r="F45" s="303"/>
      <c r="G45" s="303"/>
    </row>
    <row r="46" spans="1:7" x14ac:dyDescent="0.25">
      <c r="A46" s="1" t="s">
        <v>811</v>
      </c>
      <c r="B46" s="303"/>
      <c r="C46" s="303"/>
      <c r="D46" s="303"/>
      <c r="E46" s="303"/>
      <c r="F46" s="303"/>
      <c r="G46" s="303"/>
    </row>
    <row r="47" spans="1:7" x14ac:dyDescent="0.25">
      <c r="A47" s="1" t="s">
        <v>812</v>
      </c>
      <c r="B47" s="303"/>
      <c r="C47" s="303"/>
      <c r="D47" s="303"/>
      <c r="E47" s="303"/>
      <c r="F47" s="303"/>
      <c r="G47" s="303"/>
    </row>
    <row r="49" spans="1:6" x14ac:dyDescent="0.25">
      <c r="A49" s="673" t="s">
        <v>787</v>
      </c>
      <c r="B49" s="303"/>
      <c r="C49" s="303"/>
      <c r="D49" s="303"/>
      <c r="E49" s="303"/>
      <c r="F49" s="303"/>
    </row>
    <row r="50" spans="1:6" x14ac:dyDescent="0.25">
      <c r="A50" s="673" t="s">
        <v>813</v>
      </c>
      <c r="B50" s="303"/>
      <c r="C50" s="303"/>
      <c r="D50" s="303"/>
      <c r="E50" s="303"/>
      <c r="F50" s="303"/>
    </row>
    <row r="51" spans="1:6" x14ac:dyDescent="0.25">
      <c r="A51" s="673" t="s">
        <v>814</v>
      </c>
      <c r="B51" s="303"/>
      <c r="C51" s="303"/>
      <c r="D51" s="303"/>
      <c r="E51" s="303"/>
      <c r="F51" s="303"/>
    </row>
    <row r="53" spans="1:6" x14ac:dyDescent="0.25">
      <c r="A53" s="1" t="s">
        <v>292</v>
      </c>
    </row>
    <row r="59" spans="1:6" x14ac:dyDescent="0.25">
      <c r="A59" s="647"/>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30829-52C4-409B-820D-3361324E6FAF}">
  <sheetPr codeName="Sheet301">
    <tabColor rgb="FFFF0000"/>
  </sheetPr>
  <dimension ref="A1:G39"/>
  <sheetViews>
    <sheetView workbookViewId="0">
      <selection activeCell="A6" sqref="A6"/>
    </sheetView>
  </sheetViews>
  <sheetFormatPr defaultRowHeight="15.75" x14ac:dyDescent="0.25"/>
  <cols>
    <col min="1" max="1" width="66.77734375" style="1" customWidth="1"/>
  </cols>
  <sheetData>
    <row r="1" spans="1:7" ht="15.75" customHeight="1" x14ac:dyDescent="0.2">
      <c r="A1" s="867" t="s">
        <v>653</v>
      </c>
    </row>
    <row r="2" spans="1:7" ht="15.75" customHeight="1" x14ac:dyDescent="0.2">
      <c r="A2" s="867"/>
    </row>
    <row r="3" spans="1:7" x14ac:dyDescent="0.25">
      <c r="A3" s="646" t="s">
        <v>815</v>
      </c>
      <c r="B3" s="302"/>
      <c r="C3" s="302"/>
      <c r="D3" s="302"/>
      <c r="E3" s="302"/>
      <c r="F3" s="302"/>
      <c r="G3" s="302"/>
    </row>
    <row r="4" spans="1:7" x14ac:dyDescent="0.25">
      <c r="A4" s="646"/>
      <c r="B4" s="302"/>
      <c r="C4" s="302"/>
      <c r="D4" s="302"/>
      <c r="E4" s="302"/>
      <c r="F4" s="302"/>
      <c r="G4" s="302"/>
    </row>
    <row r="5" spans="1:7" x14ac:dyDescent="0.25">
      <c r="A5" s="646"/>
      <c r="B5" s="302"/>
      <c r="C5" s="302"/>
      <c r="D5" s="302"/>
      <c r="E5" s="302"/>
      <c r="F5" s="302"/>
      <c r="G5" s="302"/>
    </row>
    <row r="6" spans="1:7" x14ac:dyDescent="0.25">
      <c r="A6" s="1" t="str">
        <f>CONCATENATE("Welcome. You have been directed to this tab because your estimated ",inputPrYr!C10," total expenditures")</f>
        <v>Welcome. You have been directed to this tab because your estimated 2025 total expenditures</v>
      </c>
    </row>
    <row r="7" spans="1:7" x14ac:dyDescent="0.25">
      <c r="A7" s="1" t="str">
        <f>CONCATENATE("your ",inputPrYr!C10," unemcumbered cash balance Dec 31.")</f>
        <v>your 2025 unemcumbered cash balance Dec 31.</v>
      </c>
    </row>
    <row r="9" spans="1:7" x14ac:dyDescent="0.25">
      <c r="A9" s="1" t="s">
        <v>816</v>
      </c>
    </row>
    <row r="10" spans="1:7" x14ac:dyDescent="0.25">
      <c r="A10" s="1" t="s">
        <v>817</v>
      </c>
    </row>
    <row r="12" spans="1:7" x14ac:dyDescent="0.25">
      <c r="A12" s="647" t="s">
        <v>304</v>
      </c>
    </row>
    <row r="13" spans="1:7" x14ac:dyDescent="0.25">
      <c r="A13" s="646"/>
      <c r="B13" s="302"/>
      <c r="C13" s="302"/>
      <c r="D13" s="302"/>
      <c r="E13" s="302"/>
      <c r="F13" s="302"/>
      <c r="G13" s="302"/>
    </row>
    <row r="14" spans="1:7" x14ac:dyDescent="0.25">
      <c r="A14" s="1" t="s">
        <v>818</v>
      </c>
    </row>
    <row r="15" spans="1:7" x14ac:dyDescent="0.25">
      <c r="A15" s="1" t="s">
        <v>819</v>
      </c>
    </row>
    <row r="17" spans="1:1" x14ac:dyDescent="0.25">
      <c r="A17" s="647" t="s">
        <v>305</v>
      </c>
    </row>
    <row r="19" spans="1:1" x14ac:dyDescent="0.25">
      <c r="A19" s="1" t="s">
        <v>820</v>
      </c>
    </row>
    <row r="20" spans="1:1" x14ac:dyDescent="0.25">
      <c r="A20" s="1" t="s">
        <v>821</v>
      </c>
    </row>
    <row r="22" spans="1:1" x14ac:dyDescent="0.25">
      <c r="A22" s="647" t="s">
        <v>306</v>
      </c>
    </row>
    <row r="24" spans="1:1" x14ac:dyDescent="0.25">
      <c r="A24" s="1" t="s">
        <v>822</v>
      </c>
    </row>
    <row r="25" spans="1:1" x14ac:dyDescent="0.25">
      <c r="A25" s="1" t="s">
        <v>823</v>
      </c>
    </row>
    <row r="26" spans="1:1" x14ac:dyDescent="0.25">
      <c r="A26" s="1" t="s">
        <v>824</v>
      </c>
    </row>
    <row r="28" spans="1:1" x14ac:dyDescent="0.25">
      <c r="A28" s="1" t="s">
        <v>825</v>
      </c>
    </row>
    <row r="29" spans="1:1" x14ac:dyDescent="0.25">
      <c r="A29" s="1" t="s">
        <v>826</v>
      </c>
    </row>
    <row r="30" spans="1:1" x14ac:dyDescent="0.25">
      <c r="A30" s="1" t="s">
        <v>827</v>
      </c>
    </row>
    <row r="32" spans="1:1" x14ac:dyDescent="0.25">
      <c r="A32" s="1" t="s">
        <v>828</v>
      </c>
    </row>
    <row r="33" spans="1:1" x14ac:dyDescent="0.25">
      <c r="A33" s="1" t="s">
        <v>829</v>
      </c>
    </row>
    <row r="34" spans="1:1" x14ac:dyDescent="0.25">
      <c r="A34" s="1" t="s">
        <v>830</v>
      </c>
    </row>
    <row r="36" spans="1:1" x14ac:dyDescent="0.25">
      <c r="A36" s="1" t="s">
        <v>831</v>
      </c>
    </row>
    <row r="37" spans="1:1" x14ac:dyDescent="0.25">
      <c r="A37" s="1" t="s">
        <v>832</v>
      </c>
    </row>
    <row r="39" spans="1:1" x14ac:dyDescent="0.25">
      <c r="A39" s="1" t="s">
        <v>292</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A40"/>
  <sheetViews>
    <sheetView workbookViewId="0">
      <selection activeCell="B1" sqref="B1"/>
    </sheetView>
  </sheetViews>
  <sheetFormatPr defaultRowHeight="15" x14ac:dyDescent="0.2"/>
  <cols>
    <col min="1" max="1" width="74.21875" customWidth="1"/>
  </cols>
  <sheetData>
    <row r="1" spans="1:1" x14ac:dyDescent="0.2">
      <c r="A1" s="752" t="s">
        <v>513</v>
      </c>
    </row>
    <row r="2" spans="1:1" x14ac:dyDescent="0.2">
      <c r="A2" s="752"/>
    </row>
    <row r="3" spans="1:1" x14ac:dyDescent="0.2">
      <c r="A3" s="752"/>
    </row>
    <row r="4" spans="1:1" x14ac:dyDescent="0.2">
      <c r="A4" s="752"/>
    </row>
    <row r="5" spans="1:1" x14ac:dyDescent="0.2">
      <c r="A5" s="752"/>
    </row>
    <row r="6" spans="1:1" x14ac:dyDescent="0.2">
      <c r="A6" s="752"/>
    </row>
    <row r="7" spans="1:1" x14ac:dyDescent="0.2">
      <c r="A7" s="752"/>
    </row>
    <row r="8" spans="1:1" x14ac:dyDescent="0.2">
      <c r="A8" s="752"/>
    </row>
    <row r="9" spans="1:1" x14ac:dyDescent="0.2">
      <c r="A9" s="752"/>
    </row>
    <row r="10" spans="1:1" x14ac:dyDescent="0.2">
      <c r="A10" s="752"/>
    </row>
    <row r="11" spans="1:1" x14ac:dyDescent="0.2">
      <c r="A11" s="752"/>
    </row>
    <row r="12" spans="1:1" x14ac:dyDescent="0.2">
      <c r="A12" s="752"/>
    </row>
    <row r="13" spans="1:1" x14ac:dyDescent="0.2">
      <c r="A13" s="752"/>
    </row>
    <row r="14" spans="1:1" x14ac:dyDescent="0.2">
      <c r="A14" s="752"/>
    </row>
    <row r="15" spans="1:1" x14ac:dyDescent="0.2">
      <c r="A15" s="752"/>
    </row>
    <row r="16" spans="1:1" x14ac:dyDescent="0.2">
      <c r="A16" s="752"/>
    </row>
    <row r="17" spans="1:1" x14ac:dyDescent="0.2">
      <c r="A17" s="752"/>
    </row>
    <row r="18" spans="1:1" x14ac:dyDescent="0.2">
      <c r="A18" s="752"/>
    </row>
    <row r="19" spans="1:1" x14ac:dyDescent="0.2">
      <c r="A19" s="752"/>
    </row>
    <row r="20" spans="1:1" x14ac:dyDescent="0.2">
      <c r="A20" s="752"/>
    </row>
    <row r="21" spans="1:1" x14ac:dyDescent="0.2">
      <c r="A21" s="752"/>
    </row>
    <row r="22" spans="1:1" x14ac:dyDescent="0.2">
      <c r="A22" s="752"/>
    </row>
    <row r="23" spans="1:1" x14ac:dyDescent="0.2">
      <c r="A23" s="752"/>
    </row>
    <row r="24" spans="1:1" x14ac:dyDescent="0.2">
      <c r="A24" s="752"/>
    </row>
    <row r="25" spans="1:1" x14ac:dyDescent="0.2">
      <c r="A25" s="752"/>
    </row>
    <row r="26" spans="1:1" x14ac:dyDescent="0.2">
      <c r="A26" s="752"/>
    </row>
    <row r="27" spans="1:1" x14ac:dyDescent="0.2">
      <c r="A27" s="752"/>
    </row>
    <row r="28" spans="1:1" x14ac:dyDescent="0.2">
      <c r="A28" s="752"/>
    </row>
    <row r="29" spans="1:1" x14ac:dyDescent="0.2">
      <c r="A29" s="752"/>
    </row>
    <row r="30" spans="1:1" x14ac:dyDescent="0.2">
      <c r="A30" s="752"/>
    </row>
    <row r="31" spans="1:1" x14ac:dyDescent="0.2">
      <c r="A31" s="752"/>
    </row>
    <row r="32" spans="1:1" x14ac:dyDescent="0.2">
      <c r="A32" s="752"/>
    </row>
    <row r="33" spans="1:1" x14ac:dyDescent="0.2">
      <c r="A33" s="752"/>
    </row>
    <row r="34" spans="1:1" x14ac:dyDescent="0.2">
      <c r="A34" s="752"/>
    </row>
    <row r="35" spans="1:1" x14ac:dyDescent="0.2">
      <c r="A35" s="752"/>
    </row>
    <row r="36" spans="1:1" x14ac:dyDescent="0.2">
      <c r="A36" s="752"/>
    </row>
    <row r="37" spans="1:1" x14ac:dyDescent="0.2">
      <c r="A37" s="752"/>
    </row>
    <row r="38" spans="1:1" x14ac:dyDescent="0.2">
      <c r="A38" s="752"/>
    </row>
    <row r="39" spans="1:1" x14ac:dyDescent="0.2">
      <c r="A39" s="752"/>
    </row>
    <row r="40" spans="1:1" x14ac:dyDescent="0.2">
      <c r="A40" s="752"/>
    </row>
  </sheetData>
  <sheetProtection sheet="1"/>
  <mergeCells count="1">
    <mergeCell ref="A1:A40"/>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30019-E09A-422E-B0CB-F11CF04C2F4A}">
  <sheetPr codeName="Sheet371"/>
  <dimension ref="A1:N245"/>
  <sheetViews>
    <sheetView workbookViewId="0">
      <selection activeCell="B27" sqref="B27"/>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674" t="s">
        <v>532</v>
      </c>
    </row>
    <row r="4" spans="1:5" ht="9.75" customHeight="1" x14ac:dyDescent="0.55000000000000004">
      <c r="B4" s="675"/>
    </row>
    <row r="5" spans="1:5" ht="15.75" x14ac:dyDescent="0.2">
      <c r="B5" s="676" t="s">
        <v>833</v>
      </c>
    </row>
    <row r="6" spans="1:5" ht="8.1" customHeight="1" x14ac:dyDescent="0.2">
      <c r="B6" s="676"/>
    </row>
    <row r="7" spans="1:5" ht="15.75" x14ac:dyDescent="0.2">
      <c r="B7" s="676" t="s">
        <v>834</v>
      </c>
    </row>
    <row r="8" spans="1:5" ht="15.75" x14ac:dyDescent="0.2">
      <c r="B8" s="677" t="s">
        <v>835</v>
      </c>
    </row>
    <row r="9" spans="1:5" ht="8.1" customHeight="1" x14ac:dyDescent="0.2">
      <c r="B9" s="677"/>
    </row>
    <row r="10" spans="1:5" ht="15.75" x14ac:dyDescent="0.2">
      <c r="C10" s="678" t="s">
        <v>836</v>
      </c>
      <c r="D10" s="676" t="s">
        <v>837</v>
      </c>
    </row>
    <row r="11" spans="1:5" ht="15.75" customHeight="1" x14ac:dyDescent="0.2">
      <c r="B11" s="676"/>
      <c r="D11" s="676" t="s">
        <v>838</v>
      </c>
    </row>
    <row r="12" spans="1:5" ht="15.75" customHeight="1" x14ac:dyDescent="0.2">
      <c r="B12" s="676"/>
      <c r="D12" s="676"/>
    </row>
    <row r="13" spans="1:5" ht="15.75" customHeight="1" x14ac:dyDescent="0.2">
      <c r="B13" s="676" t="s">
        <v>839</v>
      </c>
      <c r="E13" s="676" t="s">
        <v>840</v>
      </c>
    </row>
    <row r="14" spans="1:5" ht="15.75" customHeight="1" x14ac:dyDescent="0.2">
      <c r="B14" s="676"/>
      <c r="E14" s="676" t="s">
        <v>841</v>
      </c>
    </row>
    <row r="15" spans="1:5" ht="15.75" customHeight="1" x14ac:dyDescent="0.2">
      <c r="B15" s="676"/>
      <c r="E15" s="676" t="s">
        <v>842</v>
      </c>
    </row>
    <row r="16" spans="1:5" ht="15.75" customHeight="1" x14ac:dyDescent="0.2">
      <c r="B16" s="676"/>
      <c r="E16" s="676" t="s">
        <v>843</v>
      </c>
    </row>
    <row r="17" spans="2:5" ht="15.75" customHeight="1" x14ac:dyDescent="0.2">
      <c r="B17" s="676"/>
      <c r="E17" s="676"/>
    </row>
    <row r="18" spans="2:5" ht="15.75" customHeight="1" x14ac:dyDescent="0.2">
      <c r="B18" s="676"/>
      <c r="E18" s="676"/>
    </row>
    <row r="19" spans="2:5" ht="15.75" customHeight="1" x14ac:dyDescent="0.2">
      <c r="B19" s="676"/>
      <c r="E19" s="676"/>
    </row>
    <row r="20" spans="2:5" ht="15.75" customHeight="1" x14ac:dyDescent="0.2">
      <c r="B20" s="676"/>
      <c r="E20" s="676"/>
    </row>
    <row r="21" spans="2:5" ht="15.75" customHeight="1" x14ac:dyDescent="0.2">
      <c r="B21" s="676"/>
      <c r="E21" s="676"/>
    </row>
    <row r="22" spans="2:5" ht="15.75" customHeight="1" x14ac:dyDescent="0.2">
      <c r="B22" s="676"/>
      <c r="E22" s="676"/>
    </row>
    <row r="23" spans="2:5" ht="15.75" customHeight="1" x14ac:dyDescent="0.2">
      <c r="B23" s="676"/>
      <c r="E23" s="676"/>
    </row>
    <row r="24" spans="2:5" ht="15.75" customHeight="1" x14ac:dyDescent="0.2">
      <c r="B24" s="676"/>
      <c r="E24" s="676"/>
    </row>
    <row r="25" spans="2:5" ht="15.75" customHeight="1" x14ac:dyDescent="0.2">
      <c r="B25" s="676"/>
      <c r="E25" s="676"/>
    </row>
    <row r="26" spans="2:5" ht="15.75" customHeight="1" x14ac:dyDescent="0.2">
      <c r="B26" s="676"/>
      <c r="E26" s="676"/>
    </row>
    <row r="27" spans="2:5" ht="15.75" customHeight="1" x14ac:dyDescent="0.2">
      <c r="B27" s="676"/>
      <c r="E27" s="676"/>
    </row>
    <row r="28" spans="2:5" ht="15.75" customHeight="1" x14ac:dyDescent="0.2">
      <c r="B28" s="676"/>
      <c r="E28" s="676"/>
    </row>
    <row r="29" spans="2:5" ht="15.75" customHeight="1" x14ac:dyDescent="0.2">
      <c r="B29" s="676"/>
      <c r="E29" s="676"/>
    </row>
    <row r="30" spans="2:5" ht="15.75" customHeight="1" x14ac:dyDescent="0.2">
      <c r="B30" s="676"/>
      <c r="E30" s="676"/>
    </row>
    <row r="31" spans="2:5" ht="15.75" customHeight="1" x14ac:dyDescent="0.2">
      <c r="B31" s="676"/>
      <c r="E31" s="676"/>
    </row>
    <row r="32" spans="2:5" ht="15.75" customHeight="1" x14ac:dyDescent="0.2">
      <c r="B32" s="676"/>
      <c r="E32" s="676"/>
    </row>
    <row r="33" spans="2:5" ht="15.75" customHeight="1" x14ac:dyDescent="0.2">
      <c r="B33" s="676"/>
      <c r="E33" s="676"/>
    </row>
    <row r="34" spans="2:5" ht="15.75" customHeight="1" x14ac:dyDescent="0.2">
      <c r="B34" s="676"/>
      <c r="E34" s="676"/>
    </row>
    <row r="35" spans="2:5" ht="15.75" customHeight="1" x14ac:dyDescent="0.2">
      <c r="B35" s="676"/>
      <c r="E35" s="676"/>
    </row>
    <row r="36" spans="2:5" ht="15.75" customHeight="1" x14ac:dyDescent="0.2">
      <c r="B36" s="676" t="s">
        <v>844</v>
      </c>
      <c r="D36" s="676"/>
      <c r="E36" s="676" t="s">
        <v>845</v>
      </c>
    </row>
    <row r="37" spans="2:5" ht="15.75" customHeight="1" x14ac:dyDescent="0.2">
      <c r="B37" s="676"/>
      <c r="D37" s="676"/>
      <c r="E37" s="676" t="s">
        <v>846</v>
      </c>
    </row>
    <row r="38" spans="2:5" ht="15.75" customHeight="1" x14ac:dyDescent="0.2">
      <c r="B38" s="676"/>
      <c r="D38" s="676"/>
      <c r="E38" s="676" t="s">
        <v>847</v>
      </c>
    </row>
    <row r="39" spans="2:5" ht="15.75" customHeight="1" x14ac:dyDescent="0.2">
      <c r="B39" s="676"/>
      <c r="D39" s="676"/>
      <c r="E39" s="676" t="s">
        <v>848</v>
      </c>
    </row>
    <row r="40" spans="2:5" ht="15.75" customHeight="1" x14ac:dyDescent="0.2"/>
    <row r="41" spans="2:5" ht="15.75" customHeight="1" x14ac:dyDescent="0.2">
      <c r="B41" s="676" t="s">
        <v>532</v>
      </c>
      <c r="E41" s="679" t="s">
        <v>849</v>
      </c>
    </row>
    <row r="42" spans="2:5" ht="15.75" customHeight="1" x14ac:dyDescent="0.2">
      <c r="B42" s="676"/>
      <c r="E42" s="679"/>
    </row>
    <row r="43" spans="2:5" ht="15.75" customHeight="1" x14ac:dyDescent="0.2">
      <c r="E43" s="679"/>
    </row>
    <row r="44" spans="2:5" ht="15.75" customHeight="1" x14ac:dyDescent="0.2">
      <c r="B44" s="676" t="s">
        <v>850</v>
      </c>
      <c r="D44" s="676"/>
      <c r="E44" s="679" t="s">
        <v>851</v>
      </c>
    </row>
    <row r="45" spans="2:5" ht="15.75" customHeight="1" x14ac:dyDescent="0.2">
      <c r="B45" s="676"/>
      <c r="D45" s="676"/>
      <c r="E45" s="676"/>
    </row>
    <row r="46" spans="2:5" ht="15.75" customHeight="1" x14ac:dyDescent="0.2">
      <c r="B46" s="676"/>
      <c r="D46" s="676"/>
    </row>
    <row r="47" spans="2:5" ht="15.75" customHeight="1" x14ac:dyDescent="0.2">
      <c r="B47" s="676"/>
      <c r="D47" s="676"/>
    </row>
    <row r="48" spans="2:5" ht="15.75" customHeight="1" x14ac:dyDescent="0.2">
      <c r="B48" s="676"/>
      <c r="D48" s="676"/>
    </row>
    <row r="49" spans="1:14" ht="15.75" customHeight="1" x14ac:dyDescent="0.2">
      <c r="B49" s="676"/>
      <c r="D49" s="676"/>
    </row>
    <row r="50" spans="1:14" ht="15.75" customHeight="1" x14ac:dyDescent="0.2">
      <c r="B50" s="676"/>
      <c r="D50" s="676"/>
    </row>
    <row r="51" spans="1:14" ht="15.75" customHeight="1" x14ac:dyDescent="0.2">
      <c r="B51" s="676"/>
      <c r="D51" s="676"/>
    </row>
    <row r="52" spans="1:14" ht="15.75" customHeight="1" x14ac:dyDescent="0.2">
      <c r="B52" s="676"/>
      <c r="D52" s="676"/>
    </row>
    <row r="53" spans="1:14" ht="15.75" customHeight="1" x14ac:dyDescent="0.2">
      <c r="B53" s="676"/>
      <c r="D53" s="676"/>
    </row>
    <row r="54" spans="1:14" ht="15.75" customHeight="1" x14ac:dyDescent="0.2">
      <c r="B54" s="676"/>
      <c r="D54" s="676"/>
    </row>
    <row r="55" spans="1:14" ht="15.75" customHeight="1" x14ac:dyDescent="0.2">
      <c r="B55" s="676"/>
    </row>
    <row r="56" spans="1:14" ht="15.75" customHeight="1" x14ac:dyDescent="0.2">
      <c r="B56" s="676"/>
    </row>
    <row r="57" spans="1:14" ht="15.75" customHeight="1" x14ac:dyDescent="0.2">
      <c r="B57" s="676"/>
    </row>
    <row r="58" spans="1:14" ht="15.75" customHeight="1" x14ac:dyDescent="0.2">
      <c r="B58" s="676"/>
    </row>
    <row r="59" spans="1:14" ht="3" customHeight="1" x14ac:dyDescent="0.2">
      <c r="A59" s="680"/>
      <c r="B59" s="681"/>
      <c r="C59" s="680"/>
      <c r="D59" s="680"/>
      <c r="E59" s="680"/>
      <c r="F59" s="680"/>
      <c r="G59" s="680"/>
      <c r="H59" s="680"/>
      <c r="I59" s="680"/>
      <c r="J59" s="680"/>
      <c r="K59" s="680"/>
      <c r="L59" s="680"/>
      <c r="M59" s="680"/>
      <c r="N59" s="680"/>
    </row>
    <row r="60" spans="1:14" ht="15.75" customHeight="1" x14ac:dyDescent="0.2">
      <c r="B60" s="676"/>
    </row>
    <row r="61" spans="1:14" ht="15.75" customHeight="1" x14ac:dyDescent="0.25">
      <c r="A61" s="868" t="s">
        <v>491</v>
      </c>
      <c r="B61" s="868"/>
      <c r="C61" s="868"/>
      <c r="D61" s="868"/>
      <c r="E61" s="868"/>
      <c r="F61" s="868"/>
      <c r="G61" s="868"/>
      <c r="H61" s="868"/>
      <c r="I61" s="868"/>
      <c r="J61" s="868"/>
      <c r="K61" s="682"/>
    </row>
    <row r="62" spans="1:14" ht="21.75" customHeight="1" x14ac:dyDescent="0.25">
      <c r="A62" s="868"/>
      <c r="B62" s="868"/>
      <c r="C62" s="868"/>
      <c r="D62" s="868"/>
      <c r="E62" s="868"/>
      <c r="F62" s="868"/>
      <c r="G62" s="868"/>
      <c r="H62" s="868"/>
      <c r="I62" s="868"/>
      <c r="J62" s="868"/>
      <c r="K62" s="682"/>
    </row>
    <row r="63" spans="1:14" ht="15.75" customHeight="1" x14ac:dyDescent="0.2">
      <c r="B63" s="676"/>
    </row>
    <row r="64" spans="1:14" ht="15.75" x14ac:dyDescent="0.2">
      <c r="B64" s="676"/>
    </row>
    <row r="65" spans="2:2" ht="18.75" customHeight="1" x14ac:dyDescent="0.2">
      <c r="B65" s="676"/>
    </row>
    <row r="66" spans="2:2" ht="13.5" customHeight="1" x14ac:dyDescent="0.2">
      <c r="B66" s="676"/>
    </row>
    <row r="67" spans="2:2" ht="15.75" x14ac:dyDescent="0.2">
      <c r="B67" s="676"/>
    </row>
    <row r="82" spans="12:12" x14ac:dyDescent="0.2">
      <c r="L82" s="683"/>
    </row>
    <row r="214" spans="1:14" ht="3" customHeight="1" x14ac:dyDescent="0.2">
      <c r="A214" s="680"/>
      <c r="B214" s="681"/>
      <c r="C214" s="680"/>
      <c r="D214" s="680"/>
      <c r="E214" s="680"/>
      <c r="F214" s="680"/>
      <c r="G214" s="680"/>
      <c r="H214" s="680"/>
      <c r="I214" s="680"/>
      <c r="J214" s="680"/>
      <c r="K214" s="680"/>
      <c r="L214" s="680"/>
      <c r="M214" s="680"/>
      <c r="N214" s="680"/>
    </row>
    <row r="217" spans="1:14" ht="18" x14ac:dyDescent="0.25">
      <c r="A217" s="684" t="s">
        <v>343</v>
      </c>
      <c r="B217" s="685"/>
    </row>
    <row r="218" spans="1:14" ht="15.75" x14ac:dyDescent="0.25">
      <c r="B218" s="1"/>
    </row>
    <row r="219" spans="1:14" ht="30" customHeight="1" x14ac:dyDescent="0.25">
      <c r="B219" s="848" t="s">
        <v>344</v>
      </c>
      <c r="C219" s="848"/>
      <c r="D219" s="848"/>
      <c r="E219" s="848"/>
      <c r="F219" s="848"/>
      <c r="G219" s="848"/>
      <c r="H219" s="848"/>
      <c r="I219" s="848"/>
      <c r="J219" s="2"/>
    </row>
    <row r="220" spans="1:14" ht="15.75" x14ac:dyDescent="0.25">
      <c r="B220" s="686" t="s">
        <v>654</v>
      </c>
    </row>
    <row r="221" spans="1:14" ht="15.75" x14ac:dyDescent="0.25">
      <c r="B221" s="1"/>
    </row>
    <row r="222" spans="1:14" ht="45.75" customHeight="1" x14ac:dyDescent="0.25">
      <c r="B222" s="848" t="s">
        <v>345</v>
      </c>
      <c r="C222" s="848"/>
      <c r="D222" s="848"/>
      <c r="E222" s="848"/>
      <c r="F222" s="848"/>
      <c r="G222" s="848"/>
      <c r="H222" s="848"/>
    </row>
    <row r="223" spans="1:14" ht="15.75" x14ac:dyDescent="0.25">
      <c r="B223" s="686" t="s">
        <v>655</v>
      </c>
    </row>
    <row r="224" spans="1:14" ht="15.75" x14ac:dyDescent="0.25">
      <c r="B224" s="1"/>
    </row>
    <row r="225" spans="2:2" ht="15.75" x14ac:dyDescent="0.25">
      <c r="B225" s="1" t="s">
        <v>656</v>
      </c>
    </row>
    <row r="226" spans="2:2" ht="15.75" x14ac:dyDescent="0.25">
      <c r="B226" s="686" t="s">
        <v>657</v>
      </c>
    </row>
    <row r="227" spans="2:2" ht="15.75" x14ac:dyDescent="0.25">
      <c r="B227" s="1"/>
    </row>
    <row r="228" spans="2:2" ht="15.75" x14ac:dyDescent="0.25">
      <c r="B228" s="1" t="s">
        <v>346</v>
      </c>
    </row>
    <row r="229" spans="2:2" ht="15.75" x14ac:dyDescent="0.25">
      <c r="B229" s="686" t="s">
        <v>658</v>
      </c>
    </row>
    <row r="230" spans="2:2" ht="15.75" x14ac:dyDescent="0.25">
      <c r="B230" s="1"/>
    </row>
    <row r="231" spans="2:2" ht="15.75" x14ac:dyDescent="0.25">
      <c r="B231" s="1" t="s">
        <v>347</v>
      </c>
    </row>
    <row r="232" spans="2:2" ht="15.75" x14ac:dyDescent="0.25">
      <c r="B232" s="686" t="s">
        <v>659</v>
      </c>
    </row>
    <row r="233" spans="2:2" ht="15.75" x14ac:dyDescent="0.25">
      <c r="B233" s="1"/>
    </row>
    <row r="234" spans="2:2" ht="15.75" x14ac:dyDescent="0.25">
      <c r="B234" s="1" t="s">
        <v>660</v>
      </c>
    </row>
    <row r="235" spans="2:2" ht="15.75" x14ac:dyDescent="0.25">
      <c r="B235" s="686" t="s">
        <v>661</v>
      </c>
    </row>
    <row r="236" spans="2:2" ht="15.75" x14ac:dyDescent="0.25">
      <c r="B236" s="1"/>
    </row>
    <row r="237" spans="2:2" ht="15.75" x14ac:dyDescent="0.25">
      <c r="B237" s="1" t="s">
        <v>348</v>
      </c>
    </row>
    <row r="238" spans="2:2" ht="15.75" x14ac:dyDescent="0.25">
      <c r="B238" s="686" t="s">
        <v>662</v>
      </c>
    </row>
    <row r="239" spans="2:2" ht="15.75" x14ac:dyDescent="0.25">
      <c r="B239" s="1"/>
    </row>
    <row r="240" spans="2:2" ht="15.75" x14ac:dyDescent="0.25">
      <c r="B240" s="1" t="s">
        <v>349</v>
      </c>
    </row>
    <row r="241" spans="2:2" ht="15.75" x14ac:dyDescent="0.25">
      <c r="B241" s="686" t="s">
        <v>663</v>
      </c>
    </row>
    <row r="242" spans="2:2" ht="15.75" x14ac:dyDescent="0.25">
      <c r="B242" s="1"/>
    </row>
    <row r="243" spans="2:2" ht="15.75" x14ac:dyDescent="0.25">
      <c r="B243" s="1" t="s">
        <v>350</v>
      </c>
    </row>
    <row r="244" spans="2:2" ht="15.75" x14ac:dyDescent="0.25">
      <c r="B244" s="686" t="s">
        <v>664</v>
      </c>
    </row>
    <row r="245" spans="2:2" ht="15.75" x14ac:dyDescent="0.25">
      <c r="B245" s="1"/>
    </row>
  </sheetData>
  <sheetProtection sheet="1" objects="1" scenarios="1"/>
  <mergeCells count="3">
    <mergeCell ref="A61:J62"/>
    <mergeCell ref="B219:I219"/>
    <mergeCell ref="B222:H222"/>
  </mergeCells>
  <hyperlinks>
    <hyperlink ref="B244" r:id="rId1" xr:uid="{7717B2F1-9252-4089-94A2-D0FEE5CA0394}"/>
  </hyperlinks>
  <pageMargins left="0.7" right="0.7" top="0.75" bottom="0.75" header="0.3" footer="0.3"/>
  <pageSetup orientation="landscape" r:id="rId2"/>
  <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D3CAC-8052-4EAF-9CC6-B857809D85C4}">
  <sheetPr codeName="Sheet331"/>
  <dimension ref="A1:A319"/>
  <sheetViews>
    <sheetView workbookViewId="0"/>
  </sheetViews>
  <sheetFormatPr defaultColWidth="8.88671875" defaultRowHeight="15.75" x14ac:dyDescent="0.2"/>
  <cols>
    <col min="1" max="1" width="83.6640625" style="64" customWidth="1"/>
    <col min="2" max="16384" width="8.88671875" style="63"/>
  </cols>
  <sheetData>
    <row r="1" spans="1:1" x14ac:dyDescent="0.2">
      <c r="A1" s="649" t="s">
        <v>984</v>
      </c>
    </row>
    <row r="2" spans="1:1" x14ac:dyDescent="0.2">
      <c r="A2" s="64" t="s">
        <v>980</v>
      </c>
    </row>
    <row r="3" spans="1:1" x14ac:dyDescent="0.2">
      <c r="A3" s="64" t="s">
        <v>981</v>
      </c>
    </row>
    <row r="4" spans="1:1" x14ac:dyDescent="0.2">
      <c r="A4" s="63" t="s">
        <v>982</v>
      </c>
    </row>
    <row r="5" spans="1:1" x14ac:dyDescent="0.2">
      <c r="A5" s="63" t="s">
        <v>985</v>
      </c>
    </row>
    <row r="7" spans="1:1" x14ac:dyDescent="0.2">
      <c r="A7" s="649" t="s">
        <v>977</v>
      </c>
    </row>
    <row r="8" spans="1:1" x14ac:dyDescent="0.2">
      <c r="A8" s="64" t="s">
        <v>978</v>
      </c>
    </row>
    <row r="9" spans="1:1" x14ac:dyDescent="0.2">
      <c r="A9" s="64" t="s">
        <v>979</v>
      </c>
    </row>
    <row r="11" spans="1:1" x14ac:dyDescent="0.2">
      <c r="A11" s="649" t="s">
        <v>852</v>
      </c>
    </row>
    <row r="12" spans="1:1" x14ac:dyDescent="0.2">
      <c r="A12" s="64" t="s">
        <v>853</v>
      </c>
    </row>
    <row r="13" spans="1:1" ht="17.25" customHeight="1" x14ac:dyDescent="0.2">
      <c r="A13" s="64" t="s">
        <v>854</v>
      </c>
    </row>
    <row r="14" spans="1:1" x14ac:dyDescent="0.2">
      <c r="A14" s="64" t="s">
        <v>855</v>
      </c>
    </row>
    <row r="15" spans="1:1" x14ac:dyDescent="0.2">
      <c r="A15" s="64" t="s">
        <v>856</v>
      </c>
    </row>
    <row r="16" spans="1:1" x14ac:dyDescent="0.2">
      <c r="A16" s="64" t="s">
        <v>857</v>
      </c>
    </row>
    <row r="18" spans="1:1" x14ac:dyDescent="0.2">
      <c r="A18" s="649" t="s">
        <v>858</v>
      </c>
    </row>
    <row r="19" spans="1:1" x14ac:dyDescent="0.2">
      <c r="A19" s="64" t="s">
        <v>665</v>
      </c>
    </row>
    <row r="20" spans="1:1" x14ac:dyDescent="0.2">
      <c r="A20" s="64" t="s">
        <v>666</v>
      </c>
    </row>
    <row r="21" spans="1:1" ht="31.5" x14ac:dyDescent="0.2">
      <c r="A21" s="64" t="s">
        <v>667</v>
      </c>
    </row>
    <row r="22" spans="1:1" ht="31.5" x14ac:dyDescent="0.2">
      <c r="A22" s="64" t="s">
        <v>668</v>
      </c>
    </row>
    <row r="23" spans="1:1" x14ac:dyDescent="0.2">
      <c r="A23" s="64" t="s">
        <v>669</v>
      </c>
    </row>
    <row r="24" spans="1:1" ht="31.5" x14ac:dyDescent="0.2">
      <c r="A24" s="64" t="s">
        <v>670</v>
      </c>
    </row>
    <row r="25" spans="1:1" x14ac:dyDescent="0.2">
      <c r="A25" s="64" t="s">
        <v>671</v>
      </c>
    </row>
    <row r="26" spans="1:1" x14ac:dyDescent="0.2">
      <c r="A26" s="64" t="s">
        <v>672</v>
      </c>
    </row>
    <row r="27" spans="1:1" x14ac:dyDescent="0.2">
      <c r="A27" s="64" t="s">
        <v>673</v>
      </c>
    </row>
    <row r="28" spans="1:1" x14ac:dyDescent="0.2">
      <c r="A28" s="64" t="s">
        <v>674</v>
      </c>
    </row>
    <row r="30" spans="1:1" x14ac:dyDescent="0.2">
      <c r="A30" s="649" t="s">
        <v>534</v>
      </c>
    </row>
    <row r="31" spans="1:1" x14ac:dyDescent="0.2">
      <c r="A31" s="64" t="s">
        <v>535</v>
      </c>
    </row>
    <row r="32" spans="1:1" x14ac:dyDescent="0.2">
      <c r="A32" s="64" t="s">
        <v>536</v>
      </c>
    </row>
    <row r="33" spans="1:1" x14ac:dyDescent="0.2">
      <c r="A33" s="64" t="s">
        <v>537</v>
      </c>
    </row>
    <row r="34" spans="1:1" x14ac:dyDescent="0.2">
      <c r="A34" s="64" t="s">
        <v>538</v>
      </c>
    </row>
    <row r="35" spans="1:1" x14ac:dyDescent="0.2">
      <c r="A35" s="64" t="s">
        <v>859</v>
      </c>
    </row>
    <row r="37" spans="1:1" x14ac:dyDescent="0.25">
      <c r="A37" s="650" t="s">
        <v>860</v>
      </c>
    </row>
    <row r="38" spans="1:1" x14ac:dyDescent="0.2">
      <c r="A38" s="64" t="s">
        <v>526</v>
      </c>
    </row>
    <row r="39" spans="1:1" ht="31.5" x14ac:dyDescent="0.2">
      <c r="A39" s="64" t="s">
        <v>527</v>
      </c>
    </row>
    <row r="40" spans="1:1" x14ac:dyDescent="0.2">
      <c r="A40" s="64" t="s">
        <v>528</v>
      </c>
    </row>
    <row r="41" spans="1:1" x14ac:dyDescent="0.2">
      <c r="A41" s="64" t="s">
        <v>529</v>
      </c>
    </row>
    <row r="42" spans="1:1" x14ac:dyDescent="0.2">
      <c r="A42" s="64" t="s">
        <v>530</v>
      </c>
    </row>
    <row r="45" spans="1:1" x14ac:dyDescent="0.25">
      <c r="A45" s="650" t="s">
        <v>861</v>
      </c>
    </row>
    <row r="46" spans="1:1" x14ac:dyDescent="0.2">
      <c r="A46" s="64" t="s">
        <v>862</v>
      </c>
    </row>
    <row r="47" spans="1:1" x14ac:dyDescent="0.2">
      <c r="A47" s="64" t="s">
        <v>863</v>
      </c>
    </row>
    <row r="48" spans="1:1" x14ac:dyDescent="0.2">
      <c r="A48" s="64" t="s">
        <v>864</v>
      </c>
    </row>
    <row r="49" spans="1:1" x14ac:dyDescent="0.2">
      <c r="A49" s="64" t="s">
        <v>865</v>
      </c>
    </row>
    <row r="50" spans="1:1" x14ac:dyDescent="0.2">
      <c r="A50" s="64" t="s">
        <v>866</v>
      </c>
    </row>
    <row r="51" spans="1:1" x14ac:dyDescent="0.2">
      <c r="A51" s="64" t="s">
        <v>867</v>
      </c>
    </row>
    <row r="53" spans="1:1" x14ac:dyDescent="0.25">
      <c r="A53" s="650" t="s">
        <v>516</v>
      </c>
    </row>
    <row r="54" spans="1:1" x14ac:dyDescent="0.2">
      <c r="A54" s="64" t="s">
        <v>517</v>
      </c>
    </row>
    <row r="55" spans="1:1" x14ac:dyDescent="0.2">
      <c r="A55" s="64" t="s">
        <v>518</v>
      </c>
    </row>
    <row r="56" spans="1:1" x14ac:dyDescent="0.2">
      <c r="A56" s="64" t="s">
        <v>519</v>
      </c>
    </row>
    <row r="57" spans="1:1" x14ac:dyDescent="0.2">
      <c r="A57" s="64" t="s">
        <v>520</v>
      </c>
    </row>
    <row r="58" spans="1:1" x14ac:dyDescent="0.2">
      <c r="A58" s="64" t="s">
        <v>521</v>
      </c>
    </row>
    <row r="59" spans="1:1" x14ac:dyDescent="0.2">
      <c r="A59" s="64" t="s">
        <v>522</v>
      </c>
    </row>
    <row r="60" spans="1:1" x14ac:dyDescent="0.2">
      <c r="A60" s="64" t="s">
        <v>523</v>
      </c>
    </row>
    <row r="61" spans="1:1" x14ac:dyDescent="0.2">
      <c r="A61" s="64" t="s">
        <v>524</v>
      </c>
    </row>
    <row r="63" spans="1:1" x14ac:dyDescent="0.25">
      <c r="A63" s="650" t="s">
        <v>510</v>
      </c>
    </row>
    <row r="64" spans="1:1" x14ac:dyDescent="0.2">
      <c r="A64" s="521" t="s">
        <v>511</v>
      </c>
    </row>
    <row r="65" spans="1:1" x14ac:dyDescent="0.2">
      <c r="A65" s="521" t="s">
        <v>512</v>
      </c>
    </row>
    <row r="67" spans="1:1" x14ac:dyDescent="0.25">
      <c r="A67" s="651" t="s">
        <v>868</v>
      </c>
    </row>
    <row r="68" spans="1:1" x14ac:dyDescent="0.25">
      <c r="A68" s="2" t="s">
        <v>509</v>
      </c>
    </row>
    <row r="70" spans="1:1" x14ac:dyDescent="0.25">
      <c r="A70" s="651" t="s">
        <v>869</v>
      </c>
    </row>
    <row r="71" spans="1:1" x14ac:dyDescent="0.25">
      <c r="A71" s="2" t="s">
        <v>870</v>
      </c>
    </row>
    <row r="72" spans="1:1" x14ac:dyDescent="0.25">
      <c r="A72" s="2" t="s">
        <v>871</v>
      </c>
    </row>
    <row r="73" spans="1:1" x14ac:dyDescent="0.25">
      <c r="A73" s="2" t="s">
        <v>872</v>
      </c>
    </row>
    <row r="74" spans="1:1" x14ac:dyDescent="0.25">
      <c r="A74" s="2" t="s">
        <v>873</v>
      </c>
    </row>
    <row r="75" spans="1:1" x14ac:dyDescent="0.25">
      <c r="A75" s="2" t="s">
        <v>874</v>
      </c>
    </row>
    <row r="76" spans="1:1" x14ac:dyDescent="0.25">
      <c r="A76" s="2" t="s">
        <v>875</v>
      </c>
    </row>
    <row r="78" spans="1:1" x14ac:dyDescent="0.2">
      <c r="A78" s="652" t="s">
        <v>506</v>
      </c>
    </row>
    <row r="79" spans="1:1" x14ac:dyDescent="0.2">
      <c r="A79" s="521" t="s">
        <v>507</v>
      </c>
    </row>
    <row r="80" spans="1:1" x14ac:dyDescent="0.2">
      <c r="A80" s="64" t="s">
        <v>508</v>
      </c>
    </row>
    <row r="82" spans="1:1" x14ac:dyDescent="0.2">
      <c r="A82" s="652" t="s">
        <v>876</v>
      </c>
    </row>
    <row r="83" spans="1:1" x14ac:dyDescent="0.2">
      <c r="A83" s="521" t="s">
        <v>505</v>
      </c>
    </row>
    <row r="85" spans="1:1" x14ac:dyDescent="0.2">
      <c r="A85" s="652" t="s">
        <v>877</v>
      </c>
    </row>
    <row r="86" spans="1:1" x14ac:dyDescent="0.2">
      <c r="A86" s="521" t="s">
        <v>878</v>
      </c>
    </row>
    <row r="88" spans="1:1" x14ac:dyDescent="0.2">
      <c r="A88" s="652" t="s">
        <v>879</v>
      </c>
    </row>
    <row r="89" spans="1:1" x14ac:dyDescent="0.2">
      <c r="A89" s="521" t="s">
        <v>480</v>
      </c>
    </row>
    <row r="91" spans="1:1" x14ac:dyDescent="0.2">
      <c r="A91" s="652" t="s">
        <v>478</v>
      </c>
    </row>
    <row r="92" spans="1:1" x14ac:dyDescent="0.2">
      <c r="A92" s="521" t="s">
        <v>479</v>
      </c>
    </row>
    <row r="94" spans="1:1" x14ac:dyDescent="0.2">
      <c r="A94" s="652" t="s">
        <v>880</v>
      </c>
    </row>
    <row r="95" spans="1:1" x14ac:dyDescent="0.2">
      <c r="A95" s="521" t="s">
        <v>467</v>
      </c>
    </row>
    <row r="97" spans="1:1" x14ac:dyDescent="0.2">
      <c r="A97" s="652" t="s">
        <v>881</v>
      </c>
    </row>
    <row r="98" spans="1:1" x14ac:dyDescent="0.2">
      <c r="A98" s="620" t="s">
        <v>466</v>
      </c>
    </row>
    <row r="100" spans="1:1" x14ac:dyDescent="0.2">
      <c r="A100" s="652" t="s">
        <v>882</v>
      </c>
    </row>
    <row r="101" spans="1:1" x14ac:dyDescent="0.2">
      <c r="A101" s="64" t="s">
        <v>883</v>
      </c>
    </row>
    <row r="103" spans="1:1" x14ac:dyDescent="0.2">
      <c r="A103" s="652" t="s">
        <v>468</v>
      </c>
    </row>
    <row r="104" spans="1:1" x14ac:dyDescent="0.2">
      <c r="A104" s="64" t="s">
        <v>465</v>
      </c>
    </row>
    <row r="106" spans="1:1" x14ac:dyDescent="0.2">
      <c r="A106" s="652" t="s">
        <v>469</v>
      </c>
    </row>
    <row r="107" spans="1:1" x14ac:dyDescent="0.2">
      <c r="A107" s="64" t="s">
        <v>464</v>
      </c>
    </row>
    <row r="109" spans="1:1" x14ac:dyDescent="0.2">
      <c r="A109" s="652" t="s">
        <v>470</v>
      </c>
    </row>
    <row r="110" spans="1:1" x14ac:dyDescent="0.2">
      <c r="A110" s="653" t="s">
        <v>463</v>
      </c>
    </row>
    <row r="112" spans="1:1" x14ac:dyDescent="0.2">
      <c r="A112" s="652" t="s">
        <v>471</v>
      </c>
    </row>
    <row r="113" spans="1:1" x14ac:dyDescent="0.2">
      <c r="A113" s="64" t="s">
        <v>462</v>
      </c>
    </row>
    <row r="115" spans="1:1" x14ac:dyDescent="0.2">
      <c r="A115" s="652" t="s">
        <v>884</v>
      </c>
    </row>
    <row r="116" spans="1:1" x14ac:dyDescent="0.2">
      <c r="A116" s="64" t="s">
        <v>885</v>
      </c>
    </row>
    <row r="117" spans="1:1" x14ac:dyDescent="0.2">
      <c r="A117" s="64" t="s">
        <v>886</v>
      </c>
    </row>
    <row r="119" spans="1:1" x14ac:dyDescent="0.2">
      <c r="A119" s="652" t="s">
        <v>472</v>
      </c>
    </row>
    <row r="120" spans="1:1" x14ac:dyDescent="0.2">
      <c r="A120" s="687" t="s">
        <v>461</v>
      </c>
    </row>
    <row r="122" spans="1:1" x14ac:dyDescent="0.2">
      <c r="A122" s="652" t="s">
        <v>473</v>
      </c>
    </row>
    <row r="123" spans="1:1" x14ac:dyDescent="0.2">
      <c r="A123" s="653" t="s">
        <v>426</v>
      </c>
    </row>
    <row r="124" spans="1:1" x14ac:dyDescent="0.2">
      <c r="A124" s="64" t="s">
        <v>427</v>
      </c>
    </row>
    <row r="125" spans="1:1" x14ac:dyDescent="0.2">
      <c r="A125" s="64" t="s">
        <v>428</v>
      </c>
    </row>
    <row r="126" spans="1:1" x14ac:dyDescent="0.2">
      <c r="A126" s="64" t="s">
        <v>429</v>
      </c>
    </row>
    <row r="127" spans="1:1" x14ac:dyDescent="0.2">
      <c r="A127" s="64" t="s">
        <v>430</v>
      </c>
    </row>
    <row r="128" spans="1:1" x14ac:dyDescent="0.2">
      <c r="A128" s="64" t="s">
        <v>431</v>
      </c>
    </row>
    <row r="129" spans="1:1" x14ac:dyDescent="0.2">
      <c r="A129" s="64" t="s">
        <v>432</v>
      </c>
    </row>
    <row r="130" spans="1:1" x14ac:dyDescent="0.2">
      <c r="A130" s="64" t="s">
        <v>433</v>
      </c>
    </row>
    <row r="131" spans="1:1" ht="48.75" customHeight="1" x14ac:dyDescent="0.2">
      <c r="A131" s="64" t="s">
        <v>434</v>
      </c>
    </row>
    <row r="132" spans="1:1" x14ac:dyDescent="0.2">
      <c r="A132" s="64" t="s">
        <v>435</v>
      </c>
    </row>
    <row r="133" spans="1:1" ht="36" customHeight="1" x14ac:dyDescent="0.2">
      <c r="A133" s="64" t="s">
        <v>436</v>
      </c>
    </row>
    <row r="134" spans="1:1" x14ac:dyDescent="0.2">
      <c r="A134" s="64" t="s">
        <v>437</v>
      </c>
    </row>
    <row r="135" spans="1:1" x14ac:dyDescent="0.2">
      <c r="A135" s="64" t="s">
        <v>438</v>
      </c>
    </row>
    <row r="136" spans="1:1" x14ac:dyDescent="0.2">
      <c r="A136" s="64" t="s">
        <v>439</v>
      </c>
    </row>
    <row r="137" spans="1:1" x14ac:dyDescent="0.2">
      <c r="A137" s="64" t="s">
        <v>440</v>
      </c>
    </row>
    <row r="138" spans="1:1" x14ac:dyDescent="0.2">
      <c r="A138" s="64" t="s">
        <v>441</v>
      </c>
    </row>
    <row r="139" spans="1:1" ht="47.25" x14ac:dyDescent="0.2">
      <c r="A139" s="64" t="s">
        <v>442</v>
      </c>
    </row>
    <row r="140" spans="1:1" x14ac:dyDescent="0.2">
      <c r="A140" s="620" t="s">
        <v>443</v>
      </c>
    </row>
    <row r="141" spans="1:1" ht="31.5" x14ac:dyDescent="0.2">
      <c r="A141" s="64" t="s">
        <v>444</v>
      </c>
    </row>
    <row r="142" spans="1:1" x14ac:dyDescent="0.2">
      <c r="A142" s="64" t="s">
        <v>445</v>
      </c>
    </row>
    <row r="143" spans="1:1" x14ac:dyDescent="0.2">
      <c r="A143" s="64" t="s">
        <v>446</v>
      </c>
    </row>
    <row r="144" spans="1:1" x14ac:dyDescent="0.2">
      <c r="A144" s="64" t="s">
        <v>447</v>
      </c>
    </row>
    <row r="145" spans="1:1" x14ac:dyDescent="0.2">
      <c r="A145" s="64" t="s">
        <v>448</v>
      </c>
    </row>
    <row r="146" spans="1:1" x14ac:dyDescent="0.2">
      <c r="A146" s="64" t="s">
        <v>449</v>
      </c>
    </row>
    <row r="147" spans="1:1" ht="15.75" customHeight="1" x14ac:dyDescent="0.2">
      <c r="A147" s="64" t="s">
        <v>450</v>
      </c>
    </row>
    <row r="148" spans="1:1" x14ac:dyDescent="0.2">
      <c r="A148" s="64" t="s">
        <v>451</v>
      </c>
    </row>
    <row r="149" spans="1:1" ht="31.5" x14ac:dyDescent="0.2">
      <c r="A149" s="64" t="s">
        <v>452</v>
      </c>
    </row>
    <row r="150" spans="1:1" x14ac:dyDescent="0.2">
      <c r="A150" s="64" t="s">
        <v>453</v>
      </c>
    </row>
    <row r="151" spans="1:1" x14ac:dyDescent="0.2">
      <c r="A151" s="64" t="s">
        <v>454</v>
      </c>
    </row>
    <row r="152" spans="1:1" x14ac:dyDescent="0.2">
      <c r="A152" s="64" t="s">
        <v>455</v>
      </c>
    </row>
    <row r="153" spans="1:1" x14ac:dyDescent="0.2">
      <c r="A153" s="64" t="s">
        <v>456</v>
      </c>
    </row>
    <row r="154" spans="1:1" ht="15.75" customHeight="1" x14ac:dyDescent="0.2">
      <c r="A154" s="64" t="s">
        <v>457</v>
      </c>
    </row>
    <row r="155" spans="1:1" x14ac:dyDescent="0.2">
      <c r="A155" s="64" t="s">
        <v>458</v>
      </c>
    </row>
    <row r="156" spans="1:1" x14ac:dyDescent="0.2">
      <c r="A156" s="64" t="s">
        <v>459</v>
      </c>
    </row>
    <row r="157" spans="1:1" x14ac:dyDescent="0.2">
      <c r="A157" s="64" t="s">
        <v>887</v>
      </c>
    </row>
    <row r="159" spans="1:1" x14ac:dyDescent="0.2">
      <c r="A159" s="652" t="s">
        <v>888</v>
      </c>
    </row>
    <row r="160" spans="1:1" ht="31.5" x14ac:dyDescent="0.2">
      <c r="A160" s="64" t="s">
        <v>889</v>
      </c>
    </row>
    <row r="162" spans="1:1" x14ac:dyDescent="0.2">
      <c r="A162" s="652" t="s">
        <v>890</v>
      </c>
    </row>
    <row r="163" spans="1:1" x14ac:dyDescent="0.2">
      <c r="A163" s="64" t="s">
        <v>891</v>
      </c>
    </row>
    <row r="164" spans="1:1" ht="15.75" customHeight="1" x14ac:dyDescent="0.2">
      <c r="A164" s="64" t="s">
        <v>892</v>
      </c>
    </row>
    <row r="166" spans="1:1" x14ac:dyDescent="0.2">
      <c r="A166" s="652" t="s">
        <v>893</v>
      </c>
    </row>
    <row r="167" spans="1:1" x14ac:dyDescent="0.2">
      <c r="A167" s="64" t="s">
        <v>894</v>
      </c>
    </row>
    <row r="169" spans="1:1" ht="19.5" customHeight="1" x14ac:dyDescent="0.2">
      <c r="A169" s="652" t="s">
        <v>895</v>
      </c>
    </row>
    <row r="170" spans="1:1" x14ac:dyDescent="0.2">
      <c r="A170" s="64" t="s">
        <v>896</v>
      </c>
    </row>
    <row r="172" spans="1:1" x14ac:dyDescent="0.2">
      <c r="A172" s="652" t="s">
        <v>474</v>
      </c>
    </row>
    <row r="173" spans="1:1" x14ac:dyDescent="0.2">
      <c r="A173" s="373" t="s">
        <v>358</v>
      </c>
    </row>
    <row r="174" spans="1:1" x14ac:dyDescent="0.2">
      <c r="A174" s="373" t="s">
        <v>897</v>
      </c>
    </row>
    <row r="176" spans="1:1" x14ac:dyDescent="0.2">
      <c r="A176" s="652" t="s">
        <v>898</v>
      </c>
    </row>
    <row r="177" spans="1:1" x14ac:dyDescent="0.2">
      <c r="A177" s="64" t="s">
        <v>899</v>
      </c>
    </row>
    <row r="178" spans="1:1" x14ac:dyDescent="0.2">
      <c r="A178" s="64" t="s">
        <v>900</v>
      </c>
    </row>
    <row r="179" spans="1:1" x14ac:dyDescent="0.2">
      <c r="A179" s="64" t="s">
        <v>901</v>
      </c>
    </row>
    <row r="181" spans="1:1" x14ac:dyDescent="0.2">
      <c r="A181" s="652" t="s">
        <v>902</v>
      </c>
    </row>
    <row r="182" spans="1:1" x14ac:dyDescent="0.2">
      <c r="A182" s="373" t="s">
        <v>355</v>
      </c>
    </row>
    <row r="183" spans="1:1" x14ac:dyDescent="0.2">
      <c r="A183" s="373" t="s">
        <v>356</v>
      </c>
    </row>
    <row r="184" spans="1:1" ht="31.5" x14ac:dyDescent="0.2">
      <c r="A184" s="373" t="s">
        <v>903</v>
      </c>
    </row>
    <row r="185" spans="1:1" x14ac:dyDescent="0.2">
      <c r="A185" s="373" t="s">
        <v>904</v>
      </c>
    </row>
    <row r="186" spans="1:1" x14ac:dyDescent="0.2">
      <c r="A186" s="373" t="s">
        <v>905</v>
      </c>
    </row>
    <row r="187" spans="1:1" x14ac:dyDescent="0.2">
      <c r="A187" s="373" t="s">
        <v>906</v>
      </c>
    </row>
    <row r="188" spans="1:1" x14ac:dyDescent="0.2">
      <c r="A188" s="373" t="s">
        <v>907</v>
      </c>
    </row>
    <row r="189" spans="1:1" x14ac:dyDescent="0.2">
      <c r="A189" s="373" t="s">
        <v>908</v>
      </c>
    </row>
    <row r="190" spans="1:1" x14ac:dyDescent="0.2">
      <c r="A190" s="373" t="s">
        <v>909</v>
      </c>
    </row>
    <row r="191" spans="1:1" x14ac:dyDescent="0.2">
      <c r="A191" s="373" t="s">
        <v>910</v>
      </c>
    </row>
    <row r="192" spans="1:1" x14ac:dyDescent="0.2">
      <c r="A192" s="373" t="s">
        <v>911</v>
      </c>
    </row>
    <row r="193" spans="1:1" x14ac:dyDescent="0.2">
      <c r="A193" s="373" t="s">
        <v>912</v>
      </c>
    </row>
    <row r="194" spans="1:1" x14ac:dyDescent="0.2">
      <c r="A194" s="373" t="s">
        <v>913</v>
      </c>
    </row>
    <row r="195" spans="1:1" x14ac:dyDescent="0.2">
      <c r="A195" s="373" t="s">
        <v>914</v>
      </c>
    </row>
    <row r="196" spans="1:1" x14ac:dyDescent="0.2">
      <c r="A196" s="373" t="s">
        <v>915</v>
      </c>
    </row>
    <row r="197" spans="1:1" x14ac:dyDescent="0.2">
      <c r="A197" s="373" t="s">
        <v>916</v>
      </c>
    </row>
    <row r="198" spans="1:1" x14ac:dyDescent="0.2">
      <c r="A198" s="373" t="s">
        <v>917</v>
      </c>
    </row>
    <row r="199" spans="1:1" ht="18" customHeight="1" x14ac:dyDescent="0.2">
      <c r="A199" s="373" t="s">
        <v>918</v>
      </c>
    </row>
    <row r="200" spans="1:1" x14ac:dyDescent="0.2">
      <c r="A200" s="373" t="s">
        <v>919</v>
      </c>
    </row>
    <row r="201" spans="1:1" x14ac:dyDescent="0.2">
      <c r="A201" s="373" t="s">
        <v>920</v>
      </c>
    </row>
    <row r="202" spans="1:1" x14ac:dyDescent="0.2">
      <c r="A202" s="373" t="s">
        <v>921</v>
      </c>
    </row>
    <row r="203" spans="1:1" x14ac:dyDescent="0.2">
      <c r="A203" s="373" t="s">
        <v>922</v>
      </c>
    </row>
    <row r="204" spans="1:1" ht="16.5" customHeight="1" x14ac:dyDescent="0.2">
      <c r="A204" s="373" t="s">
        <v>923</v>
      </c>
    </row>
    <row r="205" spans="1:1" x14ac:dyDescent="0.2">
      <c r="A205" s="373" t="s">
        <v>924</v>
      </c>
    </row>
    <row r="206" spans="1:1" x14ac:dyDescent="0.2">
      <c r="A206" s="373" t="s">
        <v>925</v>
      </c>
    </row>
    <row r="207" spans="1:1" x14ac:dyDescent="0.2">
      <c r="A207" s="373" t="s">
        <v>926</v>
      </c>
    </row>
    <row r="208" spans="1:1" x14ac:dyDescent="0.2">
      <c r="A208" s="373" t="s">
        <v>927</v>
      </c>
    </row>
    <row r="209" spans="1:1" x14ac:dyDescent="0.2">
      <c r="A209" s="373" t="s">
        <v>928</v>
      </c>
    </row>
    <row r="211" spans="1:1" x14ac:dyDescent="0.2">
      <c r="A211" s="652" t="s">
        <v>475</v>
      </c>
    </row>
    <row r="212" spans="1:1" x14ac:dyDescent="0.2">
      <c r="A212" s="64" t="s">
        <v>320</v>
      </c>
    </row>
    <row r="213" spans="1:1" x14ac:dyDescent="0.2">
      <c r="A213" s="64" t="s">
        <v>321</v>
      </c>
    </row>
    <row r="214" spans="1:1" ht="17.25" customHeight="1" x14ac:dyDescent="0.2">
      <c r="A214" s="64" t="s">
        <v>322</v>
      </c>
    </row>
    <row r="216" spans="1:1" x14ac:dyDescent="0.2">
      <c r="A216" s="652" t="s">
        <v>476</v>
      </c>
    </row>
    <row r="217" spans="1:1" x14ac:dyDescent="0.2">
      <c r="A217" s="64" t="s">
        <v>319</v>
      </c>
    </row>
    <row r="218" spans="1:1" x14ac:dyDescent="0.2">
      <c r="A218" s="64" t="s">
        <v>929</v>
      </c>
    </row>
    <row r="220" spans="1:1" ht="21.75" customHeight="1" x14ac:dyDescent="0.2">
      <c r="A220" s="652" t="s">
        <v>477</v>
      </c>
    </row>
    <row r="221" spans="1:1" x14ac:dyDescent="0.2">
      <c r="A221" s="688" t="s">
        <v>307</v>
      </c>
    </row>
    <row r="222" spans="1:1" ht="16.5" customHeight="1" x14ac:dyDescent="0.2">
      <c r="A222" s="688" t="s">
        <v>308</v>
      </c>
    </row>
    <row r="223" spans="1:1" x14ac:dyDescent="0.2">
      <c r="A223" s="688" t="s">
        <v>309</v>
      </c>
    </row>
    <row r="224" spans="1:1" x14ac:dyDescent="0.2">
      <c r="A224" s="64" t="s">
        <v>311</v>
      </c>
    </row>
    <row r="226" spans="1:1" x14ac:dyDescent="0.2">
      <c r="A226" s="649" t="s">
        <v>930</v>
      </c>
    </row>
    <row r="227" spans="1:1" x14ac:dyDescent="0.2">
      <c r="A227" s="654" t="s">
        <v>273</v>
      </c>
    </row>
    <row r="228" spans="1:1" x14ac:dyDescent="0.2">
      <c r="A228" s="64" t="s">
        <v>274</v>
      </c>
    </row>
    <row r="229" spans="1:1" x14ac:dyDescent="0.2">
      <c r="A229" s="64" t="s">
        <v>275</v>
      </c>
    </row>
    <row r="230" spans="1:1" ht="31.5" x14ac:dyDescent="0.2">
      <c r="A230" s="689" t="s">
        <v>276</v>
      </c>
    </row>
    <row r="231" spans="1:1" ht="16.5" customHeight="1" x14ac:dyDescent="0.2">
      <c r="A231" s="64" t="s">
        <v>277</v>
      </c>
    </row>
    <row r="232" spans="1:1" x14ac:dyDescent="0.2">
      <c r="A232" s="64" t="s">
        <v>278</v>
      </c>
    </row>
    <row r="233" spans="1:1" x14ac:dyDescent="0.2">
      <c r="A233" s="64" t="s">
        <v>279</v>
      </c>
    </row>
    <row r="234" spans="1:1" x14ac:dyDescent="0.2">
      <c r="A234" s="64" t="s">
        <v>280</v>
      </c>
    </row>
    <row r="235" spans="1:1" x14ac:dyDescent="0.2">
      <c r="A235" s="64" t="s">
        <v>931</v>
      </c>
    </row>
    <row r="237" spans="1:1" x14ac:dyDescent="0.2">
      <c r="A237" s="649" t="s">
        <v>932</v>
      </c>
    </row>
    <row r="238" spans="1:1" x14ac:dyDescent="0.2">
      <c r="A238" s="64" t="s">
        <v>933</v>
      </c>
    </row>
    <row r="239" spans="1:1" x14ac:dyDescent="0.2">
      <c r="A239" s="64" t="s">
        <v>934</v>
      </c>
    </row>
    <row r="240" spans="1:1" x14ac:dyDescent="0.2">
      <c r="A240" s="64" t="s">
        <v>935</v>
      </c>
    </row>
    <row r="241" spans="1:1" x14ac:dyDescent="0.2">
      <c r="A241" s="64" t="s">
        <v>936</v>
      </c>
    </row>
    <row r="243" spans="1:1" x14ac:dyDescent="0.2">
      <c r="A243" s="649" t="s">
        <v>937</v>
      </c>
    </row>
    <row r="244" spans="1:1" x14ac:dyDescent="0.2">
      <c r="A244" s="64" t="s">
        <v>938</v>
      </c>
    </row>
    <row r="246" spans="1:1" x14ac:dyDescent="0.2">
      <c r="A246" s="649" t="s">
        <v>939</v>
      </c>
    </row>
    <row r="247" spans="1:1" x14ac:dyDescent="0.2">
      <c r="A247" s="64" t="s">
        <v>940</v>
      </c>
    </row>
    <row r="248" spans="1:1" ht="32.25" customHeight="1" x14ac:dyDescent="0.2"/>
    <row r="249" spans="1:1" ht="36" customHeight="1" x14ac:dyDescent="0.2">
      <c r="A249" s="649" t="s">
        <v>224</v>
      </c>
    </row>
    <row r="250" spans="1:1" ht="35.25" customHeight="1" x14ac:dyDescent="0.2">
      <c r="A250" s="64" t="s">
        <v>941</v>
      </c>
    </row>
    <row r="251" spans="1:1" ht="18" customHeight="1" x14ac:dyDescent="0.2">
      <c r="A251" s="64" t="s">
        <v>942</v>
      </c>
    </row>
    <row r="252" spans="1:1" ht="36" customHeight="1" x14ac:dyDescent="0.2">
      <c r="A252" s="64" t="s">
        <v>943</v>
      </c>
    </row>
    <row r="254" spans="1:1" ht="33.75" customHeight="1" x14ac:dyDescent="0.2">
      <c r="A254" s="649" t="s">
        <v>944</v>
      </c>
    </row>
    <row r="255" spans="1:1" ht="18.75" customHeight="1" x14ac:dyDescent="0.2">
      <c r="A255" s="64" t="s">
        <v>127</v>
      </c>
    </row>
    <row r="256" spans="1:1" ht="17.25" customHeight="1" x14ac:dyDescent="0.2">
      <c r="A256" s="64" t="s">
        <v>128</v>
      </c>
    </row>
    <row r="257" spans="1:1" ht="17.25" customHeight="1" x14ac:dyDescent="0.2">
      <c r="A257" s="64" t="s">
        <v>129</v>
      </c>
    </row>
    <row r="258" spans="1:1" x14ac:dyDescent="0.2">
      <c r="A258" s="64" t="s">
        <v>945</v>
      </c>
    </row>
    <row r="259" spans="1:1" x14ac:dyDescent="0.2">
      <c r="A259" s="64" t="s">
        <v>130</v>
      </c>
    </row>
    <row r="260" spans="1:1" x14ac:dyDescent="0.2">
      <c r="A260" s="64" t="s">
        <v>131</v>
      </c>
    </row>
    <row r="261" spans="1:1" ht="31.5" x14ac:dyDescent="0.2">
      <c r="A261" s="64" t="s">
        <v>132</v>
      </c>
    </row>
    <row r="262" spans="1:1" ht="31.5" x14ac:dyDescent="0.2">
      <c r="A262" s="64" t="s">
        <v>133</v>
      </c>
    </row>
    <row r="263" spans="1:1" ht="14.25" customHeight="1" x14ac:dyDescent="0.2">
      <c r="A263" s="64" t="s">
        <v>946</v>
      </c>
    </row>
    <row r="264" spans="1:1" x14ac:dyDescent="0.2">
      <c r="A264" s="64" t="s">
        <v>134</v>
      </c>
    </row>
    <row r="265" spans="1:1" ht="31.5" x14ac:dyDescent="0.2">
      <c r="A265" s="64" t="s">
        <v>947</v>
      </c>
    </row>
    <row r="266" spans="1:1" x14ac:dyDescent="0.2">
      <c r="A266" s="64" t="s">
        <v>948</v>
      </c>
    </row>
    <row r="267" spans="1:1" ht="31.5" x14ac:dyDescent="0.2">
      <c r="A267" s="64" t="s">
        <v>949</v>
      </c>
    </row>
    <row r="268" spans="1:1" x14ac:dyDescent="0.2">
      <c r="A268" s="64" t="s">
        <v>950</v>
      </c>
    </row>
    <row r="269" spans="1:1" x14ac:dyDescent="0.2">
      <c r="A269" s="64" t="s">
        <v>135</v>
      </c>
    </row>
    <row r="270" spans="1:1" x14ac:dyDescent="0.2">
      <c r="A270" s="64" t="s">
        <v>136</v>
      </c>
    </row>
    <row r="271" spans="1:1" x14ac:dyDescent="0.2">
      <c r="A271" s="64" t="s">
        <v>951</v>
      </c>
    </row>
    <row r="272" spans="1:1" ht="18" customHeight="1" x14ac:dyDescent="0.2">
      <c r="A272" s="64" t="s">
        <v>952</v>
      </c>
    </row>
    <row r="273" spans="1:1" ht="51" customHeight="1" x14ac:dyDescent="0.2">
      <c r="A273" s="64" t="s">
        <v>953</v>
      </c>
    </row>
    <row r="275" spans="1:1" x14ac:dyDescent="0.2">
      <c r="A275" s="649" t="s">
        <v>137</v>
      </c>
    </row>
    <row r="276" spans="1:1" x14ac:dyDescent="0.2">
      <c r="A276" s="64" t="s">
        <v>954</v>
      </c>
    </row>
    <row r="277" spans="1:1" x14ac:dyDescent="0.2">
      <c r="A277" s="64" t="s">
        <v>955</v>
      </c>
    </row>
    <row r="278" spans="1:1" x14ac:dyDescent="0.2">
      <c r="A278" s="64" t="s">
        <v>956</v>
      </c>
    </row>
    <row r="279" spans="1:1" x14ac:dyDescent="0.2">
      <c r="A279" s="64" t="s">
        <v>957</v>
      </c>
    </row>
    <row r="280" spans="1:1" x14ac:dyDescent="0.2">
      <c r="A280" s="649" t="s">
        <v>958</v>
      </c>
    </row>
    <row r="281" spans="1:1" ht="31.5" x14ac:dyDescent="0.2">
      <c r="A281" s="64" t="s">
        <v>959</v>
      </c>
    </row>
    <row r="282" spans="1:1" x14ac:dyDescent="0.2">
      <c r="A282" s="64" t="s">
        <v>960</v>
      </c>
    </row>
    <row r="285" spans="1:1" x14ac:dyDescent="0.2">
      <c r="A285" s="649" t="s">
        <v>75</v>
      </c>
    </row>
    <row r="286" spans="1:1" ht="47.25" x14ac:dyDescent="0.2">
      <c r="A286" s="64" t="s">
        <v>961</v>
      </c>
    </row>
    <row r="287" spans="1:1" x14ac:dyDescent="0.2">
      <c r="A287" s="64" t="s">
        <v>76</v>
      </c>
    </row>
    <row r="288" spans="1:1" x14ac:dyDescent="0.2">
      <c r="A288" s="64" t="s">
        <v>77</v>
      </c>
    </row>
    <row r="289" spans="1:1" x14ac:dyDescent="0.2">
      <c r="A289" s="64" t="s">
        <v>96</v>
      </c>
    </row>
    <row r="290" spans="1:1" x14ac:dyDescent="0.2">
      <c r="A290" s="64" t="s">
        <v>78</v>
      </c>
    </row>
    <row r="291" spans="1:1" x14ac:dyDescent="0.2">
      <c r="A291" s="64" t="s">
        <v>79</v>
      </c>
    </row>
    <row r="292" spans="1:1" x14ac:dyDescent="0.2">
      <c r="A292" s="64" t="s">
        <v>962</v>
      </c>
    </row>
    <row r="293" spans="1:1" x14ac:dyDescent="0.2">
      <c r="A293" s="64" t="s">
        <v>80</v>
      </c>
    </row>
    <row r="294" spans="1:1" x14ac:dyDescent="0.2">
      <c r="A294" s="64" t="s">
        <v>81</v>
      </c>
    </row>
    <row r="295" spans="1:1" ht="31.5" x14ac:dyDescent="0.2">
      <c r="A295" s="64" t="s">
        <v>82</v>
      </c>
    </row>
    <row r="296" spans="1:1" ht="31.5" x14ac:dyDescent="0.2">
      <c r="A296" s="64" t="s">
        <v>963</v>
      </c>
    </row>
    <row r="297" spans="1:1" x14ac:dyDescent="0.2">
      <c r="A297" s="64" t="s">
        <v>83</v>
      </c>
    </row>
    <row r="298" spans="1:1" x14ac:dyDescent="0.2">
      <c r="A298" s="64" t="s">
        <v>84</v>
      </c>
    </row>
    <row r="299" spans="1:1" x14ac:dyDescent="0.2">
      <c r="A299" s="64" t="s">
        <v>97</v>
      </c>
    </row>
    <row r="300" spans="1:1" x14ac:dyDescent="0.2">
      <c r="A300" s="64" t="s">
        <v>85</v>
      </c>
    </row>
    <row r="301" spans="1:1" x14ac:dyDescent="0.2">
      <c r="A301" s="64" t="s">
        <v>98</v>
      </c>
    </row>
    <row r="302" spans="1:1" ht="31.5" x14ac:dyDescent="0.2">
      <c r="A302" s="64" t="s">
        <v>99</v>
      </c>
    </row>
    <row r="303" spans="1:1" x14ac:dyDescent="0.2">
      <c r="A303" s="64" t="s">
        <v>88</v>
      </c>
    </row>
    <row r="304" spans="1:1" x14ac:dyDescent="0.2">
      <c r="A304" s="64" t="s">
        <v>89</v>
      </c>
    </row>
    <row r="305" spans="1:1" ht="31.5" x14ac:dyDescent="0.2">
      <c r="A305" s="64" t="s">
        <v>90</v>
      </c>
    </row>
    <row r="306" spans="1:1" x14ac:dyDescent="0.2">
      <c r="A306" s="64" t="s">
        <v>964</v>
      </c>
    </row>
    <row r="307" spans="1:1" x14ac:dyDescent="0.2">
      <c r="A307" s="64" t="s">
        <v>965</v>
      </c>
    </row>
    <row r="308" spans="1:1" x14ac:dyDescent="0.2">
      <c r="A308" s="64" t="s">
        <v>966</v>
      </c>
    </row>
    <row r="309" spans="1:1" ht="19.5" customHeight="1" x14ac:dyDescent="0.2">
      <c r="A309" s="64" t="s">
        <v>967</v>
      </c>
    </row>
    <row r="310" spans="1:1" ht="18" customHeight="1" x14ac:dyDescent="0.2">
      <c r="A310" s="64" t="s">
        <v>968</v>
      </c>
    </row>
    <row r="311" spans="1:1" x14ac:dyDescent="0.2">
      <c r="A311" s="64" t="s">
        <v>969</v>
      </c>
    </row>
    <row r="312" spans="1:1" x14ac:dyDescent="0.2">
      <c r="A312" s="64" t="s">
        <v>970</v>
      </c>
    </row>
    <row r="313" spans="1:1" x14ac:dyDescent="0.2">
      <c r="A313" s="64" t="s">
        <v>971</v>
      </c>
    </row>
    <row r="314" spans="1:1" x14ac:dyDescent="0.2">
      <c r="A314" s="64" t="s">
        <v>972</v>
      </c>
    </row>
    <row r="315" spans="1:1" ht="31.5" x14ac:dyDescent="0.2">
      <c r="A315" s="64" t="s">
        <v>973</v>
      </c>
    </row>
    <row r="316" spans="1:1" x14ac:dyDescent="0.2">
      <c r="A316" s="64" t="s">
        <v>974</v>
      </c>
    </row>
    <row r="318" spans="1:1" x14ac:dyDescent="0.2">
      <c r="A318" s="64" t="s">
        <v>975</v>
      </c>
    </row>
    <row r="319" spans="1:1" x14ac:dyDescent="0.2">
      <c r="A319" s="64" t="s">
        <v>976</v>
      </c>
    </row>
  </sheetData>
  <sheetProtection sheet="1" objects="1" scenarios="1"/>
  <pageMargins left="0.32" right="0.31"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J110"/>
  <sheetViews>
    <sheetView workbookViewId="0">
      <selection activeCell="F66" sqref="F66"/>
    </sheetView>
  </sheetViews>
  <sheetFormatPr defaultColWidth="8.88671875" defaultRowHeight="15.75" x14ac:dyDescent="0.2"/>
  <cols>
    <col min="1" max="1" width="24.33203125" style="65" customWidth="1"/>
    <col min="2" max="2" width="10.77734375" style="65" customWidth="1"/>
    <col min="3" max="3" width="5.77734375" style="65" customWidth="1"/>
    <col min="4" max="4" width="14" style="65" customWidth="1"/>
    <col min="5" max="5" width="15.44140625" style="65" customWidth="1"/>
    <col min="6" max="6" width="12.33203125" style="65" customWidth="1"/>
    <col min="7" max="16384" width="8.88671875" style="107"/>
  </cols>
  <sheetData>
    <row r="1" spans="1:8" x14ac:dyDescent="0.2">
      <c r="A1" s="69"/>
      <c r="B1" s="69"/>
      <c r="C1" s="68" t="s">
        <v>0</v>
      </c>
      <c r="D1" s="69"/>
      <c r="E1" s="69"/>
      <c r="F1" s="135"/>
      <c r="H1" s="63">
        <f>inputPrYr!C10</f>
        <v>2025</v>
      </c>
    </row>
    <row r="2" spans="1:8" x14ac:dyDescent="0.2">
      <c r="A2" s="765" t="str">
        <f>CONCATENATE("To the Clerk of ",(inputPrYr!D4),", State of Kansas")</f>
        <v>To the Clerk of , State of Kansas</v>
      </c>
      <c r="B2" s="698"/>
      <c r="C2" s="698"/>
      <c r="D2" s="698"/>
      <c r="E2" s="698"/>
      <c r="F2" s="698"/>
    </row>
    <row r="3" spans="1:8" x14ac:dyDescent="0.2">
      <c r="A3" s="136" t="s">
        <v>323</v>
      </c>
      <c r="B3" s="75"/>
      <c r="C3" s="75"/>
      <c r="D3" s="75"/>
      <c r="E3" s="75"/>
      <c r="F3" s="75"/>
    </row>
    <row r="4" spans="1:8" x14ac:dyDescent="0.2">
      <c r="A4" s="697">
        <f>(inputPrYr!D3)</f>
        <v>0</v>
      </c>
      <c r="B4" s="764"/>
      <c r="C4" s="764"/>
      <c r="D4" s="764"/>
      <c r="E4" s="764"/>
      <c r="F4" s="764"/>
    </row>
    <row r="5" spans="1:8" x14ac:dyDescent="0.2">
      <c r="A5" s="765" t="s">
        <v>105</v>
      </c>
      <c r="B5" s="698"/>
      <c r="C5" s="698"/>
      <c r="D5" s="698"/>
      <c r="E5" s="698"/>
      <c r="F5" s="698"/>
    </row>
    <row r="6" spans="1:8" x14ac:dyDescent="0.2">
      <c r="A6" s="765" t="str">
        <f>CONCATENATE("was duly approved and adopted as the maximum expenditures for the various funds for the year ",H1,"; and")</f>
        <v>was duly approved and adopted as the maximum expenditures for the various funds for the year 2025; and</v>
      </c>
      <c r="B6" s="698"/>
      <c r="C6" s="698"/>
      <c r="D6" s="698"/>
      <c r="E6" s="698"/>
      <c r="F6" s="698"/>
    </row>
    <row r="7" spans="1:8" x14ac:dyDescent="0.2">
      <c r="A7" s="136" t="str">
        <f>CONCATENATE("(3) the Amounts(s) of ",H1-1," Ad Valorem Tax are within statutory limitations.")</f>
        <v>(3) the Amounts(s) of 2024 Ad Valorem Tax are within statutory limitations.</v>
      </c>
      <c r="B7" s="75"/>
      <c r="C7" s="75"/>
      <c r="D7" s="75"/>
      <c r="E7" s="75"/>
      <c r="F7" s="75"/>
    </row>
    <row r="8" spans="1:8" x14ac:dyDescent="0.2">
      <c r="A8" s="69"/>
      <c r="B8" s="69"/>
      <c r="C8" s="69"/>
      <c r="D8" s="137" t="str">
        <f>CONCATENATE("",H1," Adopted Budget")</f>
        <v>2025 Adopted Budget</v>
      </c>
      <c r="E8" s="138"/>
      <c r="F8" s="139"/>
    </row>
    <row r="9" spans="1:8" ht="21" customHeight="1" x14ac:dyDescent="0.2">
      <c r="A9" s="69"/>
      <c r="B9" s="69"/>
      <c r="C9" s="140"/>
      <c r="D9" s="141" t="s">
        <v>143</v>
      </c>
      <c r="E9" s="142" t="str">
        <f>CONCATENATE("Amount of ",H1-1,"")</f>
        <v>Amount of 2024</v>
      </c>
      <c r="F9" s="766" t="s">
        <v>697</v>
      </c>
    </row>
    <row r="10" spans="1:8" x14ac:dyDescent="0.2">
      <c r="A10" s="72"/>
      <c r="B10" s="69"/>
      <c r="C10" s="142" t="s">
        <v>144</v>
      </c>
      <c r="D10" s="143" t="s">
        <v>326</v>
      </c>
      <c r="E10" s="144" t="s">
        <v>51</v>
      </c>
      <c r="F10" s="713"/>
    </row>
    <row r="11" spans="1:8" x14ac:dyDescent="0.2">
      <c r="A11" s="145" t="s">
        <v>145</v>
      </c>
      <c r="B11" s="76"/>
      <c r="C11" s="146" t="s">
        <v>146</v>
      </c>
      <c r="D11" s="146" t="s">
        <v>327</v>
      </c>
      <c r="E11" s="147" t="s">
        <v>52</v>
      </c>
      <c r="F11" s="767"/>
    </row>
    <row r="12" spans="1:8" x14ac:dyDescent="0.2">
      <c r="A12" s="118" t="s">
        <v>460</v>
      </c>
      <c r="B12" s="76"/>
      <c r="C12" s="146">
        <v>2</v>
      </c>
      <c r="D12" s="143"/>
      <c r="E12" s="143"/>
      <c r="F12" s="143"/>
    </row>
    <row r="13" spans="1:8" x14ac:dyDescent="0.2">
      <c r="A13" s="118" t="s">
        <v>22</v>
      </c>
      <c r="B13" s="76"/>
      <c r="C13" s="146">
        <v>3</v>
      </c>
      <c r="D13" s="143"/>
      <c r="E13" s="143"/>
      <c r="F13" s="143"/>
    </row>
    <row r="14" spans="1:8" x14ac:dyDescent="0.2">
      <c r="A14" s="118" t="s">
        <v>147</v>
      </c>
      <c r="B14" s="99"/>
      <c r="C14" s="148">
        <v>4</v>
      </c>
      <c r="D14" s="150"/>
      <c r="E14" s="150"/>
      <c r="F14" s="150"/>
    </row>
    <row r="15" spans="1:8" x14ac:dyDescent="0.2">
      <c r="A15" s="118" t="s">
        <v>148</v>
      </c>
      <c r="B15" s="99"/>
      <c r="C15" s="148">
        <v>5</v>
      </c>
      <c r="D15" s="150"/>
      <c r="E15" s="150"/>
      <c r="F15" s="150"/>
    </row>
    <row r="16" spans="1:8" x14ac:dyDescent="0.2">
      <c r="A16" s="244" t="str">
        <f>IF(inputPrYr!D24="","","Computation to Determine State Library Grant")</f>
        <v/>
      </c>
      <c r="B16" s="99"/>
      <c r="C16" s="158" t="str">
        <f>IF(inputPrYr!D24="","",'Library Grant '!F38)</f>
        <v/>
      </c>
      <c r="D16" s="150"/>
      <c r="E16" s="150"/>
      <c r="F16" s="150"/>
    </row>
    <row r="17" spans="1:6" x14ac:dyDescent="0.2">
      <c r="A17" s="151" t="s">
        <v>149</v>
      </c>
      <c r="B17" s="152" t="s">
        <v>150</v>
      </c>
      <c r="C17" s="153"/>
      <c r="D17" s="154"/>
      <c r="E17" s="154"/>
      <c r="F17" s="154"/>
    </row>
    <row r="18" spans="1:6" x14ac:dyDescent="0.2">
      <c r="A18" s="81" t="s">
        <v>140</v>
      </c>
      <c r="B18" s="155" t="str">
        <f>IF(inputPrYr!C22&gt;0,(inputPrYr!C22),"  ")</f>
        <v>12-101a</v>
      </c>
      <c r="C18" s="148">
        <f>IF(C16&gt;"", 7, 6)</f>
        <v>6</v>
      </c>
      <c r="D18" s="270" t="str">
        <f>IF(General!$E$107&lt;&gt;0,General!$E$107,"  ")</f>
        <v xml:space="preserve">  </v>
      </c>
      <c r="E18" s="506">
        <f>IF(General!$E$114&lt;&gt;0,General!$E$114,0)</f>
        <v>0</v>
      </c>
      <c r="F18" s="507" t="str">
        <f>IF($F$62=0,"",ROUND(E18/$F$62*1000,3))</f>
        <v/>
      </c>
    </row>
    <row r="19" spans="1:6" x14ac:dyDescent="0.2">
      <c r="A19" s="95" t="str">
        <f>IF(inputPrYr!$B23&gt;"  ",(inputPrYr!$B23),"  ")</f>
        <v>Debt Service</v>
      </c>
      <c r="B19" s="155" t="str">
        <f>IF(inputPrYr!C23&gt;0,(inputPrYr!C23),"  ")</f>
        <v>10-113</v>
      </c>
      <c r="C19" s="148" t="str">
        <f>IF('DebtSvs Library'!C86&gt;0,'DebtSvs Library'!C86,"  ")</f>
        <v xml:space="preserve">  </v>
      </c>
      <c r="D19" s="270" t="str">
        <f>IF('DebtSvs Library'!$E$33&lt;&gt;0,'DebtSvs Library'!$E$33,"  ")</f>
        <v xml:space="preserve">  </v>
      </c>
      <c r="E19" s="506">
        <f>IF('DebtSvs Library'!$E$40&lt;&gt;0,'DebtSvs Library'!$E$40,0)</f>
        <v>0</v>
      </c>
      <c r="F19" s="507" t="str">
        <f t="shared" ref="F19:F30" si="0">IF($F$62=0,"",ROUND(E19/$F$62*1000,3))</f>
        <v/>
      </c>
    </row>
    <row r="20" spans="1:6" x14ac:dyDescent="0.2">
      <c r="A20" s="95" t="str">
        <f>IF(inputPrYr!$B24&gt;"  ",(inputPrYr!$B24),"  ")</f>
        <v>Library</v>
      </c>
      <c r="B20" s="155" t="str">
        <f>IF(inputPrYr!C24&gt;0,(inputPrYr!C24),"  ")</f>
        <v>12-1220</v>
      </c>
      <c r="C20" s="148" t="str">
        <f>IF('DebtSvs Library'!C86&gt;0,'DebtSvs Library'!C86,"  ")</f>
        <v xml:space="preserve">  </v>
      </c>
      <c r="D20" s="270" t="str">
        <f>IF('DebtSvs Library'!$E$73&lt;&gt;0,'DebtSvs Library'!$E$73,"  ")</f>
        <v xml:space="preserve">  </v>
      </c>
      <c r="E20" s="506">
        <f>IF('DebtSvs Library'!$E$80&lt;&gt;0,'DebtSvs Library'!$E$80,0)</f>
        <v>0</v>
      </c>
      <c r="F20" s="507" t="str">
        <f t="shared" si="0"/>
        <v/>
      </c>
    </row>
    <row r="21" spans="1:6" x14ac:dyDescent="0.2">
      <c r="A21" s="95" t="str">
        <f>IF(inputPrYr!$B26&gt;"  ",(inputPrYr!$B26),"  ")</f>
        <v xml:space="preserve">  </v>
      </c>
      <c r="B21" s="155" t="str">
        <f>IF(inputPrYr!C26&gt;0,(inputPrYr!C26),"  ")</f>
        <v xml:space="preserve">  </v>
      </c>
      <c r="C21" s="148" t="str">
        <f>IF('Levy Page 9'!C84&gt;0,'Levy Page 9'!C84,"  ")</f>
        <v xml:space="preserve">  </v>
      </c>
      <c r="D21" s="270" t="str">
        <f>IF('Levy Page 9'!$E$32&gt;0,'Levy Page 9'!$E$32,"  ")</f>
        <v xml:space="preserve">  </v>
      </c>
      <c r="E21" s="506">
        <f>IF('Levy Page 9'!$E$39&lt;&gt;0,'Levy Page 9'!$E$39,0)</f>
        <v>0</v>
      </c>
      <c r="F21" s="507" t="str">
        <f t="shared" si="0"/>
        <v/>
      </c>
    </row>
    <row r="22" spans="1:6" x14ac:dyDescent="0.2">
      <c r="A22" s="95" t="str">
        <f>IF(inputPrYr!$B27&gt;"  ",(inputPrYr!$B27),"  ")</f>
        <v xml:space="preserve">  </v>
      </c>
      <c r="B22" s="155" t="str">
        <f>IF(inputPrYr!C27&gt;0,(inputPrYr!C27),"  ")</f>
        <v xml:space="preserve">  </v>
      </c>
      <c r="C22" s="148" t="str">
        <f>IF('Levy Page 9'!C84&gt;0,'Levy Page 9'!C84,"  ")</f>
        <v xml:space="preserve">  </v>
      </c>
      <c r="D22" s="270" t="str">
        <f>IF('Levy Page 9'!$E$71&gt;0,'Levy Page 9'!$E$71,"  ")</f>
        <v xml:space="preserve">  </v>
      </c>
      <c r="E22" s="506">
        <f>IF('Levy Page 9'!$E$78&lt;&gt;0,'Levy Page 9'!$E$78,0)</f>
        <v>0</v>
      </c>
      <c r="F22" s="507" t="str">
        <f t="shared" si="0"/>
        <v/>
      </c>
    </row>
    <row r="23" spans="1:6" x14ac:dyDescent="0.2">
      <c r="A23" s="95" t="str">
        <f>IF(inputPrYr!$B28&gt;"  ",(inputPrYr!$B28),"  ")</f>
        <v xml:space="preserve">  </v>
      </c>
      <c r="B23" s="155" t="str">
        <f>IF(inputPrYr!C28&gt;0,(inputPrYr!C28),"  ")</f>
        <v xml:space="preserve">  </v>
      </c>
      <c r="C23" s="148" t="str">
        <f>IF('Levy Page 10'!C85&gt;0,'Levy Page 10'!C85,"  ")</f>
        <v xml:space="preserve">  </v>
      </c>
      <c r="D23" s="270" t="str">
        <f>IF('Levy Page 10'!$E$33&gt;0,'Levy Page 10'!$E$33,"  ")</f>
        <v xml:space="preserve">  </v>
      </c>
      <c r="E23" s="506">
        <f>IF('Levy Page 10'!$E$40&lt;&gt;0,'Levy Page 10'!$E$40,0)</f>
        <v>0</v>
      </c>
      <c r="F23" s="507" t="str">
        <f t="shared" si="0"/>
        <v/>
      </c>
    </row>
    <row r="24" spans="1:6" x14ac:dyDescent="0.2">
      <c r="A24" s="95" t="str">
        <f>IF(inputPrYr!$B29&gt;"  ",(inputPrYr!$B29),"  ")</f>
        <v xml:space="preserve">  </v>
      </c>
      <c r="B24" s="155" t="str">
        <f>IF(inputPrYr!C29&gt;0,(inputPrYr!C29),"  ")</f>
        <v xml:space="preserve">  </v>
      </c>
      <c r="C24" s="148" t="str">
        <f>IF('Levy Page 10'!C85&gt;0,'Levy Page 10'!C85,"  ")</f>
        <v xml:space="preserve">  </v>
      </c>
      <c r="D24" s="270" t="str">
        <f>IF('Levy Page 10'!$E$72&gt;0,'Levy Page 10'!$E$72,"  ")</f>
        <v xml:space="preserve">  </v>
      </c>
      <c r="E24" s="506">
        <f>IF('Levy Page 10'!$E$79&lt;&gt;0,'Levy Page 10'!$E$79,0)</f>
        <v>0</v>
      </c>
      <c r="F24" s="507" t="str">
        <f t="shared" si="0"/>
        <v/>
      </c>
    </row>
    <row r="25" spans="1:6" x14ac:dyDescent="0.2">
      <c r="A25" s="95" t="str">
        <f>IF(inputPrYr!$B30&gt;"  ",(inputPrYr!$B30),"  ")</f>
        <v xml:space="preserve">  </v>
      </c>
      <c r="B25" s="155" t="str">
        <f>IF(inputPrYr!C30&gt;0,(inputPrYr!C30),"  ")</f>
        <v xml:space="preserve">  </v>
      </c>
      <c r="C25" s="148" t="str">
        <f>IF('Levy Page 11'!C85&gt;0,'Levy Page 11'!C85,"  ")</f>
        <v xml:space="preserve">  </v>
      </c>
      <c r="D25" s="270" t="str">
        <f>IF('Levy Page 11'!$E$32&gt;0,'Levy Page 11'!$E$32,"  ")</f>
        <v xml:space="preserve">  </v>
      </c>
      <c r="E25" s="506">
        <f>IF('Levy Page 11'!$E$39&lt;&gt;0,'Levy Page 11'!$E$39,0)</f>
        <v>0</v>
      </c>
      <c r="F25" s="507" t="str">
        <f t="shared" si="0"/>
        <v/>
      </c>
    </row>
    <row r="26" spans="1:6" x14ac:dyDescent="0.2">
      <c r="A26" s="95" t="str">
        <f>IF(inputPrYr!$B31&gt;"  ",(inputPrYr!$B31),"  ")</f>
        <v xml:space="preserve">  </v>
      </c>
      <c r="B26" s="155" t="str">
        <f>IF(inputPrYr!C31&gt;0,(inputPrYr!C31),"  ")</f>
        <v xml:space="preserve">  </v>
      </c>
      <c r="C26" s="148" t="str">
        <f>IF('Levy Page 11'!C85&gt;0,'Levy Page 11'!C85,"  ")</f>
        <v xml:space="preserve">  </v>
      </c>
      <c r="D26" s="270" t="str">
        <f>IF('Levy Page 11'!$E$72&gt;0,'Levy Page 11'!$E$72,"  ")</f>
        <v xml:space="preserve">  </v>
      </c>
      <c r="E26" s="506">
        <f>IF('Levy Page 11'!$E$79&lt;&gt;0,'Levy Page 11'!$E$79,0)</f>
        <v>0</v>
      </c>
      <c r="F26" s="507" t="str">
        <f t="shared" si="0"/>
        <v/>
      </c>
    </row>
    <row r="27" spans="1:6" x14ac:dyDescent="0.2">
      <c r="A27" s="95" t="str">
        <f>IF(inputPrYr!$B32&gt;"  ",(inputPrYr!$B32),"  ")</f>
        <v xml:space="preserve">  </v>
      </c>
      <c r="B27" s="155" t="str">
        <f>IF(inputPrYr!C32&gt;0,(inputPrYr!C32),"  ")</f>
        <v xml:space="preserve">  </v>
      </c>
      <c r="C27" s="148" t="str">
        <f>IF('Levy Page 12'!C85&gt;0,'Levy Page 12'!C85,"  ")</f>
        <v xml:space="preserve">  </v>
      </c>
      <c r="D27" s="270" t="str">
        <f>IF('Levy Page 12'!$E$33&gt;0,'Levy Page 12'!$E$33,"  ")</f>
        <v xml:space="preserve">  </v>
      </c>
      <c r="E27" s="506">
        <f>IF('Levy Page 12'!$E$40&lt;&gt;0,'Levy Page 12'!$E$40,0)</f>
        <v>0</v>
      </c>
      <c r="F27" s="507" t="str">
        <f t="shared" si="0"/>
        <v/>
      </c>
    </row>
    <row r="28" spans="1:6" x14ac:dyDescent="0.2">
      <c r="A28" s="95" t="str">
        <f>IF(inputPrYr!$B33&gt;"  ",(inputPrYr!$B33),"  ")</f>
        <v xml:space="preserve">  </v>
      </c>
      <c r="B28" s="155" t="str">
        <f>IF(inputPrYr!C33&gt;0,(inputPrYr!C33),"  ")</f>
        <v xml:space="preserve">  </v>
      </c>
      <c r="C28" s="148" t="str">
        <f>IF('Levy Page 12'!C85&gt;0,'Levy Page 12'!C85,"  ")</f>
        <v xml:space="preserve">  </v>
      </c>
      <c r="D28" s="270" t="str">
        <f>IF('Levy Page 12'!$E$72&gt;0,'Levy Page 12'!$E$72,"  ")</f>
        <v xml:space="preserve">  </v>
      </c>
      <c r="E28" s="506">
        <f>IF('Levy Page 12'!$E$79&lt;&gt;0,'Levy Page 12'!$E$79,0)</f>
        <v>0</v>
      </c>
      <c r="F28" s="507" t="str">
        <f t="shared" si="0"/>
        <v/>
      </c>
    </row>
    <row r="29" spans="1:6" x14ac:dyDescent="0.2">
      <c r="A29" s="95" t="str">
        <f>IF(inputPrYr!$B34&gt;"  ",(inputPrYr!$B34),"  ")</f>
        <v xml:space="preserve">  </v>
      </c>
      <c r="B29" s="155" t="str">
        <f>IF(inputPrYr!C34&gt;0,(inputPrYr!C34),"  ")</f>
        <v xml:space="preserve">  </v>
      </c>
      <c r="C29" s="148" t="str">
        <f>IF('Levy Page 13'!C86&gt;0,'Levy Page 13'!C86,"  ")</f>
        <v xml:space="preserve">  </v>
      </c>
      <c r="D29" s="270" t="str">
        <f>IF('Levy Page 13'!$E$34&gt;0,'Levy Page 13'!$E$34,"  ")</f>
        <v xml:space="preserve">  </v>
      </c>
      <c r="E29" s="506">
        <f>IF('Levy Page 13'!$E$41&lt;&gt;0,'Levy Page 13'!$E$41,0)</f>
        <v>0</v>
      </c>
      <c r="F29" s="507" t="str">
        <f t="shared" si="0"/>
        <v/>
      </c>
    </row>
    <row r="30" spans="1:6" x14ac:dyDescent="0.2">
      <c r="A30" s="95" t="str">
        <f>IF(inputPrYr!$B35&gt;"  ",(inputPrYr!$B35),"  ")</f>
        <v xml:space="preserve">  </v>
      </c>
      <c r="B30" s="155" t="str">
        <f>IF(inputPrYr!C35&gt;0,(inputPrYr!C35),"  ")</f>
        <v xml:space="preserve">  </v>
      </c>
      <c r="C30" s="148" t="str">
        <f>IF('Levy Page 13'!C86&gt;0,'Levy Page 13'!C86,"  ")</f>
        <v xml:space="preserve">  </v>
      </c>
      <c r="D30" s="270" t="str">
        <f>IF('Levy Page 13'!$E$73&gt;0,'Levy Page 13'!$E$73,"  ")</f>
        <v xml:space="preserve">  </v>
      </c>
      <c r="E30" s="506">
        <f>IF('Levy Page 13'!$E$80&lt;&gt;0,'Levy Page 13'!$E$80,0)</f>
        <v>0</v>
      </c>
      <c r="F30" s="507" t="str">
        <f t="shared" si="0"/>
        <v/>
      </c>
    </row>
    <row r="31" spans="1:6" x14ac:dyDescent="0.2">
      <c r="A31" s="156" t="str">
        <f>IF(inputPrYr!$B39&gt;"  ",(inputPrYr!$B39),"  ")</f>
        <v>Special Highway</v>
      </c>
      <c r="B31" s="157"/>
      <c r="C31" s="158" t="str">
        <f>IF('Spec Hwy'!C67&gt;0,'Spec Hwy'!C67,"  ")</f>
        <v xml:space="preserve">  </v>
      </c>
      <c r="D31" s="270" t="str">
        <f>IF('Spec Hwy'!$E$28&gt;0,'Spec Hwy'!$E$28,"  ")</f>
        <v xml:space="preserve">  </v>
      </c>
      <c r="E31" s="270"/>
      <c r="F31" s="508"/>
    </row>
    <row r="32" spans="1:6" x14ac:dyDescent="0.2">
      <c r="A32" s="156" t="str">
        <f>IF(inputPrYr!$B40&gt;"  ",(inputPrYr!$B40),"  ")</f>
        <v xml:space="preserve">  </v>
      </c>
      <c r="B32" s="159"/>
      <c r="C32" s="158" t="str">
        <f>IF('Spec Hwy'!C67&gt;0,'Spec Hwy'!C67,"  ")</f>
        <v xml:space="preserve">  </v>
      </c>
      <c r="D32" s="270" t="str">
        <f>IF('Spec Hwy'!$E$59&gt;0,'Spec Hwy'!$E$59,"  ")</f>
        <v xml:space="preserve">  </v>
      </c>
      <c r="E32" s="270"/>
      <c r="F32" s="508"/>
    </row>
    <row r="33" spans="1:6" x14ac:dyDescent="0.2">
      <c r="A33" s="156" t="str">
        <f>IF(inputPrYr!$B41&gt;"  ",(inputPrYr!$B41),"  ")</f>
        <v xml:space="preserve">  </v>
      </c>
      <c r="B33" s="160"/>
      <c r="C33" s="158" t="str">
        <f>IF('No Levy Page 15'!C66&gt;0,'No Levy Page 15'!C66,"  ")</f>
        <v xml:space="preserve">  </v>
      </c>
      <c r="D33" s="270" t="str">
        <f>IF('No Levy Page 15'!$E$27&gt;0,'No Levy Page 15'!$E$27,"  ")</f>
        <v xml:space="preserve">  </v>
      </c>
      <c r="E33" s="270"/>
      <c r="F33" s="508"/>
    </row>
    <row r="34" spans="1:6" x14ac:dyDescent="0.2">
      <c r="A34" s="156" t="str">
        <f>IF(inputPrYr!$B42&gt;"  ",(inputPrYr!$B42),"  ")</f>
        <v xml:space="preserve">  </v>
      </c>
      <c r="B34" s="160"/>
      <c r="C34" s="158" t="str">
        <f>IF('No Levy Page 15'!C66&gt;0,'No Levy Page 15'!C66,"  ")</f>
        <v xml:space="preserve">  </v>
      </c>
      <c r="D34" s="270" t="str">
        <f>IF('No Levy Page 15'!$E$58&gt;0,'No Levy Page 15'!$E$58,"  ")</f>
        <v xml:space="preserve">  </v>
      </c>
      <c r="E34" s="270"/>
      <c r="F34" s="508"/>
    </row>
    <row r="35" spans="1:6" x14ac:dyDescent="0.2">
      <c r="A35" s="156" t="str">
        <f>IF(inputPrYr!$B43&gt;"  ",(inputPrYr!$B43),"  ")</f>
        <v xml:space="preserve">  </v>
      </c>
      <c r="B35" s="160"/>
      <c r="C35" s="158" t="str">
        <f>IF('No Levy Page 16'!C67&gt;0,'No Levy Page 16'!C67,"  ")</f>
        <v xml:space="preserve">  </v>
      </c>
      <c r="D35" s="270" t="str">
        <f>IF('No Levy Page 16'!$E$28&gt;0,'No Levy Page 16'!$E$28,"  ")</f>
        <v xml:space="preserve">  </v>
      </c>
      <c r="E35" s="270"/>
      <c r="F35" s="508"/>
    </row>
    <row r="36" spans="1:6" x14ac:dyDescent="0.2">
      <c r="A36" s="156" t="str">
        <f>IF(inputPrYr!$B44&gt;"  ",(inputPrYr!$B44),"  ")</f>
        <v xml:space="preserve">  </v>
      </c>
      <c r="B36" s="160"/>
      <c r="C36" s="158" t="str">
        <f>IF('No Levy Page 16'!C67&gt;0,'No Levy Page 16'!C67,"  ")</f>
        <v xml:space="preserve">  </v>
      </c>
      <c r="D36" s="270" t="str">
        <f>IF('No Levy Page 16'!$E$59&gt;0,'No Levy Page 16'!$E$59,"  ")</f>
        <v xml:space="preserve">  </v>
      </c>
      <c r="E36" s="270"/>
      <c r="F36" s="508"/>
    </row>
    <row r="37" spans="1:6" x14ac:dyDescent="0.2">
      <c r="A37" s="156" t="str">
        <f>IF(inputPrYr!$B45&gt;"  ",(inputPrYr!$B45),"  ")</f>
        <v xml:space="preserve">  </v>
      </c>
      <c r="B37" s="160"/>
      <c r="C37" s="158" t="str">
        <f>IF('No Levy Page 17'!C67&gt;0,'No Levy Page 17'!C67,"  ")</f>
        <v xml:space="preserve">  </v>
      </c>
      <c r="D37" s="270" t="str">
        <f>IF('No Levy Page 17'!$E$28&gt;0,'No Levy Page 17'!$E$28,"  ")</f>
        <v xml:space="preserve">  </v>
      </c>
      <c r="E37" s="270"/>
      <c r="F37" s="508"/>
    </row>
    <row r="38" spans="1:6" x14ac:dyDescent="0.2">
      <c r="A38" s="156" t="str">
        <f>IF(inputPrYr!$B46&gt;"  ",(inputPrYr!$B46),"  ")</f>
        <v xml:space="preserve">  </v>
      </c>
      <c r="B38" s="160"/>
      <c r="C38" s="158" t="str">
        <f>IF('No Levy Page 17'!C67&gt;0,'No Levy Page 17'!C67,"  ")</f>
        <v xml:space="preserve">  </v>
      </c>
      <c r="D38" s="270" t="str">
        <f>IF('No Levy Page 17'!$E$59&gt;0,'No Levy Page 17'!$E$59,"  ")</f>
        <v xml:space="preserve">  </v>
      </c>
      <c r="E38" s="270"/>
      <c r="F38" s="508"/>
    </row>
    <row r="39" spans="1:6" x14ac:dyDescent="0.2">
      <c r="A39" s="156" t="str">
        <f>IF(inputPrYr!$B47&gt;"  ",(inputPrYr!$B47),"  ")</f>
        <v xml:space="preserve">  </v>
      </c>
      <c r="B39" s="157"/>
      <c r="C39" s="158" t="str">
        <f>IF('No Levy Page 18'!C68&gt;0,'No Levy Page 18'!C68,"  ")</f>
        <v xml:space="preserve">  </v>
      </c>
      <c r="D39" s="270" t="str">
        <f>IF('No Levy Page 18'!$E$28&gt;0,'No Levy Page 18'!$E$28,"  ")</f>
        <v xml:space="preserve">  </v>
      </c>
      <c r="E39" s="270"/>
      <c r="F39" s="508"/>
    </row>
    <row r="40" spans="1:6" x14ac:dyDescent="0.2">
      <c r="A40" s="156" t="str">
        <f>IF(inputPrYr!$B48&gt;"  ",(inputPrYr!$B48),"  ")</f>
        <v xml:space="preserve">  </v>
      </c>
      <c r="B40" s="157"/>
      <c r="C40" s="158" t="str">
        <f>IF('No Levy Page 18'!C68&gt;0,'No Levy Page 18'!C68,"  ")</f>
        <v xml:space="preserve">  </v>
      </c>
      <c r="D40" s="270" t="str">
        <f>IF('No Levy Page 18'!$E$60&gt;0,'No Levy Page 18'!$E$60,"  ")</f>
        <v xml:space="preserve">  </v>
      </c>
      <c r="E40" s="270"/>
      <c r="F40" s="508"/>
    </row>
    <row r="41" spans="1:6" x14ac:dyDescent="0.2">
      <c r="A41" s="156" t="str">
        <f>IF(inputPrYr!$B49&gt;"  ",(inputPrYr!$B49),"  ")</f>
        <v xml:space="preserve">  </v>
      </c>
      <c r="B41" s="157"/>
      <c r="C41" s="158" t="str">
        <f>IF('No Levy Page 19'!C68&gt;0,'No Levy Page 19'!C68,"  ")</f>
        <v xml:space="preserve">  </v>
      </c>
      <c r="D41" s="270" t="str">
        <f>IF('No Levy Page 19'!$E$28&gt;0,'No Levy Page 19'!$E$28,"  ")</f>
        <v xml:space="preserve">  </v>
      </c>
      <c r="E41" s="270"/>
      <c r="F41" s="508"/>
    </row>
    <row r="42" spans="1:6" x14ac:dyDescent="0.2">
      <c r="A42" s="156" t="str">
        <f>IF(inputPrYr!$B50&gt;"  ",(inputPrYr!$B50),"  ")</f>
        <v xml:space="preserve">  </v>
      </c>
      <c r="B42" s="157"/>
      <c r="C42" s="158" t="str">
        <f>IF('No Levy Page 19'!C68&gt;0,'No Levy Page 19'!C68,"  ")</f>
        <v xml:space="preserve">  </v>
      </c>
      <c r="D42" s="270" t="str">
        <f>IF('No Levy Page 19'!$E$60&gt;0,'No Levy Page 19'!$E$60,"  ")</f>
        <v xml:space="preserve">  </v>
      </c>
      <c r="E42" s="270"/>
      <c r="F42" s="508"/>
    </row>
    <row r="43" spans="1:6" x14ac:dyDescent="0.2">
      <c r="A43" s="156" t="str">
        <f>IF(inputPrYr!$B51&gt;"  ",(inputPrYr!$B51),"  ")</f>
        <v xml:space="preserve">  </v>
      </c>
      <c r="B43" s="157"/>
      <c r="C43" s="158" t="str">
        <f>IF('No Levy Page 20'!C68&gt;0,'No Levy Page 20'!C68,"  ")</f>
        <v xml:space="preserve">  </v>
      </c>
      <c r="D43" s="270" t="str">
        <f>IF('No Levy Page 20'!$E$28&gt;0,'No Levy Page 20'!$E$28,"  ")</f>
        <v xml:space="preserve">  </v>
      </c>
      <c r="E43" s="270"/>
      <c r="F43" s="508"/>
    </row>
    <row r="44" spans="1:6" x14ac:dyDescent="0.2">
      <c r="A44" s="156" t="str">
        <f>IF(inputPrYr!$B52&gt;"  ",(inputPrYr!$B52),"  ")</f>
        <v xml:space="preserve">  </v>
      </c>
      <c r="B44" s="157"/>
      <c r="C44" s="158" t="str">
        <f>IF('No Levy Page 20'!C68&gt;0,'No Levy Page 20'!C68,"  ")</f>
        <v xml:space="preserve">  </v>
      </c>
      <c r="D44" s="270" t="str">
        <f>IF('No Levy Page 20'!$E$60&gt;0,'No Levy Page 20'!$E$60,"  ")</f>
        <v xml:space="preserve">  </v>
      </c>
      <c r="E44" s="270"/>
      <c r="F44" s="508"/>
    </row>
    <row r="45" spans="1:6" x14ac:dyDescent="0.2">
      <c r="A45" s="156" t="str">
        <f>IF(inputPrYr!$B53&gt;"  ",(inputPrYr!$B53),"  ")</f>
        <v xml:space="preserve">  </v>
      </c>
      <c r="B45" s="157"/>
      <c r="C45" s="158" t="str">
        <f>IF('No Levy Page 21'!C68&gt;0,'No Levy Page 21'!C68,"  ")</f>
        <v xml:space="preserve">  </v>
      </c>
      <c r="D45" s="270" t="str">
        <f>IF('No Levy Page 21'!$E$28&gt;0,'No Levy Page 21'!$E$28,"  ")</f>
        <v xml:space="preserve">  </v>
      </c>
      <c r="E45" s="270"/>
      <c r="F45" s="508"/>
    </row>
    <row r="46" spans="1:6" x14ac:dyDescent="0.2">
      <c r="A46" s="156" t="str">
        <f>IF(inputPrYr!$B54&gt;"  ",(inputPrYr!$B54),"  ")</f>
        <v xml:space="preserve">  </v>
      </c>
      <c r="B46" s="159"/>
      <c r="C46" s="158" t="str">
        <f>IF('No Levy Page 21'!C68&gt;0,'No Levy Page 21'!C68,"  ")</f>
        <v xml:space="preserve">  </v>
      </c>
      <c r="D46" s="270" t="str">
        <f>IF('No Levy Page 21'!$E$60&gt;0,'No Levy Page 21'!$E$60,"  ")</f>
        <v xml:space="preserve">  </v>
      </c>
      <c r="E46" s="270"/>
      <c r="F46" s="508"/>
    </row>
    <row r="47" spans="1:6" x14ac:dyDescent="0.2">
      <c r="A47" s="156" t="str">
        <f>IF(inputPrYr!$B56&gt;"  ",(inputPrYr!$B56),"  ")</f>
        <v xml:space="preserve">  </v>
      </c>
      <c r="B47" s="160"/>
      <c r="C47" s="158" t="str">
        <f>IF('Single No Levy Page 22'!C52&gt;0,'Single No Levy Page 22'!C52,"  ")</f>
        <v xml:space="preserve">  </v>
      </c>
      <c r="D47" s="270" t="str">
        <f>IF('Single No Levy Page 22'!$E$44&gt;0,'Single No Levy Page 22'!$E$44,"  ")</f>
        <v xml:space="preserve">  </v>
      </c>
      <c r="E47" s="270"/>
      <c r="F47" s="508"/>
    </row>
    <row r="48" spans="1:6" x14ac:dyDescent="0.2">
      <c r="A48" s="156" t="str">
        <f>IF(inputPrYr!$B57&gt;"  ",(inputPrYr!$B57),"  ")</f>
        <v xml:space="preserve">  </v>
      </c>
      <c r="B48" s="160"/>
      <c r="C48" s="158" t="str">
        <f>IF('Single No Levy Page 23'!C52&gt;0,'Single No Levy Page 23'!C52,"  ")</f>
        <v xml:space="preserve">  </v>
      </c>
      <c r="D48" s="270" t="str">
        <f>IF('Single No Levy Page 23'!$E$44&gt;0,'Single No Levy Page 23'!$E$44,"  ")</f>
        <v xml:space="preserve">  </v>
      </c>
      <c r="E48" s="270"/>
      <c r="F48" s="508"/>
    </row>
    <row r="49" spans="1:10" x14ac:dyDescent="0.2">
      <c r="A49" s="156" t="str">
        <f>IF(inputPrYr!$B58&gt;"  ",(inputPrYr!$B58),"  ")</f>
        <v xml:space="preserve">  </v>
      </c>
      <c r="B49" s="160"/>
      <c r="C49" s="158" t="str">
        <f>IF('Single No Levy Page 24'!C52&gt;0,'Single No Levy Page 24'!C52,"  ")</f>
        <v xml:space="preserve">  </v>
      </c>
      <c r="D49" s="270" t="str">
        <f>IF('Single No Levy Page 24'!$E$44&gt;0,'Single No Levy Page 24'!$E$44,"  ")</f>
        <v xml:space="preserve">  </v>
      </c>
      <c r="E49" s="270"/>
      <c r="F49" s="508"/>
    </row>
    <row r="50" spans="1:10" x14ac:dyDescent="0.2">
      <c r="A50" s="156" t="str">
        <f>IF(inputPrYr!$B59&gt;"  ",(inputPrYr!$B59),"  ")</f>
        <v xml:space="preserve">  </v>
      </c>
      <c r="B50" s="160"/>
      <c r="C50" s="158" t="str">
        <f>IF('Single No Levy Page 25'!C52&gt;0,'Single No Levy Page 25'!C52,"  ")</f>
        <v xml:space="preserve">  </v>
      </c>
      <c r="D50" s="270" t="str">
        <f>IF('Single No Levy Page 25'!$E$44&gt;0,'Single No Levy Page 25'!$E$44,"  ")</f>
        <v xml:space="preserve">  </v>
      </c>
      <c r="E50" s="270"/>
      <c r="F50" s="508"/>
    </row>
    <row r="51" spans="1:10" x14ac:dyDescent="0.2">
      <c r="A51" s="156" t="str">
        <f>IF(inputPrYr!$B62&gt;"  ",('Non-Budgeted Funds A'!$A3),"  ")</f>
        <v xml:space="preserve">  </v>
      </c>
      <c r="B51" s="160"/>
      <c r="C51" s="158" t="str">
        <f>IF('Non-Budgeted Funds A'!F37&gt;0,'Non-Budgeted Funds A'!F37,"  ")</f>
        <v xml:space="preserve">  </v>
      </c>
      <c r="D51" s="270"/>
      <c r="E51" s="270"/>
      <c r="F51" s="508"/>
      <c r="J51" s="657"/>
    </row>
    <row r="52" spans="1:10" x14ac:dyDescent="0.2">
      <c r="A52" s="156" t="str">
        <f>IF(inputPrYr!$B68&gt;"  ",('Non-Budgeted Funds B'!$A3),"  ")</f>
        <v xml:space="preserve">  </v>
      </c>
      <c r="B52" s="160"/>
      <c r="C52" s="158" t="str">
        <f>IF('Non-Budgeted Funds B'!F37&gt;0,'Non-Budgeted Funds B'!F37,"  ")</f>
        <v xml:space="preserve">  </v>
      </c>
      <c r="D52" s="270"/>
      <c r="E52" s="270"/>
      <c r="F52" s="508"/>
      <c r="J52" s="658"/>
    </row>
    <row r="53" spans="1:10" x14ac:dyDescent="0.2">
      <c r="A53" s="156" t="str">
        <f>IF(inputPrYr!$B74&gt;"  ",('Non-Budgeted Funds C'!$A3),"  ")</f>
        <v xml:space="preserve">  </v>
      </c>
      <c r="B53" s="160"/>
      <c r="C53" s="158" t="str">
        <f>IF('Non-Budgeted Funds C'!F37&gt;0,'Non-Budgeted Funds C'!F37,"  ")</f>
        <v xml:space="preserve">  </v>
      </c>
      <c r="D53" s="270"/>
      <c r="E53" s="270"/>
      <c r="F53" s="508"/>
      <c r="J53" s="658"/>
    </row>
    <row r="54" spans="1:10" ht="16.5" thickBot="1" x14ac:dyDescent="0.25">
      <c r="A54" s="156" t="str">
        <f>IF(inputPrYr!$B80&gt;"  ",('Non-Budgeted Funds D'!$A3),"  ")</f>
        <v xml:space="preserve">  </v>
      </c>
      <c r="B54" s="157"/>
      <c r="C54" s="158" t="str">
        <f>IF('Non-Budgeted Funds D'!F37&gt;0,'Non-Budgeted Funds D'!F37,"  ")</f>
        <v xml:space="preserve">  </v>
      </c>
      <c r="D54" s="509"/>
      <c r="E54" s="509"/>
      <c r="F54" s="510"/>
      <c r="J54" s="658"/>
    </row>
    <row r="55" spans="1:10" ht="16.5" thickBot="1" x14ac:dyDescent="0.25">
      <c r="A55" s="251" t="s">
        <v>357</v>
      </c>
      <c r="B55" s="96"/>
      <c r="C55" s="277" t="s">
        <v>152</v>
      </c>
      <c r="D55" s="692">
        <f>SUM(D18:D54)</f>
        <v>0</v>
      </c>
      <c r="E55" s="692">
        <f>SUM(E18:E54)</f>
        <v>0</v>
      </c>
      <c r="F55" s="693" t="str">
        <f>IF(SUM(F18:F30)=0,"",SUM(F18:F30))</f>
        <v/>
      </c>
      <c r="J55" s="658"/>
    </row>
    <row r="56" spans="1:10" ht="16.5" customHeight="1" thickTop="1" x14ac:dyDescent="0.2">
      <c r="A56" s="753" t="s">
        <v>700</v>
      </c>
      <c r="B56" s="754"/>
      <c r="C56" s="148" t="str">
        <f>IF('Budget Hearing Notice'!D76&gt;0,'Budget Hearing Notice'!D76," ")</f>
        <v xml:space="preserve"> </v>
      </c>
      <c r="D56" s="69"/>
      <c r="E56" s="757" t="s">
        <v>698</v>
      </c>
      <c r="F56" s="757" t="s">
        <v>26</v>
      </c>
      <c r="J56" s="659"/>
    </row>
    <row r="57" spans="1:10" ht="15.75" customHeight="1" x14ac:dyDescent="0.2">
      <c r="A57" s="753" t="s">
        <v>701</v>
      </c>
      <c r="B57" s="754"/>
      <c r="C57" s="148" t="str">
        <f>IF('Combined Rate-Bud Hearing Notic'!D76&gt;0, 'Combined Rate-Bud Hearing Notic'!D76, " ")</f>
        <v xml:space="preserve"> </v>
      </c>
      <c r="D57" s="606"/>
      <c r="E57" s="758"/>
      <c r="F57" s="758"/>
      <c r="I57" s="64"/>
      <c r="J57" s="660"/>
    </row>
    <row r="58" spans="1:10" x14ac:dyDescent="0.2">
      <c r="A58" s="755" t="s">
        <v>702</v>
      </c>
      <c r="B58" s="755"/>
      <c r="C58" s="662" t="str">
        <f>IF('RNR Hearing Notice'!E17&gt;0, 'RNR Hearing Notice'!E17, " ")</f>
        <v xml:space="preserve"> </v>
      </c>
      <c r="D58" s="605"/>
      <c r="E58" s="81">
        <f>inputPrYr!D4</f>
        <v>0</v>
      </c>
      <c r="F58" s="690"/>
      <c r="I58" s="660"/>
      <c r="J58" s="660"/>
    </row>
    <row r="59" spans="1:10" x14ac:dyDescent="0.2">
      <c r="A59" s="753" t="s">
        <v>116</v>
      </c>
      <c r="B59" s="754"/>
      <c r="C59" s="148" t="str">
        <f>IF('NR Rebate'!C40&gt;0,'NR Rebate'!C40,"")</f>
        <v/>
      </c>
      <c r="D59" s="607"/>
      <c r="E59" s="81">
        <f>inputPrYr!D6</f>
        <v>0</v>
      </c>
      <c r="F59" s="690"/>
    </row>
    <row r="60" spans="1:10" x14ac:dyDescent="0.2">
      <c r="A60" s="323"/>
      <c r="B60" s="323"/>
      <c r="C60" s="323"/>
      <c r="D60" s="323"/>
      <c r="E60" s="81">
        <f>inputPrYr!D7</f>
        <v>0</v>
      </c>
      <c r="F60" s="690"/>
    </row>
    <row r="61" spans="1:10" ht="16.5" thickBot="1" x14ac:dyDescent="0.25">
      <c r="A61" s="323"/>
      <c r="B61" s="323"/>
      <c r="C61" s="323"/>
      <c r="D61" s="323"/>
      <c r="E61" s="656">
        <f>inputPrYr!D8</f>
        <v>0</v>
      </c>
      <c r="F61" s="691"/>
    </row>
    <row r="62" spans="1:10" ht="15.75" customHeight="1" x14ac:dyDescent="0.2">
      <c r="A62" s="323"/>
      <c r="B62" s="323"/>
      <c r="C62" s="323"/>
      <c r="D62" s="323"/>
      <c r="E62" s="759" t="str">
        <f>CONCATENATE("Nov 1, ",H1-1," Total Assessed  Valuation")</f>
        <v>Nov 1, 2024 Total Assessed  Valuation</v>
      </c>
      <c r="F62" s="760"/>
    </row>
    <row r="63" spans="1:10" x14ac:dyDescent="0.2">
      <c r="A63" s="323"/>
      <c r="B63" s="323"/>
      <c r="C63" s="323"/>
      <c r="D63" s="323"/>
      <c r="E63" s="758"/>
      <c r="F63" s="761"/>
    </row>
    <row r="64" spans="1:10" x14ac:dyDescent="0.2">
      <c r="A64" s="323"/>
      <c r="B64" s="323"/>
      <c r="C64" s="323"/>
      <c r="D64" s="323"/>
      <c r="E64" s="323"/>
      <c r="F64" s="121"/>
    </row>
    <row r="65" spans="1:6" x14ac:dyDescent="0.2">
      <c r="A65" s="323"/>
      <c r="B65" s="323"/>
      <c r="C65" s="323"/>
      <c r="D65" s="323"/>
      <c r="E65" s="661" t="s">
        <v>699</v>
      </c>
      <c r="F65" s="644">
        <f>inputOth!D28</f>
        <v>0</v>
      </c>
    </row>
    <row r="66" spans="1:6" x14ac:dyDescent="0.2">
      <c r="A66" s="762" t="s">
        <v>983</v>
      </c>
      <c r="B66" s="763"/>
      <c r="C66" s="763"/>
      <c r="D66" s="763"/>
      <c r="E66" s="763"/>
      <c r="F66" s="644" t="str">
        <f>IF(E55&gt;inputPrYr!E36, "YES", "NO")</f>
        <v>NO</v>
      </c>
    </row>
    <row r="67" spans="1:6" x14ac:dyDescent="0.2">
      <c r="A67" s="323"/>
      <c r="B67" s="323"/>
      <c r="C67" s="323"/>
      <c r="D67" s="323"/>
      <c r="E67" s="661"/>
      <c r="F67" s="694"/>
    </row>
    <row r="68" spans="1:6" x14ac:dyDescent="0.2">
      <c r="A68" s="69" t="s">
        <v>153</v>
      </c>
      <c r="B68" s="323"/>
      <c r="C68" s="323"/>
      <c r="D68" s="323"/>
      <c r="E68" s="69"/>
      <c r="F68" s="69"/>
    </row>
    <row r="69" spans="1:6" x14ac:dyDescent="0.2">
      <c r="A69" s="162"/>
      <c r="B69" s="323"/>
      <c r="C69" s="323"/>
      <c r="D69" s="437"/>
      <c r="E69" s="69"/>
      <c r="F69" s="69"/>
    </row>
    <row r="70" spans="1:6" x14ac:dyDescent="0.2">
      <c r="A70" s="163"/>
      <c r="B70" s="323"/>
      <c r="C70" s="323"/>
      <c r="D70" s="69" t="s">
        <v>423</v>
      </c>
      <c r="E70" s="69"/>
      <c r="F70" s="69"/>
    </row>
    <row r="71" spans="1:6" x14ac:dyDescent="0.2">
      <c r="A71" s="72" t="s">
        <v>29</v>
      </c>
      <c r="B71" s="323"/>
      <c r="C71" s="323"/>
      <c r="D71" s="438"/>
      <c r="E71" s="196"/>
      <c r="F71" s="196"/>
    </row>
    <row r="72" spans="1:6" x14ac:dyDescent="0.2">
      <c r="A72" s="162"/>
      <c r="B72" s="69"/>
      <c r="C72" s="69"/>
      <c r="D72" s="69" t="s">
        <v>423</v>
      </c>
      <c r="E72" s="196"/>
      <c r="F72" s="196"/>
    </row>
    <row r="73" spans="1:6" x14ac:dyDescent="0.2">
      <c r="A73" s="163"/>
      <c r="B73" s="161"/>
      <c r="C73" s="69"/>
      <c r="D73" s="69"/>
      <c r="E73" s="102"/>
      <c r="F73" s="102"/>
    </row>
    <row r="74" spans="1:6" x14ac:dyDescent="0.2">
      <c r="A74" s="164" t="s">
        <v>422</v>
      </c>
      <c r="B74" s="161"/>
      <c r="C74" s="69"/>
      <c r="D74" s="69" t="s">
        <v>423</v>
      </c>
      <c r="E74" s="102"/>
      <c r="F74" s="102"/>
    </row>
    <row r="75" spans="1:6" x14ac:dyDescent="0.2">
      <c r="A75" s="162"/>
      <c r="B75" s="161"/>
      <c r="C75" s="69"/>
      <c r="D75" s="69"/>
      <c r="E75" s="439"/>
      <c r="F75" s="439"/>
    </row>
    <row r="76" spans="1:6" x14ac:dyDescent="0.2">
      <c r="A76" s="69"/>
      <c r="B76" s="135"/>
      <c r="C76" s="69"/>
      <c r="D76" s="69" t="s">
        <v>423</v>
      </c>
      <c r="E76" s="102"/>
      <c r="F76" s="102"/>
    </row>
    <row r="77" spans="1:6" x14ac:dyDescent="0.2">
      <c r="A77" s="69"/>
      <c r="B77" s="135"/>
      <c r="C77" s="69"/>
      <c r="D77" s="69"/>
      <c r="E77" s="439"/>
      <c r="F77" s="439"/>
    </row>
    <row r="78" spans="1:6" x14ac:dyDescent="0.2">
      <c r="A78" s="71" t="s">
        <v>106</v>
      </c>
      <c r="B78" s="164">
        <f>H1-1</f>
        <v>2024</v>
      </c>
      <c r="C78" s="69"/>
      <c r="D78" s="69" t="s">
        <v>423</v>
      </c>
      <c r="E78" s="136"/>
      <c r="F78" s="69"/>
    </row>
    <row r="79" spans="1:6" x14ac:dyDescent="0.2">
      <c r="A79" s="440"/>
      <c r="B79" s="69"/>
      <c r="C79" s="69"/>
      <c r="D79" s="69"/>
      <c r="E79" s="69"/>
      <c r="F79" s="69"/>
    </row>
    <row r="80" spans="1:6" x14ac:dyDescent="0.2">
      <c r="A80" s="378"/>
      <c r="B80" s="69"/>
      <c r="C80" s="69"/>
      <c r="D80" s="69" t="s">
        <v>423</v>
      </c>
      <c r="E80" s="69"/>
      <c r="F80" s="69"/>
    </row>
    <row r="81" spans="1:6" x14ac:dyDescent="0.2">
      <c r="A81" s="79" t="s">
        <v>155</v>
      </c>
      <c r="B81" s="69"/>
      <c r="C81" s="439"/>
      <c r="D81" s="756" t="s">
        <v>154</v>
      </c>
      <c r="E81" s="739"/>
      <c r="F81" s="739"/>
    </row>
    <row r="82" spans="1:6" x14ac:dyDescent="0.2">
      <c r="A82" s="440"/>
      <c r="B82" s="69"/>
      <c r="C82" s="69"/>
      <c r="D82" s="69"/>
      <c r="E82" s="69"/>
      <c r="F82" s="69"/>
    </row>
    <row r="83" spans="1:6" x14ac:dyDescent="0.2">
      <c r="A83" s="601" t="s">
        <v>513</v>
      </c>
      <c r="B83" s="115"/>
      <c r="C83" s="115"/>
      <c r="D83" s="115"/>
      <c r="E83" s="115"/>
      <c r="F83" s="586"/>
    </row>
    <row r="84" spans="1:6" x14ac:dyDescent="0.2">
      <c r="A84" s="587"/>
      <c r="B84" s="69"/>
      <c r="C84" s="69"/>
      <c r="D84" s="69"/>
      <c r="E84" s="69"/>
      <c r="F84" s="331"/>
    </row>
    <row r="85" spans="1:6" x14ac:dyDescent="0.2">
      <c r="A85" s="588"/>
      <c r="B85" s="76"/>
      <c r="C85" s="76"/>
      <c r="D85" s="76"/>
      <c r="E85" s="76"/>
      <c r="F85" s="96"/>
    </row>
    <row r="86" spans="1:6" x14ac:dyDescent="0.2">
      <c r="A86" s="440"/>
      <c r="B86" s="69"/>
      <c r="C86" s="69"/>
      <c r="D86" s="69"/>
      <c r="E86" s="69"/>
      <c r="F86" s="69"/>
    </row>
    <row r="88" spans="1:6" hidden="1" x14ac:dyDescent="0.2">
      <c r="B88" s="65" t="e">
        <f>inputOth!#REF!</f>
        <v>#REF!</v>
      </c>
    </row>
    <row r="92" spans="1:6" ht="15" x14ac:dyDescent="0.2">
      <c r="A92" s="107"/>
      <c r="B92" s="107"/>
      <c r="C92" s="107"/>
      <c r="D92" s="107"/>
      <c r="E92" s="107"/>
      <c r="F92" s="107"/>
    </row>
    <row r="93" spans="1:6" ht="15" x14ac:dyDescent="0.2">
      <c r="A93" s="107"/>
      <c r="B93" s="107"/>
      <c r="C93" s="107"/>
      <c r="D93" s="107"/>
      <c r="E93" s="107"/>
      <c r="F93" s="107"/>
    </row>
    <row r="94" spans="1:6" ht="15" x14ac:dyDescent="0.2">
      <c r="A94" s="107"/>
      <c r="B94" s="107"/>
      <c r="C94" s="107"/>
      <c r="D94" s="107"/>
      <c r="E94" s="107"/>
      <c r="F94" s="107"/>
    </row>
    <row r="95" spans="1:6" ht="15" x14ac:dyDescent="0.2">
      <c r="A95" s="107"/>
      <c r="B95" s="107"/>
      <c r="C95" s="107"/>
      <c r="D95" s="107"/>
      <c r="E95" s="107"/>
      <c r="F95" s="107"/>
    </row>
    <row r="96" spans="1:6" ht="15" x14ac:dyDescent="0.2">
      <c r="A96" s="107"/>
      <c r="B96" s="107"/>
      <c r="C96" s="107"/>
      <c r="D96" s="107"/>
      <c r="E96" s="107"/>
      <c r="F96" s="107"/>
    </row>
    <row r="97" spans="1:6" ht="15" x14ac:dyDescent="0.2">
      <c r="A97" s="107"/>
      <c r="B97" s="107"/>
      <c r="C97" s="107"/>
      <c r="D97" s="107"/>
      <c r="E97" s="107"/>
      <c r="F97" s="107"/>
    </row>
    <row r="98" spans="1:6" ht="15" x14ac:dyDescent="0.2">
      <c r="A98" s="107"/>
      <c r="B98" s="107"/>
      <c r="C98" s="107"/>
      <c r="D98" s="107"/>
      <c r="E98" s="107"/>
      <c r="F98" s="107"/>
    </row>
    <row r="99" spans="1:6" ht="15" x14ac:dyDescent="0.2">
      <c r="A99" s="107"/>
      <c r="B99" s="107"/>
      <c r="C99" s="107"/>
      <c r="D99" s="107"/>
      <c r="E99" s="107"/>
      <c r="F99" s="107"/>
    </row>
    <row r="100" spans="1:6" ht="15" x14ac:dyDescent="0.2">
      <c r="A100" s="107"/>
      <c r="B100" s="107"/>
      <c r="C100" s="107"/>
      <c r="D100" s="107"/>
      <c r="E100" s="107"/>
      <c r="F100" s="107"/>
    </row>
    <row r="101" spans="1:6" ht="15" x14ac:dyDescent="0.2">
      <c r="A101" s="107"/>
      <c r="B101" s="107"/>
      <c r="C101" s="107"/>
      <c r="D101" s="107"/>
      <c r="E101" s="107"/>
      <c r="F101" s="107"/>
    </row>
    <row r="102" spans="1:6" ht="15" x14ac:dyDescent="0.2">
      <c r="A102" s="107"/>
      <c r="B102" s="107"/>
      <c r="C102" s="107"/>
      <c r="D102" s="107"/>
      <c r="E102" s="107"/>
      <c r="F102" s="107"/>
    </row>
    <row r="103" spans="1:6" ht="15" x14ac:dyDescent="0.2">
      <c r="A103" s="107"/>
      <c r="B103" s="107"/>
      <c r="C103" s="107"/>
      <c r="D103" s="107"/>
      <c r="E103" s="107"/>
      <c r="F103" s="107"/>
    </row>
    <row r="104" spans="1:6" ht="15" x14ac:dyDescent="0.2">
      <c r="A104" s="107"/>
      <c r="B104" s="107"/>
      <c r="C104" s="107"/>
      <c r="D104" s="107"/>
      <c r="E104" s="107"/>
      <c r="F104" s="107"/>
    </row>
    <row r="105" spans="1:6" ht="15" x14ac:dyDescent="0.2">
      <c r="A105" s="107"/>
      <c r="B105" s="107"/>
      <c r="C105" s="107"/>
      <c r="D105" s="107"/>
      <c r="E105" s="107"/>
      <c r="F105" s="107"/>
    </row>
    <row r="106" spans="1:6" ht="15" x14ac:dyDescent="0.2">
      <c r="A106" s="107"/>
      <c r="B106" s="107"/>
      <c r="C106" s="107"/>
      <c r="D106" s="107"/>
      <c r="E106" s="107"/>
      <c r="F106" s="107"/>
    </row>
    <row r="107" spans="1:6" ht="15" x14ac:dyDescent="0.2">
      <c r="A107" s="107"/>
      <c r="B107" s="107"/>
      <c r="C107" s="107"/>
      <c r="D107" s="107"/>
      <c r="E107" s="107"/>
      <c r="F107" s="107"/>
    </row>
    <row r="110" spans="1:6" x14ac:dyDescent="0.2">
      <c r="A110" s="63"/>
      <c r="B110" s="63"/>
      <c r="C110" s="63"/>
      <c r="D110" s="63"/>
      <c r="E110" s="63"/>
      <c r="F110" s="63"/>
    </row>
  </sheetData>
  <sheetProtection sheet="1" objects="1" scenarios="1"/>
  <mergeCells count="15">
    <mergeCell ref="A4:F4"/>
    <mergeCell ref="A2:F2"/>
    <mergeCell ref="A5:F5"/>
    <mergeCell ref="A6:F6"/>
    <mergeCell ref="F9:F11"/>
    <mergeCell ref="A56:B56"/>
    <mergeCell ref="A59:B59"/>
    <mergeCell ref="A58:B58"/>
    <mergeCell ref="A57:B57"/>
    <mergeCell ref="D81:F81"/>
    <mergeCell ref="E56:E57"/>
    <mergeCell ref="F56:F57"/>
    <mergeCell ref="E62:E63"/>
    <mergeCell ref="F62:F63"/>
    <mergeCell ref="A66:E66"/>
  </mergeCells>
  <phoneticPr fontId="0" type="noConversion"/>
  <conditionalFormatting sqref="F66">
    <cfRule type="containsText" dxfId="0" priority="1" operator="containsText" text="YES">
      <formula>NOT(ISERROR(SEARCH("YES",F66)))</formula>
    </cfRule>
  </conditionalFormatting>
  <pageMargins left="1.25" right="0.5" top="0.5" bottom="0.5" header="0.25" footer="0.25"/>
  <pageSetup scale="55" orientation="portrait" blackAndWhite="1" horizontalDpi="120" verticalDpi="144" r:id="rId1"/>
  <headerFooter alignWithMargins="0">
    <oddHeader xml:space="preserve">&amp;RState of Kansas
City
</oddHeader>
    <oddFooter>&amp;C   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pageSetUpPr fitToPage="1"/>
  </sheetPr>
  <dimension ref="A1:I63"/>
  <sheetViews>
    <sheetView workbookViewId="0">
      <selection activeCell="Q119" sqref="Q119"/>
    </sheetView>
  </sheetViews>
  <sheetFormatPr defaultColWidth="8.88671875" defaultRowHeight="15.75" x14ac:dyDescent="0.2"/>
  <cols>
    <col min="1" max="1" width="8.88671875" style="65"/>
    <col min="2" max="2" width="16.77734375" style="65" customWidth="1"/>
    <col min="3" max="3" width="16.109375" style="65" customWidth="1"/>
    <col min="4" max="4" width="11.77734375" style="65" customWidth="1"/>
    <col min="5" max="5" width="12" style="65" customWidth="1"/>
    <col min="6" max="9" width="11.77734375" style="65" customWidth="1"/>
    <col min="10" max="16384" width="8.88671875" style="65"/>
  </cols>
  <sheetData>
    <row r="1" spans="1:9" x14ac:dyDescent="0.2">
      <c r="A1" s="69"/>
      <c r="B1" s="89">
        <f>inputPrYr!D3</f>
        <v>0</v>
      </c>
      <c r="C1" s="89"/>
      <c r="D1" s="69"/>
      <c r="E1" s="69"/>
      <c r="F1" s="69"/>
      <c r="G1" s="69"/>
      <c r="H1" s="69"/>
      <c r="I1" s="69">
        <f>inputPrYr!C10</f>
        <v>2025</v>
      </c>
    </row>
    <row r="2" spans="1:9" x14ac:dyDescent="0.2">
      <c r="A2" s="69"/>
      <c r="B2" s="89"/>
      <c r="C2" s="89"/>
      <c r="D2" s="69"/>
      <c r="E2" s="69"/>
      <c r="F2" s="69"/>
      <c r="G2" s="69"/>
      <c r="H2" s="69"/>
      <c r="I2" s="69"/>
    </row>
    <row r="3" spans="1:9" x14ac:dyDescent="0.2">
      <c r="A3" s="69"/>
      <c r="B3" s="69"/>
      <c r="C3" s="69"/>
      <c r="D3" s="69"/>
      <c r="E3" s="69"/>
      <c r="F3" s="69"/>
      <c r="G3" s="69"/>
      <c r="H3" s="69"/>
      <c r="I3" s="69"/>
    </row>
    <row r="4" spans="1:9" x14ac:dyDescent="0.2">
      <c r="A4" s="769" t="s">
        <v>495</v>
      </c>
      <c r="B4" s="770"/>
      <c r="C4" s="770"/>
      <c r="D4" s="770"/>
      <c r="E4" s="770"/>
      <c r="F4" s="770"/>
      <c r="G4" s="770"/>
      <c r="H4" s="770"/>
      <c r="I4" s="770"/>
    </row>
    <row r="5" spans="1:9" x14ac:dyDescent="0.2">
      <c r="A5" s="69"/>
      <c r="B5" s="69"/>
      <c r="C5" s="166"/>
      <c r="D5" s="75"/>
      <c r="E5" s="75"/>
      <c r="F5" s="69"/>
      <c r="G5" s="69"/>
      <c r="H5" s="69"/>
      <c r="I5" s="69"/>
    </row>
    <row r="6" spans="1:9" ht="21" customHeight="1" x14ac:dyDescent="0.2">
      <c r="A6" s="69"/>
      <c r="B6" s="167" t="s">
        <v>65</v>
      </c>
      <c r="C6" s="580" t="s">
        <v>496</v>
      </c>
      <c r="D6" s="768" t="str">
        <f>CONCATENATE("Allocation for Year ",I1,"")</f>
        <v>Allocation for Year 2025</v>
      </c>
      <c r="E6" s="721"/>
      <c r="F6" s="721"/>
      <c r="G6" s="721"/>
      <c r="H6" s="722"/>
      <c r="I6" s="69"/>
    </row>
    <row r="7" spans="1:9" x14ac:dyDescent="0.2">
      <c r="A7" s="69"/>
      <c r="B7" s="147" t="str">
        <f>CONCATENATE("for ",I1-1,"")</f>
        <v>for 2024</v>
      </c>
      <c r="C7" s="147" t="str">
        <f>CONCATENATE("Tax Year ",I1-2,"")</f>
        <v>Tax Year 2023</v>
      </c>
      <c r="D7" s="146" t="s">
        <v>9</v>
      </c>
      <c r="E7" s="146" t="s">
        <v>10</v>
      </c>
      <c r="F7" s="146" t="s">
        <v>8</v>
      </c>
      <c r="G7" s="579" t="s">
        <v>494</v>
      </c>
      <c r="H7" s="579" t="s">
        <v>493</v>
      </c>
      <c r="I7" s="121"/>
    </row>
    <row r="8" spans="1:9" x14ac:dyDescent="0.2">
      <c r="A8" s="69"/>
      <c r="B8" s="95" t="str">
        <f>(inputPrYr!B22)</f>
        <v>General</v>
      </c>
      <c r="C8" s="208">
        <f>(inputPrYr!E22)</f>
        <v>0</v>
      </c>
      <c r="D8" s="208">
        <f>IF(inputPrYr!E22=0,0,D23-SUM(D9:D20))</f>
        <v>0</v>
      </c>
      <c r="E8" s="208">
        <f>IF(inputPrYr!E22=0,0,E25-SUM(E9:E20))</f>
        <v>0</v>
      </c>
      <c r="F8" s="208">
        <f>IF(inputPrYr!E22=0,0,F27-SUM(F9:F20))</f>
        <v>0</v>
      </c>
      <c r="G8" s="208">
        <f>IF(inputPrYr!E22=0,0,G29-SUM(G9:G20))</f>
        <v>0</v>
      </c>
      <c r="H8" s="208">
        <f>IF(inputPrYr!E22=0,0,H31-SUM(H9:H20))</f>
        <v>0</v>
      </c>
      <c r="I8" s="254"/>
    </row>
    <row r="9" spans="1:9" x14ac:dyDescent="0.2">
      <c r="A9" s="69"/>
      <c r="B9" s="95" t="str">
        <f>IF(inputPrYr!$B23&gt;"  ",(inputPrYr!$B23),"  ")</f>
        <v>Debt Service</v>
      </c>
      <c r="C9" s="208" t="str">
        <f>IF(inputPrYr!$E23&gt;0,(inputPrYr!$E23),"  ")</f>
        <v xml:space="preserve">  </v>
      </c>
      <c r="D9" s="208" t="str">
        <f>IF(inputPrYr!E23&gt;0,ROUND(C9*$D$34,0),"  ")</f>
        <v xml:space="preserve">  </v>
      </c>
      <c r="E9" s="208" t="str">
        <f>IF(inputPrYr!E23&gt;0,ROUND(+C9*E$35,0)," ")</f>
        <v xml:space="preserve"> </v>
      </c>
      <c r="F9" s="208" t="str">
        <f>IF(inputPrYr!E23&gt;0,ROUND(C9*F$36,0)," ")</f>
        <v xml:space="preserve"> </v>
      </c>
      <c r="G9" s="208" t="str">
        <f>IF(inputPrYr!E23&gt;0,ROUND(C9*G$37,0)," ")</f>
        <v xml:space="preserve"> </v>
      </c>
      <c r="H9" s="208" t="str">
        <f>IF(inputPrYr!E23&gt;0,ROUND(C9*H$38,0)," ")</f>
        <v xml:space="preserve"> </v>
      </c>
      <c r="I9" s="254"/>
    </row>
    <row r="10" spans="1:9" x14ac:dyDescent="0.2">
      <c r="A10" s="69"/>
      <c r="B10" s="95" t="str">
        <f>IF(inputPrYr!$B24&gt;"  ",(inputPrYr!$B24),"  ")</f>
        <v>Library</v>
      </c>
      <c r="C10" s="208" t="str">
        <f>IF(inputPrYr!$E24&gt;0,(inputPrYr!$E24),"  ")</f>
        <v xml:space="preserve">  </v>
      </c>
      <c r="D10" s="208" t="str">
        <f>IF(inputPrYr!E24&gt;0,ROUND(C10*$D$34,0),"  ")</f>
        <v xml:space="preserve">  </v>
      </c>
      <c r="E10" s="208" t="str">
        <f>IF(inputPrYr!E24&gt;0,ROUND(+C10*E$35,0)," ")</f>
        <v xml:space="preserve"> </v>
      </c>
      <c r="F10" s="208" t="str">
        <f>IF(inputPrYr!E24&gt;0,ROUND(+C10*F$36,0)," ")</f>
        <v xml:space="preserve"> </v>
      </c>
      <c r="G10" s="208" t="str">
        <f>IF(inputPrYr!E24&gt;0,ROUND(C10*G$37,0)," ")</f>
        <v xml:space="preserve"> </v>
      </c>
      <c r="H10" s="208" t="str">
        <f>IF(inputPrYr!E24&gt;0,ROUND(C10*H$38,0)," ")</f>
        <v xml:space="preserve"> </v>
      </c>
      <c r="I10" s="254"/>
    </row>
    <row r="11" spans="1:9" x14ac:dyDescent="0.2">
      <c r="A11" s="69"/>
      <c r="B11" s="95" t="str">
        <f>IF(inputPrYr!$B26&gt;"  ",(inputPrYr!$B26),"  ")</f>
        <v xml:space="preserve">  </v>
      </c>
      <c r="C11" s="208" t="str">
        <f>IF(inputPrYr!$E26&gt;0,(inputPrYr!$E26),"  ")</f>
        <v xml:space="preserve">  </v>
      </c>
      <c r="D11" s="208" t="str">
        <f>IF(inputPrYr!E26&gt;0,ROUND(C11*$D$34,0),"  ")</f>
        <v xml:space="preserve">  </v>
      </c>
      <c r="E11" s="208" t="str">
        <f>IF(inputPrYr!E26&gt;0,ROUND(+C11*E$35,0)," ")</f>
        <v xml:space="preserve"> </v>
      </c>
      <c r="F11" s="208" t="str">
        <f>IF(inputPrYr!E26&gt;0,ROUND(+C11*F$36,0)," ")</f>
        <v xml:space="preserve"> </v>
      </c>
      <c r="G11" s="208" t="str">
        <f>IF(inputPrYr!E26&gt;0,ROUND(C11*G$37,0)," ")</f>
        <v xml:space="preserve"> </v>
      </c>
      <c r="H11" s="208" t="str">
        <f>IF(inputPrYr!E26&gt;0,ROUND(C11*H$38,0)," ")</f>
        <v xml:space="preserve"> </v>
      </c>
      <c r="I11" s="254"/>
    </row>
    <row r="12" spans="1:9" x14ac:dyDescent="0.2">
      <c r="A12" s="69"/>
      <c r="B12" s="95" t="str">
        <f>IF(inputPrYr!$B27&gt;"  ",(inputPrYr!$B27),"  ")</f>
        <v xml:space="preserve">  </v>
      </c>
      <c r="C12" s="208" t="str">
        <f>IF(inputPrYr!$E27&gt;0,(inputPrYr!$E27),"  ")</f>
        <v xml:space="preserve">  </v>
      </c>
      <c r="D12" s="208" t="str">
        <f>IF(inputPrYr!E27&gt;0,ROUND(C12*$D$34,0),"  ")</f>
        <v xml:space="preserve">  </v>
      </c>
      <c r="E12" s="208" t="str">
        <f>IF(inputPrYr!E27&gt;0,ROUND(+C12*E$35,0)," ")</f>
        <v xml:space="preserve"> </v>
      </c>
      <c r="F12" s="208" t="str">
        <f>IF(inputPrYr!E27&gt;0,ROUND(+C12*F$36,0)," ")</f>
        <v xml:space="preserve"> </v>
      </c>
      <c r="G12" s="208" t="str">
        <f>IF(inputPrYr!E27&gt;0,ROUND(C12*G$37,0)," ")</f>
        <v xml:space="preserve"> </v>
      </c>
      <c r="H12" s="208" t="str">
        <f>IF(inputPrYr!E27&gt;0,ROUND(C12*H$38,0)," ")</f>
        <v xml:space="preserve"> </v>
      </c>
      <c r="I12" s="254"/>
    </row>
    <row r="13" spans="1:9" x14ac:dyDescent="0.2">
      <c r="A13" s="69"/>
      <c r="B13" s="95" t="str">
        <f>IF(inputPrYr!$B28&gt;"  ",(inputPrYr!$B28),"  ")</f>
        <v xml:space="preserve">  </v>
      </c>
      <c r="C13" s="208" t="str">
        <f>IF(inputPrYr!$E28&gt;0,(inputPrYr!$E28),"  ")</f>
        <v xml:space="preserve">  </v>
      </c>
      <c r="D13" s="208" t="str">
        <f>IF(inputPrYr!E28&gt;0,ROUND(C13*$D$34,0),"  ")</f>
        <v xml:space="preserve">  </v>
      </c>
      <c r="E13" s="208" t="str">
        <f>IF(inputPrYr!E28&gt;0,ROUND(+C13*E$35,0)," ")</f>
        <v xml:space="preserve"> </v>
      </c>
      <c r="F13" s="208" t="str">
        <f>IF(inputPrYr!E28&gt;0,ROUND(+C13*F$36,0)," ")</f>
        <v xml:space="preserve"> </v>
      </c>
      <c r="G13" s="208" t="str">
        <f>IF(inputPrYr!E28&gt;0,ROUND(C13*G$37,0)," ")</f>
        <v xml:space="preserve"> </v>
      </c>
      <c r="H13" s="208" t="str">
        <f>IF(inputPrYr!E28&gt;0,ROUND(C13*H$38,0)," ")</f>
        <v xml:space="preserve"> </v>
      </c>
      <c r="I13" s="254"/>
    </row>
    <row r="14" spans="1:9" x14ac:dyDescent="0.2">
      <c r="A14" s="69"/>
      <c r="B14" s="95" t="str">
        <f>IF(inputPrYr!$B29&gt;"  ",(inputPrYr!$B29),"  ")</f>
        <v xml:space="preserve">  </v>
      </c>
      <c r="C14" s="208" t="str">
        <f>IF(inputPrYr!$E29&gt;0,(inputPrYr!$E29),"  ")</f>
        <v xml:space="preserve">  </v>
      </c>
      <c r="D14" s="208" t="str">
        <f>IF(inputPrYr!E29&gt;0,ROUND(C14*$D$34,0),"  ")</f>
        <v xml:space="preserve">  </v>
      </c>
      <c r="E14" s="208" t="str">
        <f>IF(inputPrYr!E29&gt;0,ROUND(+C14*E$35,0)," ")</f>
        <v xml:space="preserve"> </v>
      </c>
      <c r="F14" s="208" t="str">
        <f>IF(inputPrYr!E29&gt;0,ROUND(+C14*F$36,0)," ")</f>
        <v xml:space="preserve"> </v>
      </c>
      <c r="G14" s="208" t="str">
        <f>IF(inputPrYr!E29&gt;0,ROUND(C14*G$37,0)," ")</f>
        <v xml:space="preserve"> </v>
      </c>
      <c r="H14" s="208" t="str">
        <f>IF(inputPrYr!E29&gt;0,ROUND(C14*H$38,0)," ")</f>
        <v xml:space="preserve"> </v>
      </c>
      <c r="I14" s="254"/>
    </row>
    <row r="15" spans="1:9" x14ac:dyDescent="0.2">
      <c r="A15" s="69"/>
      <c r="B15" s="95" t="str">
        <f>IF(inputPrYr!$B30&gt;"  ",(inputPrYr!$B30),"  ")</f>
        <v xml:space="preserve">  </v>
      </c>
      <c r="C15" s="208" t="str">
        <f>IF(inputPrYr!$E30&gt;0,(inputPrYr!$E30),"  ")</f>
        <v xml:space="preserve">  </v>
      </c>
      <c r="D15" s="208" t="str">
        <f>IF(inputPrYr!E30&gt;0,ROUND(C15*$D$34,0),"  ")</f>
        <v xml:space="preserve">  </v>
      </c>
      <c r="E15" s="208" t="str">
        <f>IF(inputPrYr!E30&gt;0,ROUND(+C15*E$35,0)," ")</f>
        <v xml:space="preserve"> </v>
      </c>
      <c r="F15" s="208" t="str">
        <f>IF(inputPrYr!E30&gt;0,ROUND(+C15*F$36,0)," ")</f>
        <v xml:space="preserve"> </v>
      </c>
      <c r="G15" s="208" t="str">
        <f>IF(inputPrYr!E30&gt;0,ROUND(C15*G$37,0)," ")</f>
        <v xml:space="preserve"> </v>
      </c>
      <c r="H15" s="208" t="str">
        <f>IF(inputPrYr!E30&gt;0,ROUND(C15*H$38,0)," ")</f>
        <v xml:space="preserve"> </v>
      </c>
      <c r="I15" s="254"/>
    </row>
    <row r="16" spans="1:9" x14ac:dyDescent="0.2">
      <c r="A16" s="69"/>
      <c r="B16" s="95" t="str">
        <f>IF(inputPrYr!$B31&gt;"  ",(inputPrYr!$B31),"  ")</f>
        <v xml:space="preserve">  </v>
      </c>
      <c r="C16" s="208" t="str">
        <f>IF(inputPrYr!$E31&gt;0,(inputPrYr!$E31),"  ")</f>
        <v xml:space="preserve">  </v>
      </c>
      <c r="D16" s="208" t="str">
        <f>IF(inputPrYr!E31&gt;0,ROUND(C16*$D$34,0),"  ")</f>
        <v xml:space="preserve">  </v>
      </c>
      <c r="E16" s="208" t="str">
        <f>IF(inputPrYr!E31&gt;0,ROUND(+C16*E$35,0)," ")</f>
        <v xml:space="preserve"> </v>
      </c>
      <c r="F16" s="208" t="str">
        <f>IF(inputPrYr!E31&gt;0,ROUND(+C16*F$36,0)," ")</f>
        <v xml:space="preserve"> </v>
      </c>
      <c r="G16" s="208" t="str">
        <f>IF(inputPrYr!E31&gt;0,ROUND(C16*G$37,0)," ")</f>
        <v xml:space="preserve"> </v>
      </c>
      <c r="H16" s="208" t="str">
        <f>IF(inputPrYr!E31&gt;0,ROUND(C16*H$38,0)," ")</f>
        <v xml:space="preserve"> </v>
      </c>
      <c r="I16" s="254"/>
    </row>
    <row r="17" spans="1:9" x14ac:dyDescent="0.2">
      <c r="A17" s="69"/>
      <c r="B17" s="95" t="str">
        <f>IF(inputPrYr!$B32&gt;"  ",(inputPrYr!$B32),"  ")</f>
        <v xml:space="preserve">  </v>
      </c>
      <c r="C17" s="208" t="str">
        <f>IF(inputPrYr!$E32&gt;0,(inputPrYr!$E32),"  ")</f>
        <v xml:space="preserve">  </v>
      </c>
      <c r="D17" s="208" t="str">
        <f>IF(inputPrYr!E32&gt;0,ROUND(C17*$D$34,0),"  ")</f>
        <v xml:space="preserve">  </v>
      </c>
      <c r="E17" s="208" t="str">
        <f>IF(inputPrYr!E32&gt;0,ROUND(+C17*E$35,0)," ")</f>
        <v xml:space="preserve"> </v>
      </c>
      <c r="F17" s="208" t="str">
        <f>IF(inputPrYr!E32&gt;0,ROUND(+C17*F$36,0)," ")</f>
        <v xml:space="preserve"> </v>
      </c>
      <c r="G17" s="208" t="str">
        <f>IF(inputPrYr!E32&gt;0,ROUND(C17*G$37,0)," ")</f>
        <v xml:space="preserve"> </v>
      </c>
      <c r="H17" s="208" t="str">
        <f>IF(inputPrYr!E32&gt;0,ROUND(C17*H$38,0)," ")</f>
        <v xml:space="preserve"> </v>
      </c>
      <c r="I17" s="254"/>
    </row>
    <row r="18" spans="1:9" x14ac:dyDescent="0.2">
      <c r="A18" s="69"/>
      <c r="B18" s="95" t="str">
        <f>IF(inputPrYr!$B33&gt;"  ",(inputPrYr!$B33),"  ")</f>
        <v xml:space="preserve">  </v>
      </c>
      <c r="C18" s="208" t="str">
        <f>IF(inputPrYr!$E33&gt;0,(inputPrYr!$E33),"  ")</f>
        <v xml:space="preserve">  </v>
      </c>
      <c r="D18" s="208" t="str">
        <f>IF(inputPrYr!E33&gt;0,ROUND(C18*$D$34,0),"  ")</f>
        <v xml:space="preserve">  </v>
      </c>
      <c r="E18" s="208" t="str">
        <f>IF(inputPrYr!E33&gt;0,ROUND(+C18*E$35,0)," ")</f>
        <v xml:space="preserve"> </v>
      </c>
      <c r="F18" s="208" t="str">
        <f>IF(inputPrYr!E33&gt;0,ROUND(+C18*F$36,0)," ")</f>
        <v xml:space="preserve"> </v>
      </c>
      <c r="G18" s="208" t="str">
        <f>IF(inputPrYr!E33&gt;0,ROUND(C18*G$37,0)," ")</f>
        <v xml:space="preserve"> </v>
      </c>
      <c r="H18" s="208" t="str">
        <f>IF(inputPrYr!E33&gt;0,ROUND(C18*H$38,0)," ")</f>
        <v xml:space="preserve"> </v>
      </c>
      <c r="I18" s="254"/>
    </row>
    <row r="19" spans="1:9" x14ac:dyDescent="0.2">
      <c r="A19" s="69"/>
      <c r="B19" s="95" t="str">
        <f>IF(inputPrYr!$B34&gt;"  ",(inputPrYr!$B34),"  ")</f>
        <v xml:space="preserve">  </v>
      </c>
      <c r="C19" s="208" t="str">
        <f>IF(inputPrYr!$E34&gt;0,(inputPrYr!$E34),"  ")</f>
        <v xml:space="preserve">  </v>
      </c>
      <c r="D19" s="208" t="str">
        <f>IF(inputPrYr!E34&gt;0,ROUND(C19*$D$34,0),"  ")</f>
        <v xml:space="preserve">  </v>
      </c>
      <c r="E19" s="208" t="str">
        <f>IF(inputPrYr!E34&gt;0,ROUND(+C19*E$35,0)," ")</f>
        <v xml:space="preserve"> </v>
      </c>
      <c r="F19" s="208" t="str">
        <f>IF(inputPrYr!E34&gt;0,ROUND(+C19*F$36,0)," ")</f>
        <v xml:space="preserve"> </v>
      </c>
      <c r="G19" s="208" t="str">
        <f>IF(inputPrYr!E34&gt;0,ROUND(C19*G$37,0)," ")</f>
        <v xml:space="preserve"> </v>
      </c>
      <c r="H19" s="208" t="str">
        <f>IF(inputPrYr!E34&gt;0,ROUND(C19*H$38,0)," ")</f>
        <v xml:space="preserve"> </v>
      </c>
      <c r="I19" s="254"/>
    </row>
    <row r="20" spans="1:9" x14ac:dyDescent="0.2">
      <c r="A20" s="69"/>
      <c r="B20" s="95" t="str">
        <f>IF(inputPrYr!B35&gt;"  ",(inputPrYr!B35),"  ")</f>
        <v xml:space="preserve">  </v>
      </c>
      <c r="C20" s="208" t="str">
        <f>IF(inputPrYr!E35&gt;0,(inputPrYr!E35),"  ")</f>
        <v xml:space="preserve">  </v>
      </c>
      <c r="D20" s="208" t="str">
        <f>IF(inputPrYr!E35&gt;0,ROUND(C20*$D$34,0),"  ")</f>
        <v xml:space="preserve">  </v>
      </c>
      <c r="E20" s="208" t="str">
        <f>IF(inputPrYr!E35&gt;0,ROUND(+C20*E$35,0)," ")</f>
        <v xml:space="preserve"> </v>
      </c>
      <c r="F20" s="208" t="str">
        <f>IF(inputPrYr!E35&gt;0,ROUND(+C20*F$36,0)," ")</f>
        <v xml:space="preserve"> </v>
      </c>
      <c r="G20" s="208" t="str">
        <f>IF(inputPrYr!E35&gt;0,ROUND(C20*G$37,0)," ")</f>
        <v xml:space="preserve"> </v>
      </c>
      <c r="H20" s="208" t="str">
        <f>IF(inputPrYr!E35&gt;0,ROUND(C20*H$38,0)," ")</f>
        <v xml:space="preserve"> </v>
      </c>
      <c r="I20" s="254"/>
    </row>
    <row r="21" spans="1:9" ht="16.5" thickBot="1" x14ac:dyDescent="0.25">
      <c r="A21" s="69"/>
      <c r="B21" s="69" t="s">
        <v>158</v>
      </c>
      <c r="C21" s="168">
        <f t="shared" ref="C21:H21" si="0">SUM(C8:C20)</f>
        <v>0</v>
      </c>
      <c r="D21" s="168">
        <f t="shared" si="0"/>
        <v>0</v>
      </c>
      <c r="E21" s="168">
        <f t="shared" si="0"/>
        <v>0</v>
      </c>
      <c r="F21" s="168">
        <f t="shared" si="0"/>
        <v>0</v>
      </c>
      <c r="G21" s="168">
        <f t="shared" si="0"/>
        <v>0</v>
      </c>
      <c r="H21" s="168">
        <f t="shared" si="0"/>
        <v>0</v>
      </c>
      <c r="I21" s="69"/>
    </row>
    <row r="22" spans="1:9" ht="16.5" thickTop="1" x14ac:dyDescent="0.2">
      <c r="A22" s="69"/>
      <c r="B22" s="69"/>
      <c r="C22" s="89"/>
      <c r="D22" s="89"/>
      <c r="E22" s="89"/>
      <c r="F22" s="89"/>
      <c r="G22" s="89"/>
      <c r="H22" s="89"/>
      <c r="I22" s="69"/>
    </row>
    <row r="23" spans="1:9" x14ac:dyDescent="0.2">
      <c r="A23" s="69"/>
      <c r="B23" s="72" t="s">
        <v>159</v>
      </c>
      <c r="C23" s="169"/>
      <c r="D23" s="170">
        <f>(inputOth!C62)</f>
        <v>0</v>
      </c>
      <c r="E23" s="169"/>
      <c r="F23" s="69"/>
      <c r="G23" s="69"/>
      <c r="H23" s="69"/>
      <c r="I23" s="69"/>
    </row>
    <row r="24" spans="1:9" x14ac:dyDescent="0.2">
      <c r="A24" s="69"/>
      <c r="B24" s="72"/>
      <c r="C24" s="169"/>
      <c r="D24" s="89"/>
      <c r="E24" s="169"/>
      <c r="F24" s="69"/>
      <c r="G24" s="69"/>
      <c r="H24" s="69"/>
      <c r="I24" s="69"/>
    </row>
    <row r="25" spans="1:9" x14ac:dyDescent="0.2">
      <c r="A25" s="69"/>
      <c r="B25" s="581" t="s">
        <v>499</v>
      </c>
      <c r="C25" s="69"/>
      <c r="D25" s="69"/>
      <c r="E25" s="170">
        <f>(inputOth!D62)</f>
        <v>0</v>
      </c>
      <c r="F25" s="69"/>
      <c r="G25" s="69"/>
      <c r="H25" s="69"/>
      <c r="I25" s="69"/>
    </row>
    <row r="26" spans="1:9" x14ac:dyDescent="0.2">
      <c r="A26" s="69"/>
      <c r="B26" s="72"/>
      <c r="C26" s="69"/>
      <c r="D26" s="69"/>
      <c r="E26" s="89"/>
      <c r="F26" s="69"/>
      <c r="G26" s="69"/>
      <c r="H26" s="69"/>
      <c r="I26" s="69"/>
    </row>
    <row r="27" spans="1:9" x14ac:dyDescent="0.2">
      <c r="A27" s="69"/>
      <c r="B27" s="581" t="s">
        <v>500</v>
      </c>
      <c r="C27" s="69"/>
      <c r="D27" s="69"/>
      <c r="E27" s="69"/>
      <c r="F27" s="170">
        <f>inputOth!E62</f>
        <v>0</v>
      </c>
      <c r="G27" s="89"/>
      <c r="H27" s="89"/>
      <c r="I27" s="69"/>
    </row>
    <row r="28" spans="1:9" x14ac:dyDescent="0.2">
      <c r="A28" s="69"/>
      <c r="B28" s="72"/>
      <c r="C28" s="69"/>
      <c r="D28" s="69"/>
      <c r="E28" s="69"/>
      <c r="F28" s="89"/>
      <c r="G28" s="89"/>
      <c r="H28" s="89"/>
      <c r="I28" s="69"/>
    </row>
    <row r="29" spans="1:9" x14ac:dyDescent="0.2">
      <c r="A29" s="69"/>
      <c r="B29" s="558" t="s">
        <v>501</v>
      </c>
      <c r="C29" s="69"/>
      <c r="D29" s="69"/>
      <c r="E29" s="69"/>
      <c r="F29" s="89"/>
      <c r="G29" s="170">
        <f>inputOth!F62</f>
        <v>0</v>
      </c>
      <c r="H29" s="89"/>
      <c r="I29" s="69"/>
    </row>
    <row r="30" spans="1:9" x14ac:dyDescent="0.2">
      <c r="A30" s="69"/>
      <c r="B30" s="72"/>
      <c r="C30" s="69"/>
      <c r="D30" s="69"/>
      <c r="E30" s="69"/>
      <c r="F30" s="89"/>
      <c r="G30" s="89"/>
      <c r="H30" s="89"/>
      <c r="I30" s="69"/>
    </row>
    <row r="31" spans="1:9" x14ac:dyDescent="0.2">
      <c r="A31" s="69"/>
      <c r="B31" s="558" t="s">
        <v>502</v>
      </c>
      <c r="C31" s="69"/>
      <c r="D31" s="69"/>
      <c r="E31" s="69"/>
      <c r="F31" s="89"/>
      <c r="G31" s="89"/>
      <c r="H31" s="170">
        <f>inputOth!G62</f>
        <v>0</v>
      </c>
      <c r="I31" s="69"/>
    </row>
    <row r="32" spans="1:9" x14ac:dyDescent="0.2">
      <c r="A32" s="286"/>
      <c r="B32" s="425"/>
      <c r="C32" s="286"/>
      <c r="D32" s="286"/>
      <c r="E32" s="286"/>
      <c r="F32" s="287"/>
      <c r="G32" s="287"/>
      <c r="H32" s="287"/>
      <c r="I32" s="286"/>
    </row>
    <row r="33" spans="1:9" x14ac:dyDescent="0.2">
      <c r="A33" s="286"/>
      <c r="B33" s="425"/>
      <c r="C33" s="286"/>
      <c r="D33" s="286"/>
      <c r="E33" s="286"/>
      <c r="F33" s="287"/>
      <c r="G33" s="287"/>
      <c r="H33" s="287"/>
      <c r="I33" s="570"/>
    </row>
    <row r="34" spans="1:9" x14ac:dyDescent="0.2">
      <c r="A34" s="286"/>
      <c r="B34" s="425" t="s">
        <v>160</v>
      </c>
      <c r="C34" s="286"/>
      <c r="D34" s="571">
        <f>IF(C21=0,0,D23/C21)</f>
        <v>0</v>
      </c>
      <c r="E34" s="286"/>
      <c r="F34" s="286"/>
      <c r="G34" s="286"/>
      <c r="H34" s="286"/>
      <c r="I34" s="286"/>
    </row>
    <row r="35" spans="1:9" x14ac:dyDescent="0.2">
      <c r="A35" s="286"/>
      <c r="B35" s="286"/>
      <c r="C35" s="425" t="s">
        <v>161</v>
      </c>
      <c r="D35" s="286"/>
      <c r="E35" s="571">
        <f>IF(C21=0,0,E25/C21)</f>
        <v>0</v>
      </c>
      <c r="F35" s="286"/>
      <c r="G35" s="286"/>
      <c r="H35" s="286"/>
      <c r="I35" s="286"/>
    </row>
    <row r="36" spans="1:9" x14ac:dyDescent="0.2">
      <c r="A36" s="286"/>
      <c r="B36" s="286"/>
      <c r="C36" s="286"/>
      <c r="D36" s="425" t="s">
        <v>11</v>
      </c>
      <c r="E36" s="286"/>
      <c r="F36" s="571">
        <f>IF(C21=0,0,F27/C21)</f>
        <v>0</v>
      </c>
      <c r="G36" s="572"/>
      <c r="H36" s="572"/>
      <c r="I36" s="286"/>
    </row>
    <row r="37" spans="1:9" x14ac:dyDescent="0.2">
      <c r="A37" s="286"/>
      <c r="B37" s="286"/>
      <c r="C37" s="286"/>
      <c r="D37" s="425"/>
      <c r="E37" s="583" t="s">
        <v>497</v>
      </c>
      <c r="F37" s="582"/>
      <c r="G37" s="571">
        <f>IF(C21=0,0,G29/C21)</f>
        <v>0</v>
      </c>
      <c r="H37" s="572"/>
      <c r="I37" s="286"/>
    </row>
    <row r="38" spans="1:9" x14ac:dyDescent="0.2">
      <c r="A38" s="286"/>
      <c r="B38" s="286"/>
      <c r="C38" s="286"/>
      <c r="D38" s="425"/>
      <c r="E38" s="584"/>
      <c r="F38" s="583" t="s">
        <v>498</v>
      </c>
      <c r="G38" s="572"/>
      <c r="H38" s="571">
        <f>IF(C21=0,0,H31/C21)</f>
        <v>0</v>
      </c>
      <c r="I38" s="286"/>
    </row>
    <row r="39" spans="1:9" x14ac:dyDescent="0.2">
      <c r="A39" s="286"/>
      <c r="B39" s="573"/>
      <c r="C39" s="573"/>
      <c r="D39" s="573"/>
      <c r="E39" s="573"/>
      <c r="F39" s="573"/>
      <c r="G39" s="573"/>
      <c r="H39" s="573"/>
      <c r="I39" s="573"/>
    </row>
    <row r="40" spans="1:9" ht="15" customHeight="1" x14ac:dyDescent="0.2">
      <c r="A40" s="286"/>
      <c r="B40" s="573"/>
      <c r="C40" s="573"/>
      <c r="D40" s="573"/>
      <c r="E40" s="573"/>
      <c r="F40" s="573"/>
      <c r="G40" s="573"/>
      <c r="H40" s="573"/>
      <c r="I40" s="573"/>
    </row>
    <row r="41" spans="1:9" s="171" customFormat="1" ht="15" customHeight="1" x14ac:dyDescent="0.2">
      <c r="B41" s="107"/>
      <c r="C41" s="107"/>
      <c r="D41" s="107"/>
      <c r="E41" s="107"/>
      <c r="F41" s="107"/>
      <c r="G41" s="107"/>
      <c r="H41" s="107"/>
      <c r="I41" s="107"/>
    </row>
    <row r="42" spans="1:9" ht="15" customHeight="1" x14ac:dyDescent="0.2">
      <c r="B42" s="107"/>
      <c r="C42" s="107"/>
      <c r="D42" s="107"/>
      <c r="E42" s="107"/>
      <c r="F42" s="107"/>
      <c r="G42" s="107"/>
      <c r="H42" s="107"/>
      <c r="I42" s="107"/>
    </row>
    <row r="43" spans="1:9" ht="15" customHeight="1" x14ac:dyDescent="0.2">
      <c r="B43" s="107"/>
      <c r="C43" s="107"/>
      <c r="D43" s="107"/>
      <c r="E43" s="107"/>
      <c r="F43" s="107"/>
      <c r="G43" s="107"/>
      <c r="H43" s="107"/>
      <c r="I43" s="107"/>
    </row>
    <row r="44" spans="1:9" ht="15" customHeight="1" x14ac:dyDescent="0.2">
      <c r="B44" s="107"/>
      <c r="C44" s="107"/>
      <c r="D44" s="107"/>
      <c r="E44" s="107"/>
      <c r="F44" s="107"/>
      <c r="G44" s="107"/>
      <c r="H44" s="107"/>
      <c r="I44" s="107"/>
    </row>
    <row r="45" spans="1:9" ht="15" customHeight="1" x14ac:dyDescent="0.2">
      <c r="B45" s="107"/>
      <c r="C45" s="107"/>
      <c r="D45" s="107"/>
      <c r="E45" s="107"/>
      <c r="F45" s="107"/>
      <c r="G45" s="107"/>
      <c r="H45" s="107"/>
      <c r="I45" s="107"/>
    </row>
    <row r="46" spans="1:9" ht="15" customHeight="1" x14ac:dyDescent="0.2">
      <c r="B46" s="107"/>
      <c r="C46" s="107"/>
      <c r="D46" s="107"/>
      <c r="E46" s="107"/>
      <c r="F46" s="107"/>
      <c r="G46" s="107"/>
      <c r="H46" s="107"/>
      <c r="I46" s="107"/>
    </row>
    <row r="47" spans="1:9" ht="15" customHeight="1" x14ac:dyDescent="0.2">
      <c r="B47" s="107"/>
      <c r="C47" s="107"/>
      <c r="D47" s="107"/>
      <c r="E47" s="107"/>
      <c r="F47" s="107"/>
      <c r="G47" s="107"/>
      <c r="H47" s="107"/>
      <c r="I47" s="107"/>
    </row>
    <row r="48" spans="1:9" ht="15" customHeight="1" x14ac:dyDescent="0.2">
      <c r="B48" s="107"/>
      <c r="C48" s="107"/>
      <c r="D48" s="107"/>
      <c r="E48" s="107"/>
      <c r="F48" s="107"/>
      <c r="G48" s="107"/>
      <c r="H48" s="107"/>
      <c r="I48" s="107"/>
    </row>
    <row r="49" spans="2:9" ht="15" customHeight="1" x14ac:dyDescent="0.2">
      <c r="B49" s="107"/>
      <c r="C49" s="107"/>
      <c r="D49" s="107"/>
      <c r="E49" s="107"/>
      <c r="F49" s="107"/>
      <c r="G49" s="107"/>
      <c r="H49" s="107"/>
      <c r="I49" s="107"/>
    </row>
    <row r="50" spans="2:9" ht="15" customHeight="1" x14ac:dyDescent="0.2">
      <c r="B50" s="107"/>
      <c r="C50" s="107"/>
      <c r="D50" s="107"/>
      <c r="E50" s="107"/>
      <c r="F50" s="107"/>
      <c r="G50" s="107"/>
      <c r="H50" s="107"/>
      <c r="I50" s="107"/>
    </row>
    <row r="51" spans="2:9" ht="15" customHeight="1" x14ac:dyDescent="0.2">
      <c r="B51" s="107"/>
      <c r="C51" s="107"/>
      <c r="D51" s="107"/>
      <c r="E51" s="107"/>
      <c r="F51" s="107"/>
      <c r="G51" s="107"/>
      <c r="H51" s="107"/>
      <c r="I51" s="107"/>
    </row>
    <row r="52" spans="2:9" ht="15" customHeight="1" x14ac:dyDescent="0.2">
      <c r="B52" s="107"/>
      <c r="C52" s="107"/>
      <c r="D52" s="107"/>
      <c r="E52" s="107"/>
      <c r="F52" s="107"/>
      <c r="G52" s="107"/>
      <c r="H52" s="107"/>
      <c r="I52" s="107"/>
    </row>
    <row r="53" spans="2:9" ht="15" customHeight="1" x14ac:dyDescent="0.2">
      <c r="B53" s="107"/>
      <c r="C53" s="107"/>
      <c r="D53" s="107"/>
      <c r="E53" s="107"/>
      <c r="F53" s="107"/>
      <c r="G53" s="107"/>
      <c r="H53" s="107"/>
      <c r="I53" s="107"/>
    </row>
    <row r="54" spans="2:9" ht="15" customHeight="1" x14ac:dyDescent="0.2">
      <c r="B54" s="107"/>
      <c r="C54" s="107"/>
      <c r="D54" s="107"/>
      <c r="E54" s="107"/>
      <c r="F54" s="107"/>
      <c r="G54" s="107"/>
      <c r="H54" s="107"/>
      <c r="I54" s="107"/>
    </row>
    <row r="55" spans="2:9" ht="15" customHeight="1" x14ac:dyDescent="0.2">
      <c r="B55" s="107"/>
      <c r="C55" s="107"/>
      <c r="D55" s="107"/>
      <c r="E55" s="107"/>
      <c r="F55" s="107"/>
      <c r="G55" s="107"/>
      <c r="H55" s="107"/>
      <c r="I55" s="107"/>
    </row>
    <row r="56" spans="2:9" x14ac:dyDescent="0.2">
      <c r="B56" s="107"/>
      <c r="C56" s="107"/>
      <c r="D56" s="107"/>
      <c r="E56" s="107"/>
      <c r="F56" s="107"/>
      <c r="G56" s="107"/>
      <c r="H56" s="107"/>
      <c r="I56" s="107"/>
    </row>
    <row r="57" spans="2:9" x14ac:dyDescent="0.2">
      <c r="B57" s="107"/>
      <c r="C57" s="107"/>
      <c r="D57" s="107"/>
      <c r="E57" s="107"/>
      <c r="F57" s="107"/>
      <c r="G57" s="107"/>
      <c r="H57" s="107"/>
      <c r="I57" s="107"/>
    </row>
    <row r="58" spans="2:9" x14ac:dyDescent="0.2">
      <c r="B58" s="107"/>
      <c r="C58" s="107"/>
      <c r="D58" s="107"/>
      <c r="E58" s="107"/>
      <c r="F58" s="107"/>
      <c r="G58" s="107"/>
      <c r="H58" s="107"/>
      <c r="I58" s="107"/>
    </row>
    <row r="59" spans="2:9" x14ac:dyDescent="0.2">
      <c r="B59" s="107"/>
      <c r="C59" s="107"/>
      <c r="D59" s="107"/>
      <c r="E59" s="107"/>
      <c r="F59" s="107"/>
      <c r="G59" s="107"/>
      <c r="H59" s="107"/>
      <c r="I59" s="107"/>
    </row>
    <row r="60" spans="2:9" x14ac:dyDescent="0.2">
      <c r="B60" s="107"/>
      <c r="C60" s="107"/>
      <c r="D60" s="107"/>
      <c r="E60" s="107"/>
      <c r="F60" s="107"/>
      <c r="G60" s="107"/>
      <c r="H60" s="107"/>
      <c r="I60" s="107"/>
    </row>
    <row r="61" spans="2:9" x14ac:dyDescent="0.2">
      <c r="B61" s="107"/>
      <c r="C61" s="107"/>
      <c r="D61" s="107"/>
      <c r="E61" s="107"/>
      <c r="F61" s="107"/>
      <c r="G61" s="107"/>
      <c r="H61" s="107"/>
      <c r="I61" s="107"/>
    </row>
    <row r="62" spans="2:9" x14ac:dyDescent="0.2">
      <c r="B62" s="107"/>
      <c r="C62" s="107"/>
      <c r="D62" s="107"/>
      <c r="E62" s="107"/>
      <c r="F62" s="107"/>
      <c r="G62" s="107"/>
      <c r="H62" s="107"/>
      <c r="I62" s="107"/>
    </row>
    <row r="63" spans="2:9" x14ac:dyDescent="0.2">
      <c r="B63" s="107"/>
      <c r="C63" s="107"/>
      <c r="D63" s="107"/>
      <c r="E63" s="107"/>
      <c r="F63" s="107"/>
      <c r="G63" s="107"/>
      <c r="H63" s="107"/>
      <c r="I63" s="107"/>
    </row>
  </sheetData>
  <sheetProtection sheet="1"/>
  <mergeCells count="2">
    <mergeCell ref="D6:H6"/>
    <mergeCell ref="A4:I4"/>
  </mergeCells>
  <phoneticPr fontId="0" type="noConversion"/>
  <pageMargins left="0.5" right="0.5" top="0.5" bottom="0.25" header="0" footer="0.25"/>
  <pageSetup scale="71" orientation="portrait" blackAndWhite="1" horizontalDpi="120" verticalDpi="144" r:id="rId1"/>
  <headerFooter alignWithMargins="0">
    <oddHeader xml:space="preserve">&amp;RState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pageSetUpPr fitToPage="1"/>
  </sheetPr>
  <dimension ref="A1:F32"/>
  <sheetViews>
    <sheetView workbookViewId="0">
      <selection activeCell="A3" sqref="A3:F3"/>
    </sheetView>
  </sheetViews>
  <sheetFormatPr defaultColWidth="8.88671875" defaultRowHeight="15.75" x14ac:dyDescent="0.2"/>
  <cols>
    <col min="1" max="2" width="17.77734375" style="63" customWidth="1"/>
    <col min="3" max="6" width="12.77734375" style="63" customWidth="1"/>
    <col min="7" max="16384" width="8.88671875" style="63"/>
  </cols>
  <sheetData>
    <row r="1" spans="1:6" x14ac:dyDescent="0.2">
      <c r="A1" s="89">
        <f>inputPrYr!D3</f>
        <v>0</v>
      </c>
      <c r="B1" s="89"/>
      <c r="C1" s="69"/>
      <c r="D1" s="69"/>
      <c r="E1" s="69"/>
      <c r="F1" s="69">
        <f>inputPrYr!$C$10</f>
        <v>2025</v>
      </c>
    </row>
    <row r="2" spans="1:6" x14ac:dyDescent="0.2">
      <c r="A2" s="69"/>
      <c r="B2" s="69"/>
      <c r="C2" s="69"/>
      <c r="D2" s="69"/>
      <c r="E2" s="69"/>
      <c r="F2" s="69"/>
    </row>
    <row r="3" spans="1:6" x14ac:dyDescent="0.2">
      <c r="A3" s="771" t="s">
        <v>22</v>
      </c>
      <c r="B3" s="771"/>
      <c r="C3" s="771"/>
      <c r="D3" s="771"/>
      <c r="E3" s="771"/>
      <c r="F3" s="771"/>
    </row>
    <row r="4" spans="1:6" x14ac:dyDescent="0.2">
      <c r="A4" s="172"/>
      <c r="B4" s="172"/>
      <c r="C4" s="172"/>
      <c r="D4" s="172"/>
      <c r="E4" s="172"/>
      <c r="F4" s="172"/>
    </row>
    <row r="5" spans="1:6" x14ac:dyDescent="0.2">
      <c r="A5" s="173" t="s">
        <v>315</v>
      </c>
      <c r="B5" s="173" t="s">
        <v>316</v>
      </c>
      <c r="C5" s="173" t="s">
        <v>186</v>
      </c>
      <c r="D5" s="173" t="s">
        <v>27</v>
      </c>
      <c r="E5" s="173" t="s">
        <v>28</v>
      </c>
      <c r="F5" s="173" t="s">
        <v>58</v>
      </c>
    </row>
    <row r="6" spans="1:6" x14ac:dyDescent="0.2">
      <c r="A6" s="174" t="s">
        <v>317</v>
      </c>
      <c r="B6" s="174" t="s">
        <v>318</v>
      </c>
      <c r="C6" s="174" t="s">
        <v>59</v>
      </c>
      <c r="D6" s="174" t="s">
        <v>59</v>
      </c>
      <c r="E6" s="174" t="s">
        <v>59</v>
      </c>
      <c r="F6" s="174" t="s">
        <v>60</v>
      </c>
    </row>
    <row r="7" spans="1:6" ht="15" customHeight="1" x14ac:dyDescent="0.2">
      <c r="A7" s="175" t="s">
        <v>61</v>
      </c>
      <c r="B7" s="175" t="s">
        <v>62</v>
      </c>
      <c r="C7" s="176">
        <f>F1-2</f>
        <v>2023</v>
      </c>
      <c r="D7" s="176">
        <f>F1-1</f>
        <v>2024</v>
      </c>
      <c r="E7" s="176">
        <f>F1</f>
        <v>2025</v>
      </c>
      <c r="F7" s="175" t="s">
        <v>63</v>
      </c>
    </row>
    <row r="8" spans="1:6" ht="14.25" customHeight="1" x14ac:dyDescent="0.2">
      <c r="A8" s="177"/>
      <c r="B8" s="177"/>
      <c r="C8" s="381"/>
      <c r="D8" s="381"/>
      <c r="E8" s="381"/>
      <c r="F8" s="178"/>
    </row>
    <row r="9" spans="1:6" ht="15" customHeight="1" x14ac:dyDescent="0.2">
      <c r="A9" s="179"/>
      <c r="B9" s="179"/>
      <c r="C9" s="382"/>
      <c r="D9" s="382"/>
      <c r="E9" s="382"/>
      <c r="F9" s="178"/>
    </row>
    <row r="10" spans="1:6" ht="15" customHeight="1" x14ac:dyDescent="0.2">
      <c r="A10" s="179"/>
      <c r="B10" s="179"/>
      <c r="C10" s="382"/>
      <c r="D10" s="382"/>
      <c r="E10" s="382"/>
      <c r="F10" s="178"/>
    </row>
    <row r="11" spans="1:6" ht="15" customHeight="1" x14ac:dyDescent="0.2">
      <c r="A11" s="179"/>
      <c r="B11" s="179"/>
      <c r="C11" s="382"/>
      <c r="D11" s="382"/>
      <c r="E11" s="382"/>
      <c r="F11" s="178"/>
    </row>
    <row r="12" spans="1:6" ht="15" customHeight="1" x14ac:dyDescent="0.2">
      <c r="A12" s="179"/>
      <c r="B12" s="179"/>
      <c r="C12" s="382"/>
      <c r="D12" s="382"/>
      <c r="E12" s="382"/>
      <c r="F12" s="178"/>
    </row>
    <row r="13" spans="1:6" ht="15" customHeight="1" x14ac:dyDescent="0.2">
      <c r="A13" s="179"/>
      <c r="B13" s="179"/>
      <c r="C13" s="382"/>
      <c r="D13" s="382"/>
      <c r="E13" s="382"/>
      <c r="F13" s="178"/>
    </row>
    <row r="14" spans="1:6" ht="15" customHeight="1" x14ac:dyDescent="0.2">
      <c r="A14" s="179"/>
      <c r="B14" s="179"/>
      <c r="C14" s="382"/>
      <c r="D14" s="382"/>
      <c r="E14" s="382"/>
      <c r="F14" s="178"/>
    </row>
    <row r="15" spans="1:6" ht="15" customHeight="1" x14ac:dyDescent="0.2">
      <c r="A15" s="179"/>
      <c r="B15" s="179"/>
      <c r="C15" s="382"/>
      <c r="D15" s="382"/>
      <c r="E15" s="382"/>
      <c r="F15" s="178"/>
    </row>
    <row r="16" spans="1:6" ht="15" customHeight="1" x14ac:dyDescent="0.2">
      <c r="A16" s="179"/>
      <c r="B16" s="179"/>
      <c r="C16" s="382"/>
      <c r="D16" s="382"/>
      <c r="E16" s="382"/>
      <c r="F16" s="178"/>
    </row>
    <row r="17" spans="1:6" ht="15" customHeight="1" x14ac:dyDescent="0.2">
      <c r="A17" s="179"/>
      <c r="B17" s="179"/>
      <c r="C17" s="382"/>
      <c r="D17" s="382"/>
      <c r="E17" s="382"/>
      <c r="F17" s="178"/>
    </row>
    <row r="18" spans="1:6" ht="15" customHeight="1" x14ac:dyDescent="0.2">
      <c r="A18" s="179"/>
      <c r="B18" s="179"/>
      <c r="C18" s="382"/>
      <c r="D18" s="382"/>
      <c r="E18" s="382"/>
      <c r="F18" s="178"/>
    </row>
    <row r="19" spans="1:6" ht="15" customHeight="1" x14ac:dyDescent="0.2">
      <c r="A19" s="179"/>
      <c r="B19" s="179"/>
      <c r="C19" s="382"/>
      <c r="D19" s="382"/>
      <c r="E19" s="382"/>
      <c r="F19" s="178"/>
    </row>
    <row r="20" spans="1:6" ht="15" customHeight="1" x14ac:dyDescent="0.2">
      <c r="A20" s="179"/>
      <c r="B20" s="179"/>
      <c r="C20" s="382"/>
      <c r="D20" s="382"/>
      <c r="E20" s="382"/>
      <c r="F20" s="178"/>
    </row>
    <row r="21" spans="1:6" ht="15" customHeight="1" x14ac:dyDescent="0.2">
      <c r="A21" s="179"/>
      <c r="B21" s="179"/>
      <c r="C21" s="382"/>
      <c r="D21" s="382"/>
      <c r="E21" s="382"/>
      <c r="F21" s="178"/>
    </row>
    <row r="22" spans="1:6" ht="15" customHeight="1" x14ac:dyDescent="0.2">
      <c r="A22" s="179"/>
      <c r="B22" s="179"/>
      <c r="C22" s="382"/>
      <c r="D22" s="382"/>
      <c r="E22" s="382"/>
      <c r="F22" s="178"/>
    </row>
    <row r="23" spans="1:6" ht="15" customHeight="1" x14ac:dyDescent="0.2">
      <c r="A23" s="179"/>
      <c r="B23" s="179"/>
      <c r="C23" s="382"/>
      <c r="D23" s="382"/>
      <c r="E23" s="382"/>
      <c r="F23" s="178"/>
    </row>
    <row r="24" spans="1:6" ht="15" customHeight="1" x14ac:dyDescent="0.2">
      <c r="A24" s="179"/>
      <c r="B24" s="179"/>
      <c r="C24" s="382"/>
      <c r="D24" s="382"/>
      <c r="E24" s="382"/>
      <c r="F24" s="178"/>
    </row>
    <row r="25" spans="1:6" ht="15" customHeight="1" x14ac:dyDescent="0.2">
      <c r="A25" s="179"/>
      <c r="B25" s="179"/>
      <c r="C25" s="382"/>
      <c r="D25" s="382"/>
      <c r="E25" s="382"/>
      <c r="F25" s="178"/>
    </row>
    <row r="26" spans="1:6" ht="15" customHeight="1" x14ac:dyDescent="0.2">
      <c r="A26" s="102"/>
      <c r="B26" s="180" t="s">
        <v>151</v>
      </c>
      <c r="C26" s="181">
        <f>SUM(C8:C25)</f>
        <v>0</v>
      </c>
      <c r="D26" s="181">
        <f>SUM(D8:D25)</f>
        <v>0</v>
      </c>
      <c r="E26" s="181">
        <f>SUM(E8:E25)</f>
        <v>0</v>
      </c>
      <c r="F26" s="182"/>
    </row>
    <row r="27" spans="1:6" ht="15" customHeight="1" x14ac:dyDescent="0.2">
      <c r="A27" s="102"/>
      <c r="B27" s="183" t="s">
        <v>313</v>
      </c>
      <c r="C27" s="153"/>
      <c r="D27" s="184"/>
      <c r="E27" s="184"/>
      <c r="F27" s="182"/>
    </row>
    <row r="28" spans="1:6" ht="15" customHeight="1" x14ac:dyDescent="0.2">
      <c r="A28" s="102"/>
      <c r="B28" s="180" t="s">
        <v>64</v>
      </c>
      <c r="C28" s="181">
        <f>C26</f>
        <v>0</v>
      </c>
      <c r="D28" s="181">
        <f>SUM(D26-D27)</f>
        <v>0</v>
      </c>
      <c r="E28" s="181">
        <f>SUM(E26-E27)</f>
        <v>0</v>
      </c>
      <c r="F28" s="182"/>
    </row>
    <row r="29" spans="1:6" ht="15" customHeight="1" x14ac:dyDescent="0.2">
      <c r="A29" s="102"/>
      <c r="B29" s="102"/>
      <c r="C29" s="102"/>
      <c r="D29" s="102"/>
      <c r="E29" s="102"/>
      <c r="F29" s="102"/>
    </row>
    <row r="30" spans="1:6" ht="15" customHeight="1" x14ac:dyDescent="0.2">
      <c r="A30" s="102"/>
      <c r="B30" s="102"/>
      <c r="C30" s="102"/>
      <c r="D30" s="102"/>
      <c r="E30" s="102"/>
      <c r="F30" s="102"/>
    </row>
    <row r="31" spans="1:6" ht="15" customHeight="1" x14ac:dyDescent="0.2">
      <c r="A31" s="305" t="s">
        <v>314</v>
      </c>
      <c r="B31" s="306" t="str">
        <f>CONCATENATE("Adjustments are required only if the transfer is being made in ",D7," and/or ",E7," from a non-budgeted fund.")</f>
        <v>Adjustments are required only if the transfer is being made in 2024 and/or 2025 from a non-budgeted fund.</v>
      </c>
      <c r="C31" s="102"/>
      <c r="D31" s="102"/>
      <c r="E31" s="102"/>
      <c r="F31" s="102"/>
    </row>
    <row r="32" spans="1:6" ht="15" customHeight="1" x14ac:dyDescent="0.2"/>
  </sheetData>
  <sheetProtection sheet="1" objects="1" scenarios="1"/>
  <mergeCells count="1">
    <mergeCell ref="A3:F3"/>
  </mergeCells>
  <phoneticPr fontId="8" type="noConversion"/>
  <pageMargins left="0.75" right="0.75" top="1" bottom="1" header="0.5" footer="0.5"/>
  <pageSetup orientation="landscape" blackAndWhite="1" r:id="rId1"/>
  <headerFooter alignWithMargins="0">
    <oddHeader>&amp;RState of Kansas
City</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68"/>
  <sheetViews>
    <sheetView workbookViewId="0">
      <selection activeCell="N115" sqref="N115"/>
    </sheetView>
  </sheetViews>
  <sheetFormatPr defaultColWidth="8.88671875" defaultRowHeight="15" x14ac:dyDescent="0.2"/>
  <cols>
    <col min="1" max="1" width="70.5546875" style="107" customWidth="1"/>
    <col min="2" max="16384" width="8.88671875" style="107"/>
  </cols>
  <sheetData>
    <row r="1" spans="1:1" ht="18.75" x14ac:dyDescent="0.2">
      <c r="A1" s="428" t="s">
        <v>252</v>
      </c>
    </row>
    <row r="2" spans="1:1" ht="18.75" x14ac:dyDescent="0.2">
      <c r="A2" s="428"/>
    </row>
    <row r="3" spans="1:1" ht="18.75" x14ac:dyDescent="0.2">
      <c r="A3" s="428"/>
    </row>
    <row r="4" spans="1:1" ht="51.75" customHeight="1" x14ac:dyDescent="0.25">
      <c r="A4" s="429" t="s">
        <v>328</v>
      </c>
    </row>
    <row r="5" spans="1:1" ht="18.75" x14ac:dyDescent="0.2">
      <c r="A5" s="428"/>
    </row>
    <row r="6" spans="1:1" ht="15.75" x14ac:dyDescent="0.2">
      <c r="A6" s="63"/>
    </row>
    <row r="7" spans="1:1" ht="47.25" x14ac:dyDescent="0.2">
      <c r="A7" s="216" t="s">
        <v>253</v>
      </c>
    </row>
    <row r="8" spans="1:1" ht="15.75" x14ac:dyDescent="0.2">
      <c r="A8" s="63"/>
    </row>
    <row r="9" spans="1:1" ht="15.75" x14ac:dyDescent="0.2">
      <c r="A9" s="63"/>
    </row>
    <row r="10" spans="1:1" ht="63" x14ac:dyDescent="0.2">
      <c r="A10" s="216" t="s">
        <v>254</v>
      </c>
    </row>
    <row r="11" spans="1:1" ht="15.75" x14ac:dyDescent="0.2">
      <c r="A11" s="430"/>
    </row>
    <row r="12" spans="1:1" ht="15.75" x14ac:dyDescent="0.2">
      <c r="A12" s="63"/>
    </row>
    <row r="13" spans="1:1" ht="47.25" x14ac:dyDescent="0.2">
      <c r="A13" s="216" t="s">
        <v>255</v>
      </c>
    </row>
    <row r="14" spans="1:1" ht="15.75" x14ac:dyDescent="0.2">
      <c r="A14" s="430"/>
    </row>
    <row r="15" spans="1:1" ht="15.75" x14ac:dyDescent="0.2">
      <c r="A15" s="63"/>
    </row>
    <row r="16" spans="1:1" ht="47.25" x14ac:dyDescent="0.2">
      <c r="A16" s="216" t="s">
        <v>256</v>
      </c>
    </row>
    <row r="17" spans="1:1" ht="15.75" x14ac:dyDescent="0.2">
      <c r="A17" s="430"/>
    </row>
    <row r="18" spans="1:1" ht="15.75" x14ac:dyDescent="0.2">
      <c r="A18" s="430"/>
    </row>
    <row r="19" spans="1:1" ht="47.25" x14ac:dyDescent="0.2">
      <c r="A19" s="216" t="s">
        <v>257</v>
      </c>
    </row>
    <row r="20" spans="1:1" ht="15.75" x14ac:dyDescent="0.2">
      <c r="A20" s="430"/>
    </row>
    <row r="21" spans="1:1" ht="15.75" x14ac:dyDescent="0.2">
      <c r="A21" s="430"/>
    </row>
    <row r="22" spans="1:1" ht="47.25" x14ac:dyDescent="0.2">
      <c r="A22" s="216" t="s">
        <v>258</v>
      </c>
    </row>
    <row r="23" spans="1:1" ht="15.75" x14ac:dyDescent="0.2">
      <c r="A23" s="430"/>
    </row>
    <row r="24" spans="1:1" ht="15.75" x14ac:dyDescent="0.2">
      <c r="A24" s="430"/>
    </row>
    <row r="25" spans="1:1" ht="31.5" x14ac:dyDescent="0.2">
      <c r="A25" s="216" t="s">
        <v>259</v>
      </c>
    </row>
    <row r="26" spans="1:1" ht="15.75" x14ac:dyDescent="0.2">
      <c r="A26" s="63"/>
    </row>
    <row r="27" spans="1:1" ht="15.75" x14ac:dyDescent="0.2">
      <c r="A27" s="63"/>
    </row>
    <row r="28" spans="1:1" ht="60" x14ac:dyDescent="0.2">
      <c r="A28" s="431" t="s">
        <v>260</v>
      </c>
    </row>
    <row r="29" spans="1:1" x14ac:dyDescent="0.2">
      <c r="A29" s="432"/>
    </row>
    <row r="30" spans="1:1" x14ac:dyDescent="0.2">
      <c r="A30" s="432"/>
    </row>
    <row r="31" spans="1:1" ht="47.25" x14ac:dyDescent="0.2">
      <c r="A31" s="216" t="s">
        <v>261</v>
      </c>
    </row>
    <row r="32" spans="1:1" ht="15.75" x14ac:dyDescent="0.2">
      <c r="A32" s="63"/>
    </row>
    <row r="33" spans="1:1" ht="15.75" x14ac:dyDescent="0.2">
      <c r="A33" s="63"/>
    </row>
    <row r="34" spans="1:1" ht="66.75" customHeight="1" x14ac:dyDescent="0.25">
      <c r="A34" s="433" t="s">
        <v>329</v>
      </c>
    </row>
    <row r="35" spans="1:1" ht="15.75" x14ac:dyDescent="0.2">
      <c r="A35" s="63"/>
    </row>
    <row r="36" spans="1:1" ht="15.75" x14ac:dyDescent="0.2">
      <c r="A36" s="63"/>
    </row>
    <row r="37" spans="1:1" ht="63" x14ac:dyDescent="0.2">
      <c r="A37" s="434" t="s">
        <v>262</v>
      </c>
    </row>
    <row r="38" spans="1:1" ht="15.75" x14ac:dyDescent="0.2">
      <c r="A38" s="430"/>
    </row>
    <row r="39" spans="1:1" ht="15.75" x14ac:dyDescent="0.2">
      <c r="A39" s="63"/>
    </row>
    <row r="40" spans="1:1" ht="63" x14ac:dyDescent="0.2">
      <c r="A40" s="216" t="s">
        <v>263</v>
      </c>
    </row>
    <row r="41" spans="1:1" ht="15.75" x14ac:dyDescent="0.2">
      <c r="A41" s="430"/>
    </row>
    <row r="42" spans="1:1" ht="15.75" x14ac:dyDescent="0.2">
      <c r="A42" s="430"/>
    </row>
    <row r="43" spans="1:1" ht="82.5" customHeight="1" x14ac:dyDescent="0.25">
      <c r="A43" s="435" t="s">
        <v>330</v>
      </c>
    </row>
    <row r="44" spans="1:1" ht="15.75" x14ac:dyDescent="0.2">
      <c r="A44" s="430"/>
    </row>
    <row r="45" spans="1:1" ht="15.75" x14ac:dyDescent="0.2">
      <c r="A45" s="430"/>
    </row>
    <row r="46" spans="1:1" ht="69" customHeight="1" x14ac:dyDescent="0.25">
      <c r="A46" s="435" t="s">
        <v>331</v>
      </c>
    </row>
    <row r="47" spans="1:1" ht="15.75" x14ac:dyDescent="0.2">
      <c r="A47" s="430"/>
    </row>
    <row r="48" spans="1:1" ht="15.75" x14ac:dyDescent="0.2">
      <c r="A48" s="430"/>
    </row>
    <row r="49" spans="1:1" ht="69" customHeight="1" x14ac:dyDescent="0.25">
      <c r="A49" s="435" t="s">
        <v>332</v>
      </c>
    </row>
    <row r="50" spans="1:1" ht="15.75" x14ac:dyDescent="0.2">
      <c r="A50" s="430"/>
    </row>
    <row r="51" spans="1:1" ht="15.75" x14ac:dyDescent="0.2">
      <c r="A51" s="430"/>
    </row>
    <row r="52" spans="1:1" ht="54.75" customHeight="1" x14ac:dyDescent="0.25">
      <c r="A52" s="435" t="s">
        <v>421</v>
      </c>
    </row>
    <row r="53" spans="1:1" ht="15.75" x14ac:dyDescent="0.2">
      <c r="A53" s="430"/>
    </row>
    <row r="54" spans="1:1" ht="15.75" x14ac:dyDescent="0.2">
      <c r="A54" s="430"/>
    </row>
    <row r="55" spans="1:1" ht="63" x14ac:dyDescent="0.2">
      <c r="A55" s="216" t="s">
        <v>264</v>
      </c>
    </row>
    <row r="56" spans="1:1" ht="15.75" x14ac:dyDescent="0.2">
      <c r="A56" s="430"/>
    </row>
    <row r="57" spans="1:1" ht="15.75" x14ac:dyDescent="0.2">
      <c r="A57" s="430"/>
    </row>
    <row r="58" spans="1:1" ht="63" x14ac:dyDescent="0.2">
      <c r="A58" s="216" t="s">
        <v>265</v>
      </c>
    </row>
    <row r="59" spans="1:1" ht="15.75" x14ac:dyDescent="0.2">
      <c r="A59" s="430"/>
    </row>
    <row r="60" spans="1:1" ht="15.75" x14ac:dyDescent="0.2">
      <c r="A60" s="430"/>
    </row>
    <row r="61" spans="1:1" ht="47.25" x14ac:dyDescent="0.2">
      <c r="A61" s="216" t="s">
        <v>266</v>
      </c>
    </row>
    <row r="62" spans="1:1" ht="15.75" x14ac:dyDescent="0.2">
      <c r="A62" s="430"/>
    </row>
    <row r="63" spans="1:1" ht="15.75" x14ac:dyDescent="0.2">
      <c r="A63" s="430"/>
    </row>
    <row r="64" spans="1:1" ht="47.25" x14ac:dyDescent="0.2">
      <c r="A64" s="216" t="s">
        <v>267</v>
      </c>
    </row>
    <row r="65" spans="1:1" ht="15.75" x14ac:dyDescent="0.2">
      <c r="A65" s="430"/>
    </row>
    <row r="66" spans="1:1" ht="15.75" x14ac:dyDescent="0.2">
      <c r="A66" s="430"/>
    </row>
    <row r="67" spans="1:1" ht="78.75" x14ac:dyDescent="0.2">
      <c r="A67" s="216" t="s">
        <v>268</v>
      </c>
    </row>
    <row r="68" spans="1:1" x14ac:dyDescent="0.2">
      <c r="A68" s="436"/>
    </row>
  </sheetData>
  <sheetProtection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AE7A0C-98B9-4FEC-9DAF-6AB52E23E5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D0696C-E3B6-4204-8A04-5AD5A4B5CFF0}">
  <ds:schemaRefs>
    <ds:schemaRef ds:uri="http://purl.org/dc/elements/1.1/"/>
    <ds:schemaRef ds:uri="http://www.w3.org/XML/1998/namespace"/>
    <ds:schemaRef ds:uri="http://schemas.microsoft.com/office/2006/documentManagement/types"/>
    <ds:schemaRef ds:uri="http://schemas.microsoft.com/office/infopath/2007/PartnerControls"/>
    <ds:schemaRef ds:uri="http://purl.org/dc/dcmitype/"/>
    <ds:schemaRef ds:uri="http://purl.org/dc/terms/"/>
    <ds:schemaRef ds:uri="http://schemas.microsoft.com/office/2006/metadata/properties"/>
    <ds:schemaRef ds:uri="http://schemas.openxmlformats.org/package/2006/metadata/core-properties"/>
    <ds:schemaRef ds:uri="a9343af4-2466-41a9-9238-9dddcc3e6066"/>
    <ds:schemaRef ds:uri="7e2d0d8f-ac74-4d4c-8884-aff3748a733a"/>
    <ds:schemaRef ds:uri="1895758b-fcac-4748-aa0a-5720d2d7d486"/>
  </ds:schemaRefs>
</ds:datastoreItem>
</file>

<file path=customXml/itemProps3.xml><?xml version="1.0" encoding="utf-8"?>
<ds:datastoreItem xmlns:ds="http://schemas.openxmlformats.org/officeDocument/2006/customXml" ds:itemID="{043DFC99-AA97-449C-AB3C-C51DA702EF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13</vt:i4>
      </vt:variant>
    </vt:vector>
  </HeadingPairs>
  <TitlesOfParts>
    <vt:vector size="64" baseType="lpstr">
      <vt:lpstr>Instructions</vt:lpstr>
      <vt:lpstr>inputPrYr</vt:lpstr>
      <vt:lpstr>inputOth</vt:lpstr>
      <vt:lpstr>inputHearing</vt:lpstr>
      <vt:lpstr>CPA Summary</vt:lpstr>
      <vt:lpstr>Cert</vt:lpstr>
      <vt:lpstr>Mvalloc</vt:lpstr>
      <vt:lpstr>Transfers</vt:lpstr>
      <vt:lpstr>Transfer Statutes</vt:lpstr>
      <vt:lpstr>Debt</vt:lpstr>
      <vt:lpstr>LP Form</vt:lpstr>
      <vt:lpstr>Library Grant </vt:lpstr>
      <vt:lpstr>General</vt:lpstr>
      <vt:lpstr>General Detail</vt:lpstr>
      <vt:lpstr>DebtSvs Library</vt:lpstr>
      <vt:lpstr>Levy Page 9</vt:lpstr>
      <vt:lpstr>Levy Page 10</vt:lpstr>
      <vt:lpstr>Levy Page 11</vt:lpstr>
      <vt:lpstr>Levy Page 12</vt:lpstr>
      <vt:lpstr>Levy Page 13</vt:lpstr>
      <vt:lpstr>Spec Hwy</vt:lpstr>
      <vt:lpstr>No Levy Page 15</vt:lpstr>
      <vt:lpstr>No Levy Page 16</vt:lpstr>
      <vt:lpstr>No Levy Page 17</vt:lpstr>
      <vt:lpstr>No Levy Page 18</vt:lpstr>
      <vt:lpstr>No Levy Page 19</vt:lpstr>
      <vt:lpstr>No Levy Page 20</vt:lpstr>
      <vt:lpstr>No Levy Page 21</vt:lpstr>
      <vt:lpstr>Single No Levy Page 22</vt:lpstr>
      <vt:lpstr>Single No Levy Page 23</vt:lpstr>
      <vt:lpstr>Single No Levy Page 24</vt:lpstr>
      <vt:lpstr>Single No Levy Page 25</vt:lpstr>
      <vt:lpstr>Non-Budgeted Funds A</vt:lpstr>
      <vt:lpstr>Non-Budgeted Funds B</vt:lpstr>
      <vt:lpstr>Non-Budgeted Funds C</vt:lpstr>
      <vt:lpstr>Non-Budgeted Funds D</vt:lpstr>
      <vt:lpstr>Non-Bud Fund Statutes</vt:lpstr>
      <vt:lpstr>Budget Hearing Notice</vt:lpstr>
      <vt:lpstr>Combined Rate-Bud Hearing Notic</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'Budget Hearing Notice'!Print_Area</vt:lpstr>
      <vt:lpstr>'Combined Rate-Bud Hearing Notic'!Print_Area</vt:lpstr>
      <vt:lpstr>'DebtSvs Library'!Print_Area</vt:lpstr>
      <vt:lpstr>General!Print_Area</vt:lpstr>
      <vt:lpstr>'General Detail'!Print_Area</vt:lpstr>
      <vt:lpstr>inputPrYr!Print_Area</vt:lpstr>
      <vt:lpstr>'Levy Page 10'!Print_Area</vt:lpstr>
      <vt:lpstr>'Levy Page 11'!Print_Area</vt:lpstr>
      <vt:lpstr>'Levy Page 12'!Print_Area</vt:lpstr>
      <vt:lpstr>'Levy Page 13'!Print_Area</vt:lpstr>
      <vt:lpstr>'Levy Page 9'!Print_Area</vt:lpstr>
      <vt:lpstr>'Library Grant '!Print_Area</vt:lpstr>
      <vt:lpstr>'LP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Lindsay A. Olson [DAAR]</cp:lastModifiedBy>
  <cp:lastPrinted>2022-03-21T19:48:46Z</cp:lastPrinted>
  <dcterms:created xsi:type="dcterms:W3CDTF">1999-08-03T13:11:47Z</dcterms:created>
  <dcterms:modified xsi:type="dcterms:W3CDTF">2024-05-02T14:34:25Z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