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sokansas-my.sharepoint.com/personal/lindsay_a_olson_doa_ks_gov/Documents/Desktop/2025 Workbooks/"/>
    </mc:Choice>
  </mc:AlternateContent>
  <xr:revisionPtr revIDLastSave="93" documentId="8_{96C1E1FA-E76A-4F09-9151-4ED7832BBB64}" xr6:coauthVersionLast="47" xr6:coauthVersionMax="47" xr10:uidLastSave="{63354E3D-DD39-445E-9F5E-DD810755EDC2}"/>
  <bookViews>
    <workbookView xWindow="5760" yWindow="2400" windowWidth="15555" windowHeight="12825" tabRatio="909" firstSheet="44" activeTab="51" xr2:uid="{00000000-000D-0000-FFFF-FFFF00000000}"/>
  </bookViews>
  <sheets>
    <sheet name="Instructions" sheetId="1" r:id="rId1"/>
    <sheet name="inputPrYr" sheetId="2" r:id="rId2"/>
    <sheet name="inputOth" sheetId="43" r:id="rId3"/>
    <sheet name="inputHearing" sheetId="52" r:id="rId4"/>
    <sheet name="CPA Summary" sheetId="63" r:id="rId5"/>
    <sheet name="Cert" sheetId="3" r:id="rId6"/>
    <sheet name="Mvalloc" sheetId="5" r:id="rId7"/>
    <sheet name="Transfers" sheetId="32" r:id="rId8"/>
    <sheet name="Transfer Statutes" sheetId="45" r:id="rId9"/>
    <sheet name="Debt" sheetId="22" r:id="rId10"/>
    <sheet name="LP Form" sheetId="23" r:id="rId11"/>
    <sheet name="Library Grant" sheetId="58" r:id="rId12"/>
    <sheet name="General" sheetId="7" r:id="rId13"/>
    <sheet name="General Detail" sheetId="9" r:id="rId14"/>
    <sheet name="Debt Service" sheetId="57" r:id="rId15"/>
    <sheet name="Library-Rec" sheetId="34" r:id="rId16"/>
    <sheet name="Levy Page 9" sheetId="8" r:id="rId17"/>
    <sheet name="Levy Page 10" sheetId="10" r:id="rId18"/>
    <sheet name="Levy Page 11" sheetId="11" r:id="rId19"/>
    <sheet name="Levy Page 12" sheetId="12" r:id="rId20"/>
    <sheet name="Levy Page 13" sheetId="13" r:id="rId21"/>
    <sheet name="Spec Hwy" sheetId="14" r:id="rId22"/>
    <sheet name="No Levy Page 15" sheetId="15" r:id="rId23"/>
    <sheet name="No Levy Page 16" sheetId="16" r:id="rId24"/>
    <sheet name="No Levy Page 17" sheetId="17" r:id="rId25"/>
    <sheet name="No Levy Page 18" sheetId="18" r:id="rId26"/>
    <sheet name="No Levy Page 19" sheetId="19" r:id="rId27"/>
    <sheet name="No Levy Page 20" sheetId="53" r:id="rId28"/>
    <sheet name="No Levy Page 21" sheetId="54" r:id="rId29"/>
    <sheet name="Single No Levy Page 22" sheetId="35" r:id="rId30"/>
    <sheet name="Single No Levy Page 23" sheetId="36" r:id="rId31"/>
    <sheet name="Single No Levy Page 24" sheetId="37" r:id="rId32"/>
    <sheet name="Single No Levy Page 25" sheetId="38" r:id="rId33"/>
    <sheet name="Non-Budgeted Funds A" sheetId="39" r:id="rId34"/>
    <sheet name="Non-Budgeted Funds B" sheetId="40" r:id="rId35"/>
    <sheet name="Non-Budgeted Funds C" sheetId="41" r:id="rId36"/>
    <sheet name="Non-Budgeted Funds D" sheetId="42" r:id="rId37"/>
    <sheet name="Non-Bud Fund Statutes" sheetId="46" r:id="rId38"/>
    <sheet name="Budget Hearing Notice" sheetId="21" r:id="rId39"/>
    <sheet name="Combined Rate-Bud Hearing Notic" sheetId="64" r:id="rId40"/>
    <sheet name="RNR Hearing Notice" sheetId="65" r:id="rId41"/>
    <sheet name="NR Rebate" sheetId="44" r:id="rId42"/>
    <sheet name="SAMPLE Notice to County Clerk" sheetId="66" r:id="rId43"/>
    <sheet name="SAMPLE Roll Call to Exceed RNR" sheetId="68" r:id="rId44"/>
    <sheet name="SAMPLE Resolution to Exceed RNR" sheetId="67" r:id="rId45"/>
    <sheet name="Tab A" sheetId="69" r:id="rId46"/>
    <sheet name="Tab B" sheetId="70" r:id="rId47"/>
    <sheet name="Tab C" sheetId="71" r:id="rId48"/>
    <sheet name="Tab D" sheetId="72" r:id="rId49"/>
    <sheet name="Tab E" sheetId="73" r:id="rId50"/>
    <sheet name="Budget Tools" sheetId="74" r:id="rId51"/>
    <sheet name="Legend" sheetId="75" r:id="rId52"/>
  </sheets>
  <definedNames>
    <definedName name="_xlnm.Print_Area" localSheetId="38">'Budget Hearing Notice'!$A$1:$H$75</definedName>
    <definedName name="_xlnm.Print_Area" localSheetId="5">Cert!$A$1:$G$84</definedName>
    <definedName name="_xlnm.Print_Area" localSheetId="39">'Combined Rate-Bud Hearing Notic'!$A$1:$H$75</definedName>
    <definedName name="_xlnm.Print_Area" localSheetId="14">'Debt Service'!$B$1:$E$66</definedName>
    <definedName name="_xlnm.Print_Area" localSheetId="12">General!$B$1:$E$121</definedName>
    <definedName name="_xlnm.Print_Area" localSheetId="1">inputPrYr!$A$1:$E$129</definedName>
    <definedName name="_xlnm.Print_Area" localSheetId="17">'Levy Page 10'!$B$1:$E$86</definedName>
    <definedName name="_xlnm.Print_Area" localSheetId="18">'Levy Page 11'!$A$1:$E$81</definedName>
    <definedName name="_xlnm.Print_Area" localSheetId="19">'Levy Page 12'!$A$1:$E$82</definedName>
    <definedName name="_xlnm.Print_Area" localSheetId="20">'Levy Page 13'!$A$1:$E$86</definedName>
    <definedName name="_xlnm.Print_Area" localSheetId="16">'Levy Page 9'!$A$1:$E$81</definedName>
    <definedName name="_xlnm.Print_Area" localSheetId="11">'Library Grant'!$A$1:$J$40</definedName>
    <definedName name="_xlnm.Print_Area" localSheetId="15">'Library-Rec'!$B$1:$E$86</definedName>
    <definedName name="_xlnm.Print_Area" localSheetId="10">'LP Form'!$B$1:$I$38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6" i="3" l="1"/>
  <c r="B105" i="7" l="1"/>
  <c r="B50" i="57"/>
  <c r="B67" i="8"/>
  <c r="B28" i="8"/>
  <c r="B29" i="10"/>
  <c r="B70" i="10"/>
  <c r="B29" i="11"/>
  <c r="B67" i="11"/>
  <c r="B29" i="12"/>
  <c r="B68" i="12"/>
  <c r="B30" i="13"/>
  <c r="B69" i="13"/>
  <c r="B23" i="14"/>
  <c r="B54" i="14"/>
  <c r="B23" i="15"/>
  <c r="B53" i="15"/>
  <c r="B23" i="16"/>
  <c r="B54" i="16"/>
  <c r="B23" i="17"/>
  <c r="B54" i="17"/>
  <c r="B25" i="18"/>
  <c r="B55" i="18"/>
  <c r="B25" i="19"/>
  <c r="B55" i="19"/>
  <c r="B25" i="53"/>
  <c r="B55" i="53"/>
  <c r="B25" i="54"/>
  <c r="B55" i="54"/>
  <c r="B41" i="35"/>
  <c r="B37" i="36"/>
  <c r="B41" i="37"/>
  <c r="B41" i="38"/>
  <c r="A7" i="73" l="1"/>
  <c r="A6" i="73"/>
  <c r="A35" i="72"/>
  <c r="A31" i="72"/>
  <c r="A5" i="72"/>
  <c r="A30" i="71"/>
  <c r="A26" i="71"/>
  <c r="A15" i="71"/>
  <c r="A7" i="71"/>
  <c r="A6" i="71"/>
  <c r="A29" i="70"/>
  <c r="A28" i="70"/>
  <c r="A5" i="70"/>
  <c r="A59" i="69"/>
  <c r="A58" i="69"/>
  <c r="A56" i="69"/>
  <c r="A27" i="69"/>
  <c r="A23" i="69"/>
  <c r="A20" i="69"/>
  <c r="A14" i="69"/>
  <c r="A6" i="69"/>
  <c r="A5" i="69"/>
  <c r="D38" i="3"/>
  <c r="D37" i="3"/>
  <c r="D36" i="3"/>
  <c r="D35" i="3"/>
  <c r="D34" i="3"/>
  <c r="F57" i="3" l="1"/>
  <c r="F20" i="3"/>
  <c r="F21" i="3"/>
  <c r="F22" i="3"/>
  <c r="F23" i="3"/>
  <c r="F24" i="3"/>
  <c r="F25" i="3"/>
  <c r="F26" i="3"/>
  <c r="F27" i="3"/>
  <c r="F28" i="3"/>
  <c r="F29" i="3"/>
  <c r="F30" i="3"/>
  <c r="F31" i="3"/>
  <c r="F19" i="3"/>
  <c r="F56" i="3" l="1"/>
  <c r="F58" i="3" s="1"/>
  <c r="H1" i="65"/>
  <c r="C38" i="3" l="1"/>
  <c r="C37" i="3"/>
  <c r="C36" i="3"/>
  <c r="C35" i="3"/>
  <c r="A36" i="3"/>
  <c r="A37" i="3"/>
  <c r="A38" i="3"/>
  <c r="A35" i="3"/>
  <c r="F65" i="3"/>
  <c r="C61" i="3"/>
  <c r="C60" i="3"/>
  <c r="C59" i="3"/>
  <c r="A10" i="65"/>
  <c r="A6" i="65"/>
  <c r="A5" i="65"/>
  <c r="A73" i="64"/>
  <c r="A72" i="64"/>
  <c r="A7" i="64"/>
  <c r="A5" i="64"/>
  <c r="D67" i="64"/>
  <c r="B67" i="64"/>
  <c r="D66" i="64"/>
  <c r="B66" i="64"/>
  <c r="D65" i="64"/>
  <c r="B65" i="64"/>
  <c r="D64" i="64"/>
  <c r="D68" i="64" s="1"/>
  <c r="B64" i="64"/>
  <c r="B68" i="64" s="1"/>
  <c r="F60" i="64"/>
  <c r="M43" i="64" s="1"/>
  <c r="D60" i="64"/>
  <c r="B60" i="64"/>
  <c r="B58" i="64"/>
  <c r="E54" i="64"/>
  <c r="C54" i="64"/>
  <c r="A54" i="64"/>
  <c r="H53" i="64"/>
  <c r="A51" i="64"/>
  <c r="A50" i="64"/>
  <c r="A49" i="64"/>
  <c r="A48" i="64"/>
  <c r="A47" i="64"/>
  <c r="A46" i="64"/>
  <c r="A45" i="64"/>
  <c r="A44" i="64"/>
  <c r="A43" i="64"/>
  <c r="A42" i="64"/>
  <c r="A41" i="64"/>
  <c r="A40" i="64"/>
  <c r="A39" i="64"/>
  <c r="A38" i="64"/>
  <c r="A37" i="64"/>
  <c r="A36" i="64"/>
  <c r="A35" i="64"/>
  <c r="A34" i="64"/>
  <c r="A33" i="64"/>
  <c r="A32" i="64"/>
  <c r="A31" i="64"/>
  <c r="A30" i="64"/>
  <c r="A29" i="64"/>
  <c r="A28" i="64"/>
  <c r="E27" i="64"/>
  <c r="C27" i="64"/>
  <c r="A27" i="64"/>
  <c r="E26" i="64"/>
  <c r="C26" i="64"/>
  <c r="A26" i="64"/>
  <c r="E25" i="64"/>
  <c r="C25" i="64"/>
  <c r="A25" i="64"/>
  <c r="E24" i="64"/>
  <c r="C24" i="64"/>
  <c r="A24" i="64"/>
  <c r="E23" i="64"/>
  <c r="C23" i="64"/>
  <c r="A23" i="64"/>
  <c r="E22" i="64"/>
  <c r="C22" i="64"/>
  <c r="A22" i="64"/>
  <c r="E21" i="64"/>
  <c r="C21" i="64"/>
  <c r="A21" i="64"/>
  <c r="E20" i="64"/>
  <c r="C20" i="64"/>
  <c r="A20" i="64"/>
  <c r="E19" i="64"/>
  <c r="C19" i="64"/>
  <c r="A19" i="64"/>
  <c r="E18" i="64"/>
  <c r="C18" i="64"/>
  <c r="A18" i="64"/>
  <c r="E17" i="64"/>
  <c r="C17" i="64"/>
  <c r="A17" i="64"/>
  <c r="E16" i="64"/>
  <c r="C16" i="64"/>
  <c r="A16" i="64"/>
  <c r="E15" i="64"/>
  <c r="C15" i="64"/>
  <c r="A15" i="64"/>
  <c r="A4" i="64"/>
  <c r="H2" i="64"/>
  <c r="J48" i="64" s="1"/>
  <c r="A73" i="21"/>
  <c r="A72" i="21"/>
  <c r="A7" i="21"/>
  <c r="A5" i="21"/>
  <c r="C52" i="64" l="1"/>
  <c r="C55" i="64" s="1"/>
  <c r="E52" i="64"/>
  <c r="M47" i="64" s="1"/>
  <c r="M55" i="64" s="1"/>
  <c r="M62" i="64"/>
  <c r="B63" i="64"/>
  <c r="J52" i="64"/>
  <c r="D63" i="64"/>
  <c r="J41" i="64"/>
  <c r="J45" i="64"/>
  <c r="F63" i="64"/>
  <c r="J47" i="64"/>
  <c r="J60" i="64"/>
  <c r="J63" i="64"/>
  <c r="A9" i="64"/>
  <c r="B12" i="64"/>
  <c r="J54" i="64"/>
  <c r="D12" i="64"/>
  <c r="J55" i="64"/>
  <c r="J61" i="64"/>
  <c r="F12" i="64"/>
  <c r="J62" i="64"/>
  <c r="G13" i="64"/>
  <c r="E55" i="64" l="1"/>
  <c r="C58" i="7" l="1"/>
  <c r="B67" i="9" s="1"/>
  <c r="H53" i="21"/>
  <c r="E19" i="44"/>
  <c r="E58" i="34" s="1"/>
  <c r="E18" i="44"/>
  <c r="E57" i="13" s="1"/>
  <c r="E17" i="44"/>
  <c r="E18" i="13" s="1"/>
  <c r="E16" i="44"/>
  <c r="E57" i="12" s="1"/>
  <c r="E15" i="44"/>
  <c r="E18" i="12" s="1"/>
  <c r="E14" i="44"/>
  <c r="E56" i="11" s="1"/>
  <c r="E13" i="44"/>
  <c r="E18" i="11" s="1"/>
  <c r="E12" i="44"/>
  <c r="E58" i="10" s="1"/>
  <c r="E8" i="44"/>
  <c r="E18" i="34" s="1"/>
  <c r="E7" i="44"/>
  <c r="E25" i="57" s="1"/>
  <c r="E6" i="44"/>
  <c r="E52" i="7" s="1"/>
  <c r="H27" i="5"/>
  <c r="G26" i="5"/>
  <c r="D58" i="2"/>
  <c r="J55" i="13"/>
  <c r="J54" i="13"/>
  <c r="J16" i="13"/>
  <c r="J15" i="13"/>
  <c r="J15" i="12"/>
  <c r="J14" i="12"/>
  <c r="J15" i="11"/>
  <c r="J14" i="11"/>
  <c r="J15" i="10"/>
  <c r="J14" i="10"/>
  <c r="J14" i="8"/>
  <c r="J13" i="8"/>
  <c r="J15" i="34"/>
  <c r="J14" i="34"/>
  <c r="C20" i="44"/>
  <c r="D47" i="13"/>
  <c r="D60" i="13"/>
  <c r="D8" i="13"/>
  <c r="D21" i="13" s="1"/>
  <c r="D20" i="13" s="1"/>
  <c r="D46" i="12"/>
  <c r="D60" i="12"/>
  <c r="D59" i="12" s="1"/>
  <c r="D8" i="12"/>
  <c r="D21" i="12" s="1"/>
  <c r="D20" i="12" s="1"/>
  <c r="D46" i="11"/>
  <c r="D59" i="11" s="1"/>
  <c r="D58" i="11" s="1"/>
  <c r="D8" i="11"/>
  <c r="D21" i="11" s="1"/>
  <c r="D20" i="11" s="1"/>
  <c r="D46" i="10"/>
  <c r="D61" i="10" s="1"/>
  <c r="D60" i="10" s="1"/>
  <c r="D8" i="10"/>
  <c r="D21" i="10"/>
  <c r="D20" i="10" s="1"/>
  <c r="D45" i="8"/>
  <c r="D58" i="8"/>
  <c r="D57" i="8" s="1"/>
  <c r="D8" i="8"/>
  <c r="D21" i="8" s="1"/>
  <c r="D20" i="8" s="1"/>
  <c r="G38" i="2"/>
  <c r="D47" i="34"/>
  <c r="D61" i="34" s="1"/>
  <c r="D60" i="34" s="1"/>
  <c r="D8" i="34"/>
  <c r="E15" i="58" s="1"/>
  <c r="D9" i="7"/>
  <c r="D55" i="7" s="1"/>
  <c r="D54" i="7" s="1"/>
  <c r="G35" i="2"/>
  <c r="G34" i="2"/>
  <c r="G33" i="2"/>
  <c r="G32" i="2"/>
  <c r="G31" i="2"/>
  <c r="G30" i="2"/>
  <c r="G29" i="2"/>
  <c r="G28" i="2"/>
  <c r="G27" i="2"/>
  <c r="G26" i="2"/>
  <c r="G24" i="2"/>
  <c r="G23" i="2"/>
  <c r="G22" i="2"/>
  <c r="C47" i="3"/>
  <c r="C46" i="3"/>
  <c r="C45" i="3"/>
  <c r="C44" i="3"/>
  <c r="C43" i="3"/>
  <c r="A47" i="3"/>
  <c r="A46" i="3"/>
  <c r="A45" i="3"/>
  <c r="A44" i="3"/>
  <c r="A43" i="3"/>
  <c r="D30" i="54"/>
  <c r="D60" i="53"/>
  <c r="D30" i="53"/>
  <c r="D60" i="19"/>
  <c r="D61" i="19"/>
  <c r="C60" i="54"/>
  <c r="C30" i="54"/>
  <c r="C60" i="53"/>
  <c r="C30" i="53"/>
  <c r="C31" i="53" s="1"/>
  <c r="C60" i="19"/>
  <c r="B36" i="54"/>
  <c r="B5" i="54"/>
  <c r="B36" i="53"/>
  <c r="B5" i="53"/>
  <c r="B36" i="19"/>
  <c r="D72" i="11"/>
  <c r="D96" i="11"/>
  <c r="C35" i="34"/>
  <c r="D35" i="34"/>
  <c r="D59" i="57"/>
  <c r="E59" i="57" s="1"/>
  <c r="D55" i="57"/>
  <c r="C55" i="57"/>
  <c r="C73" i="57"/>
  <c r="B57" i="57" s="1"/>
  <c r="G16" i="58"/>
  <c r="B5" i="34"/>
  <c r="B19" i="58"/>
  <c r="B18" i="58"/>
  <c r="B17" i="58"/>
  <c r="B16" i="58"/>
  <c r="B15" i="58"/>
  <c r="E17" i="21"/>
  <c r="G30" i="34" s="1"/>
  <c r="C17" i="21"/>
  <c r="G1" i="3"/>
  <c r="A7" i="3" s="1"/>
  <c r="C9" i="5"/>
  <c r="B9" i="5"/>
  <c r="A17" i="3"/>
  <c r="C17" i="3"/>
  <c r="C20" i="3"/>
  <c r="C21" i="3"/>
  <c r="B21" i="3"/>
  <c r="A21" i="3"/>
  <c r="B1" i="57"/>
  <c r="A17" i="21"/>
  <c r="E1" i="57"/>
  <c r="D8" i="44"/>
  <c r="E33" i="34"/>
  <c r="F17" i="64" s="1"/>
  <c r="B8" i="44"/>
  <c r="E19" i="58"/>
  <c r="E18" i="58"/>
  <c r="E17" i="58"/>
  <c r="E16" i="58"/>
  <c r="G14" i="58"/>
  <c r="B76" i="58" s="1"/>
  <c r="E14" i="58"/>
  <c r="B45" i="58" s="1"/>
  <c r="B8" i="58"/>
  <c r="B7" i="58"/>
  <c r="B5" i="58"/>
  <c r="D8" i="57"/>
  <c r="D28" i="57"/>
  <c r="B5" i="57"/>
  <c r="D53" i="57"/>
  <c r="D16" i="64" s="1"/>
  <c r="D16" i="21"/>
  <c r="C53" i="57"/>
  <c r="B16" i="64" s="1"/>
  <c r="C28" i="57"/>
  <c r="C29" i="57" s="1"/>
  <c r="C54" i="57" s="1"/>
  <c r="A28" i="43"/>
  <c r="A68" i="43"/>
  <c r="B89" i="2"/>
  <c r="C74" i="13"/>
  <c r="C99" i="13" s="1"/>
  <c r="B76" i="13" s="1"/>
  <c r="C35" i="13"/>
  <c r="C73" i="12"/>
  <c r="C98" i="12" s="1"/>
  <c r="B75" i="12" s="1"/>
  <c r="C34" i="12"/>
  <c r="C96" i="12" s="1"/>
  <c r="B36" i="12" s="1"/>
  <c r="C72" i="11"/>
  <c r="C96" i="11"/>
  <c r="C34" i="11"/>
  <c r="C75" i="10"/>
  <c r="C100" i="10" s="1"/>
  <c r="C34" i="10"/>
  <c r="C72" i="8"/>
  <c r="C97" i="8" s="1"/>
  <c r="C33" i="8"/>
  <c r="C57" i="3"/>
  <c r="E54" i="21"/>
  <c r="G79" i="34" s="1"/>
  <c r="C54" i="21"/>
  <c r="D73" i="34"/>
  <c r="D54" i="64" s="1"/>
  <c r="D54" i="21"/>
  <c r="C73" i="34"/>
  <c r="B54" i="64" s="1"/>
  <c r="C61" i="34"/>
  <c r="C60" i="34" s="1"/>
  <c r="D33" i="34"/>
  <c r="D17" i="64" s="1"/>
  <c r="C33" i="34"/>
  <c r="B17" i="64" s="1"/>
  <c r="C21" i="34"/>
  <c r="C20" i="34" s="1"/>
  <c r="A54" i="21"/>
  <c r="A57" i="3"/>
  <c r="C75" i="34"/>
  <c r="D75" i="34"/>
  <c r="D19" i="44"/>
  <c r="E73" i="34"/>
  <c r="F54" i="64" s="1"/>
  <c r="B19" i="44"/>
  <c r="C20" i="5"/>
  <c r="B20" i="5"/>
  <c r="B1" i="34"/>
  <c r="E1" i="34"/>
  <c r="D44" i="34" s="1"/>
  <c r="D40" i="43"/>
  <c r="A39" i="43"/>
  <c r="B100" i="2"/>
  <c r="D101" i="2"/>
  <c r="A79" i="43"/>
  <c r="A33" i="2"/>
  <c r="D35" i="13"/>
  <c r="D97" i="13"/>
  <c r="D74" i="13"/>
  <c r="D99" i="13"/>
  <c r="D73" i="12"/>
  <c r="D98" i="12" s="1"/>
  <c r="D34" i="12"/>
  <c r="D96" i="12" s="1"/>
  <c r="D34" i="11"/>
  <c r="D94" i="11"/>
  <c r="D75" i="10"/>
  <c r="D100" i="10" s="1"/>
  <c r="D34" i="10"/>
  <c r="D98" i="10"/>
  <c r="D33" i="8"/>
  <c r="D95" i="8" s="1"/>
  <c r="D72" i="8"/>
  <c r="D97" i="8" s="1"/>
  <c r="C110" i="7"/>
  <c r="D110" i="7"/>
  <c r="D77" i="12"/>
  <c r="E77" i="12"/>
  <c r="D38" i="12"/>
  <c r="E38" i="12"/>
  <c r="D38" i="11"/>
  <c r="E38" i="11" s="1"/>
  <c r="D76" i="11"/>
  <c r="E76" i="11" s="1"/>
  <c r="D79" i="10"/>
  <c r="E79" i="10"/>
  <c r="D38" i="10"/>
  <c r="E38" i="10" s="1"/>
  <c r="D76" i="8"/>
  <c r="E76" i="8" s="1"/>
  <c r="D37" i="8"/>
  <c r="E37" i="8" s="1"/>
  <c r="D39" i="34"/>
  <c r="E39" i="34"/>
  <c r="D79" i="34"/>
  <c r="E79" i="34" s="1"/>
  <c r="D114" i="7"/>
  <c r="E114" i="7" s="1"/>
  <c r="D39" i="13"/>
  <c r="E39" i="13" s="1"/>
  <c r="D78" i="13"/>
  <c r="E78" i="13"/>
  <c r="A42" i="21"/>
  <c r="A41" i="21"/>
  <c r="A40" i="21"/>
  <c r="A39" i="21"/>
  <c r="D60" i="54"/>
  <c r="E58" i="54"/>
  <c r="F43" i="64" s="1"/>
  <c r="D58" i="54"/>
  <c r="D43" i="64" s="1"/>
  <c r="C58" i="54"/>
  <c r="B43" i="64" s="1"/>
  <c r="C57" i="54"/>
  <c r="E46" i="54"/>
  <c r="E45" i="54"/>
  <c r="D46" i="54"/>
  <c r="D45" i="54" s="1"/>
  <c r="C46" i="54"/>
  <c r="C45" i="54" s="1"/>
  <c r="E28" i="54"/>
  <c r="F42" i="64" s="1"/>
  <c r="D28" i="54"/>
  <c r="D42" i="64" s="1"/>
  <c r="D42" i="21"/>
  <c r="C28" i="54"/>
  <c r="B42" i="64" s="1"/>
  <c r="E16" i="54"/>
  <c r="E15" i="54"/>
  <c r="D16" i="54"/>
  <c r="D15" i="54" s="1"/>
  <c r="C16" i="54"/>
  <c r="C17" i="54" s="1"/>
  <c r="C29" i="54" s="1"/>
  <c r="E1" i="54"/>
  <c r="C5" i="54" s="1"/>
  <c r="C36" i="54" s="1"/>
  <c r="B1" i="54"/>
  <c r="E58" i="53"/>
  <c r="F41" i="64" s="1"/>
  <c r="D58" i="53"/>
  <c r="D41" i="64" s="1"/>
  <c r="D57" i="53"/>
  <c r="C58" i="53"/>
  <c r="B41" i="64" s="1"/>
  <c r="E46" i="53"/>
  <c r="E45" i="53" s="1"/>
  <c r="D46" i="53"/>
  <c r="D45" i="53" s="1"/>
  <c r="C46" i="53"/>
  <c r="C45" i="53" s="1"/>
  <c r="E28" i="53"/>
  <c r="F40" i="64" s="1"/>
  <c r="E27" i="53"/>
  <c r="D28" i="53"/>
  <c r="D40" i="64" s="1"/>
  <c r="C28" i="53"/>
  <c r="B40" i="64" s="1"/>
  <c r="E16" i="53"/>
  <c r="E15" i="53" s="1"/>
  <c r="D16" i="53"/>
  <c r="D15" i="53"/>
  <c r="C16" i="53"/>
  <c r="C17" i="53"/>
  <c r="E1" i="53"/>
  <c r="B1" i="53"/>
  <c r="A95" i="43"/>
  <c r="A94" i="43"/>
  <c r="A93" i="43"/>
  <c r="A92" i="43"/>
  <c r="A91" i="43"/>
  <c r="B80" i="7"/>
  <c r="B81" i="7"/>
  <c r="B82" i="7"/>
  <c r="B79" i="7"/>
  <c r="B78" i="7"/>
  <c r="B77" i="7"/>
  <c r="B76" i="7"/>
  <c r="B75" i="7"/>
  <c r="D129" i="9"/>
  <c r="E82" i="7"/>
  <c r="C129" i="9"/>
  <c r="D82" i="7" s="1"/>
  <c r="B129" i="9"/>
  <c r="C82" i="7" s="1"/>
  <c r="D122" i="9"/>
  <c r="E81" i="7" s="1"/>
  <c r="C122" i="9"/>
  <c r="D81" i="7"/>
  <c r="B122" i="9"/>
  <c r="C81" i="7"/>
  <c r="D115" i="9"/>
  <c r="E80" i="7" s="1"/>
  <c r="C115" i="9"/>
  <c r="B115" i="9"/>
  <c r="C80" i="7" s="1"/>
  <c r="D108" i="9"/>
  <c r="E79" i="7"/>
  <c r="C108" i="9"/>
  <c r="D79" i="7" s="1"/>
  <c r="B108" i="9"/>
  <c r="C79" i="7" s="1"/>
  <c r="D101" i="9"/>
  <c r="E78" i="7"/>
  <c r="C101" i="9"/>
  <c r="D78" i="7"/>
  <c r="B101" i="9"/>
  <c r="C78" i="7"/>
  <c r="D95" i="9"/>
  <c r="E77" i="7" s="1"/>
  <c r="C95" i="9"/>
  <c r="D77" i="7" s="1"/>
  <c r="B95" i="9"/>
  <c r="C77" i="7" s="1"/>
  <c r="D88" i="9"/>
  <c r="E76" i="7" s="1"/>
  <c r="C88" i="9"/>
  <c r="D76" i="7"/>
  <c r="B88" i="9"/>
  <c r="B131" i="9" s="1"/>
  <c r="D81" i="9"/>
  <c r="E75" i="7" s="1"/>
  <c r="C81" i="9"/>
  <c r="D75" i="7" s="1"/>
  <c r="B81" i="9"/>
  <c r="C75" i="7" s="1"/>
  <c r="D23" i="44"/>
  <c r="D25" i="44" s="1"/>
  <c r="E32" i="2"/>
  <c r="D58" i="64" s="1"/>
  <c r="A104" i="2"/>
  <c r="A103" i="2"/>
  <c r="D85" i="2"/>
  <c r="C26" i="14"/>
  <c r="B28" i="64" s="1"/>
  <c r="C15" i="14"/>
  <c r="C16" i="14" s="1"/>
  <c r="C27" i="14" s="1"/>
  <c r="D26" i="14"/>
  <c r="D28" i="64" s="1"/>
  <c r="E26" i="14"/>
  <c r="F28" i="64" s="1"/>
  <c r="C28" i="14"/>
  <c r="D28" i="14"/>
  <c r="C57" i="14"/>
  <c r="B29" i="64" s="1"/>
  <c r="D57" i="14"/>
  <c r="D29" i="64" s="1"/>
  <c r="E57" i="14"/>
  <c r="F29" i="64" s="1"/>
  <c r="C59" i="14"/>
  <c r="D59" i="14"/>
  <c r="C26" i="15"/>
  <c r="B30" i="64" s="1"/>
  <c r="D26" i="15"/>
  <c r="D30" i="64" s="1"/>
  <c r="E26" i="15"/>
  <c r="F30" i="64" s="1"/>
  <c r="E28" i="15"/>
  <c r="C28" i="15"/>
  <c r="D28" i="15"/>
  <c r="C56" i="15"/>
  <c r="B31" i="64" s="1"/>
  <c r="D56" i="15"/>
  <c r="D31" i="64" s="1"/>
  <c r="D31" i="21"/>
  <c r="E56" i="15"/>
  <c r="F31" i="64" s="1"/>
  <c r="E58" i="15"/>
  <c r="C58" i="15"/>
  <c r="C59" i="15"/>
  <c r="D58" i="15"/>
  <c r="C26" i="16"/>
  <c r="B32" i="64" s="1"/>
  <c r="D26" i="16"/>
  <c r="D32" i="64" s="1"/>
  <c r="E26" i="16"/>
  <c r="F32" i="64" s="1"/>
  <c r="E25" i="16"/>
  <c r="C28" i="16"/>
  <c r="C29" i="16"/>
  <c r="D28" i="16"/>
  <c r="C57" i="16"/>
  <c r="B33" i="64" s="1"/>
  <c r="D57" i="16"/>
  <c r="D33" i="64" s="1"/>
  <c r="E57" i="16"/>
  <c r="F33" i="64" s="1"/>
  <c r="C59" i="16"/>
  <c r="D59" i="16"/>
  <c r="C26" i="17"/>
  <c r="B34" i="64" s="1"/>
  <c r="D26" i="17"/>
  <c r="D34" i="64" s="1"/>
  <c r="D29" i="17"/>
  <c r="E26" i="17"/>
  <c r="F34" i="64" s="1"/>
  <c r="E28" i="17"/>
  <c r="C28" i="17"/>
  <c r="C29" i="17" s="1"/>
  <c r="D28" i="17"/>
  <c r="C57" i="17"/>
  <c r="B35" i="64" s="1"/>
  <c r="D57" i="17"/>
  <c r="D35" i="64" s="1"/>
  <c r="E57" i="17"/>
  <c r="F35" i="64" s="1"/>
  <c r="C59" i="17"/>
  <c r="D59" i="17"/>
  <c r="C28" i="18"/>
  <c r="B36" i="64" s="1"/>
  <c r="D28" i="18"/>
  <c r="D36" i="64" s="1"/>
  <c r="E28" i="18"/>
  <c r="F36" i="64" s="1"/>
  <c r="D30" i="18"/>
  <c r="C30" i="18"/>
  <c r="C31" i="18" s="1"/>
  <c r="C58" i="18"/>
  <c r="B37" i="64" s="1"/>
  <c r="B37" i="21"/>
  <c r="D58" i="18"/>
  <c r="D37" i="64" s="1"/>
  <c r="D37" i="21"/>
  <c r="E58" i="18"/>
  <c r="F37" i="64" s="1"/>
  <c r="E60" i="18"/>
  <c r="C60" i="18"/>
  <c r="D60" i="18"/>
  <c r="C28" i="19"/>
  <c r="B38" i="64" s="1"/>
  <c r="D28" i="19"/>
  <c r="D38" i="64" s="1"/>
  <c r="E28" i="19"/>
  <c r="F38" i="64" s="1"/>
  <c r="D42" i="3"/>
  <c r="D30" i="19"/>
  <c r="C30" i="19"/>
  <c r="C58" i="19"/>
  <c r="B39" i="64" s="1"/>
  <c r="D58" i="19"/>
  <c r="D39" i="64" s="1"/>
  <c r="E58" i="19"/>
  <c r="F39" i="64" s="1"/>
  <c r="F39" i="21"/>
  <c r="C44" i="35"/>
  <c r="B44" i="64" s="1"/>
  <c r="B44" i="21"/>
  <c r="D44" i="35"/>
  <c r="D44" i="64" s="1"/>
  <c r="E44" i="35"/>
  <c r="F44" i="64" s="1"/>
  <c r="D46" i="35"/>
  <c r="C46" i="35"/>
  <c r="C40" i="36"/>
  <c r="B45" i="64" s="1"/>
  <c r="D40" i="36"/>
  <c r="D45" i="64" s="1"/>
  <c r="E40" i="36"/>
  <c r="F45" i="64" s="1"/>
  <c r="C42" i="36"/>
  <c r="C43" i="36" s="1"/>
  <c r="D42" i="36"/>
  <c r="C44" i="37"/>
  <c r="B46" i="64" s="1"/>
  <c r="D44" i="37"/>
  <c r="D46" i="64" s="1"/>
  <c r="E44" i="37"/>
  <c r="F46" i="64" s="1"/>
  <c r="D46" i="37"/>
  <c r="D47" i="37"/>
  <c r="C46" i="37"/>
  <c r="C47" i="37"/>
  <c r="C44" i="38"/>
  <c r="B47" i="64" s="1"/>
  <c r="C43" i="38"/>
  <c r="D44" i="38"/>
  <c r="D47" i="64" s="1"/>
  <c r="E44" i="38"/>
  <c r="F47" i="64" s="1"/>
  <c r="D46" i="38"/>
  <c r="D47" i="38" s="1"/>
  <c r="C46" i="38"/>
  <c r="C47" i="38" s="1"/>
  <c r="D63" i="9"/>
  <c r="E74" i="7"/>
  <c r="D56" i="9"/>
  <c r="E73" i="7"/>
  <c r="D49" i="9"/>
  <c r="E72" i="7" s="1"/>
  <c r="D42" i="9"/>
  <c r="E71" i="7" s="1"/>
  <c r="D35" i="9"/>
  <c r="E70" i="7" s="1"/>
  <c r="D29" i="9"/>
  <c r="E69" i="7"/>
  <c r="C63" i="9"/>
  <c r="D74" i="7" s="1"/>
  <c r="C56" i="9"/>
  <c r="D73" i="7" s="1"/>
  <c r="C49" i="9"/>
  <c r="C42" i="9"/>
  <c r="D71" i="7" s="1"/>
  <c r="C35" i="9"/>
  <c r="D70" i="7" s="1"/>
  <c r="C29" i="9"/>
  <c r="D69" i="7" s="1"/>
  <c r="D22" i="9"/>
  <c r="E68" i="7"/>
  <c r="C15" i="9"/>
  <c r="C22" i="9"/>
  <c r="D68" i="7" s="1"/>
  <c r="B63" i="9"/>
  <c r="C74" i="7"/>
  <c r="B56" i="9"/>
  <c r="C73" i="7" s="1"/>
  <c r="B49" i="9"/>
  <c r="C72" i="7" s="1"/>
  <c r="B42" i="9"/>
  <c r="C71" i="7"/>
  <c r="B35" i="9"/>
  <c r="C70" i="7"/>
  <c r="B29" i="9"/>
  <c r="C69" i="7"/>
  <c r="B22" i="9"/>
  <c r="C68" i="7" s="1"/>
  <c r="D15" i="9"/>
  <c r="D65" i="9" s="1"/>
  <c r="D132" i="9" s="1"/>
  <c r="B15" i="9"/>
  <c r="B73" i="7"/>
  <c r="B74" i="7"/>
  <c r="B72" i="7"/>
  <c r="B71" i="7"/>
  <c r="B70" i="7"/>
  <c r="B69" i="7"/>
  <c r="B68" i="7"/>
  <c r="B67" i="7"/>
  <c r="D32" i="11"/>
  <c r="D22" i="64" s="1"/>
  <c r="D22" i="21"/>
  <c r="D32" i="10"/>
  <c r="D20" i="64" s="1"/>
  <c r="D31" i="10"/>
  <c r="D73" i="10"/>
  <c r="D21" i="64" s="1"/>
  <c r="D31" i="8"/>
  <c r="D70" i="8"/>
  <c r="C7" i="5"/>
  <c r="D20" i="5"/>
  <c r="E49" i="34"/>
  <c r="C8" i="5"/>
  <c r="C21" i="5" s="1"/>
  <c r="C10" i="5"/>
  <c r="C11" i="5"/>
  <c r="C12" i="5"/>
  <c r="C13" i="5"/>
  <c r="C14" i="5"/>
  <c r="C15" i="5"/>
  <c r="C16" i="5"/>
  <c r="C17" i="5"/>
  <c r="C18" i="5"/>
  <c r="C19" i="5"/>
  <c r="C72" i="13"/>
  <c r="B27" i="64" s="1"/>
  <c r="G64" i="13"/>
  <c r="C60" i="13"/>
  <c r="C59" i="13" s="1"/>
  <c r="D72" i="13"/>
  <c r="D27" i="64" s="1"/>
  <c r="C33" i="13"/>
  <c r="B26" i="64" s="1"/>
  <c r="C21" i="13"/>
  <c r="C22" i="13"/>
  <c r="C34" i="13"/>
  <c r="D6" i="13" s="1"/>
  <c r="D22" i="13" s="1"/>
  <c r="D34" i="13" s="1"/>
  <c r="D33" i="13"/>
  <c r="D26" i="64" s="1"/>
  <c r="D32" i="13"/>
  <c r="C71" i="12"/>
  <c r="B25" i="64" s="1"/>
  <c r="C70" i="12"/>
  <c r="C60" i="12"/>
  <c r="C61" i="12" s="1"/>
  <c r="C72" i="12" s="1"/>
  <c r="D71" i="12"/>
  <c r="D25" i="64" s="1"/>
  <c r="D25" i="21"/>
  <c r="C32" i="12"/>
  <c r="B24" i="64" s="1"/>
  <c r="G24" i="12"/>
  <c r="C21" i="12"/>
  <c r="C20" i="12" s="1"/>
  <c r="D32" i="12"/>
  <c r="D24" i="64" s="1"/>
  <c r="C70" i="11"/>
  <c r="B23" i="64" s="1"/>
  <c r="C59" i="11"/>
  <c r="C58" i="11"/>
  <c r="D70" i="11"/>
  <c r="D23" i="64" s="1"/>
  <c r="C32" i="11"/>
  <c r="B22" i="64" s="1"/>
  <c r="C21" i="11"/>
  <c r="C20" i="11" s="1"/>
  <c r="C73" i="10"/>
  <c r="B21" i="64" s="1"/>
  <c r="C61" i="10"/>
  <c r="C60" i="10" s="1"/>
  <c r="C32" i="10"/>
  <c r="B20" i="64" s="1"/>
  <c r="B20" i="21"/>
  <c r="C21" i="10"/>
  <c r="C22" i="10" s="1"/>
  <c r="C33" i="10" s="1"/>
  <c r="C70" i="8"/>
  <c r="C58" i="8"/>
  <c r="C59" i="8" s="1"/>
  <c r="C31" i="8"/>
  <c r="C21" i="8"/>
  <c r="C22" i="8" s="1"/>
  <c r="C32" i="8" s="1"/>
  <c r="C55" i="7"/>
  <c r="C54" i="7" s="1"/>
  <c r="E1" i="13"/>
  <c r="H60" i="13" s="1"/>
  <c r="E1" i="12"/>
  <c r="H59" i="12" s="1"/>
  <c r="G10" i="12"/>
  <c r="E1" i="11"/>
  <c r="G55" i="11" s="1"/>
  <c r="D5" i="11"/>
  <c r="E1" i="10"/>
  <c r="B75" i="10" s="1"/>
  <c r="E1" i="8"/>
  <c r="E1" i="7"/>
  <c r="H99" i="7" s="1"/>
  <c r="E1" i="14"/>
  <c r="E1" i="15"/>
  <c r="B28" i="15" s="1"/>
  <c r="E1" i="16"/>
  <c r="E1" i="17"/>
  <c r="B28" i="17" s="1"/>
  <c r="E1" i="18"/>
  <c r="B30" i="18"/>
  <c r="E1" i="19"/>
  <c r="B60" i="19" s="1"/>
  <c r="D5" i="19"/>
  <c r="D36" i="19" s="1"/>
  <c r="E1" i="37"/>
  <c r="E1" i="38"/>
  <c r="B46" i="38" s="1"/>
  <c r="F1" i="44"/>
  <c r="E5" i="44" s="1"/>
  <c r="E16" i="2"/>
  <c r="G21" i="2"/>
  <c r="D16" i="2"/>
  <c r="A58" i="2"/>
  <c r="J28" i="42"/>
  <c r="J17" i="42"/>
  <c r="J18" i="42" s="1"/>
  <c r="J29" i="42" s="1"/>
  <c r="J30" i="42" s="1"/>
  <c r="H28" i="42"/>
  <c r="H17" i="42"/>
  <c r="H18" i="42" s="1"/>
  <c r="H29" i="42" s="1"/>
  <c r="H30" i="42" s="1"/>
  <c r="F28" i="42"/>
  <c r="F17" i="42"/>
  <c r="F18" i="42"/>
  <c r="F29" i="42" s="1"/>
  <c r="F30" i="42" s="1"/>
  <c r="D28" i="42"/>
  <c r="D17" i="42"/>
  <c r="B28" i="42"/>
  <c r="B29" i="42" s="1"/>
  <c r="B17" i="42"/>
  <c r="B18" i="42"/>
  <c r="J28" i="41"/>
  <c r="J17" i="41"/>
  <c r="J18" i="41" s="1"/>
  <c r="J29" i="41" s="1"/>
  <c r="J30" i="41" s="1"/>
  <c r="H28" i="41"/>
  <c r="H17" i="41"/>
  <c r="H18" i="41" s="1"/>
  <c r="H29" i="41" s="1"/>
  <c r="H30" i="41" s="1"/>
  <c r="F28" i="41"/>
  <c r="F17" i="41"/>
  <c r="F18" i="41"/>
  <c r="D28" i="41"/>
  <c r="D17" i="41"/>
  <c r="B28" i="41"/>
  <c r="K28" i="41" s="1"/>
  <c r="B17" i="41"/>
  <c r="K17" i="41" s="1"/>
  <c r="J28" i="40"/>
  <c r="J17" i="40"/>
  <c r="J18" i="40"/>
  <c r="J29" i="40"/>
  <c r="J30" i="40" s="1"/>
  <c r="H28" i="40"/>
  <c r="H17" i="40"/>
  <c r="H18" i="40"/>
  <c r="H29" i="40" s="1"/>
  <c r="H30" i="40" s="1"/>
  <c r="F17" i="40"/>
  <c r="F18" i="40" s="1"/>
  <c r="F29" i="40" s="1"/>
  <c r="F30" i="40" s="1"/>
  <c r="F28" i="40"/>
  <c r="D17" i="40"/>
  <c r="D18" i="40"/>
  <c r="D28" i="40"/>
  <c r="B17" i="40"/>
  <c r="K17" i="40" s="1"/>
  <c r="B18" i="40"/>
  <c r="B28" i="40"/>
  <c r="K28" i="40" s="1"/>
  <c r="J17" i="39"/>
  <c r="J18" i="39"/>
  <c r="J29" i="39"/>
  <c r="J30" i="39" s="1"/>
  <c r="J28" i="39"/>
  <c r="H17" i="39"/>
  <c r="H18" i="39"/>
  <c r="H29" i="39" s="1"/>
  <c r="H30" i="39" s="1"/>
  <c r="H28" i="39"/>
  <c r="F17" i="39"/>
  <c r="F18" i="39"/>
  <c r="F29" i="39" s="1"/>
  <c r="F30" i="39" s="1"/>
  <c r="F28" i="39"/>
  <c r="D17" i="39"/>
  <c r="D18" i="39"/>
  <c r="D29" i="39"/>
  <c r="D30" i="39" s="1"/>
  <c r="D28" i="39"/>
  <c r="K28" i="39" s="1"/>
  <c r="B28" i="39"/>
  <c r="B17" i="39"/>
  <c r="I5" i="42"/>
  <c r="G5" i="42"/>
  <c r="E5" i="42"/>
  <c r="C5" i="42"/>
  <c r="A5" i="42"/>
  <c r="K1" i="42"/>
  <c r="A2" i="42" s="1"/>
  <c r="K1" i="41"/>
  <c r="A2" i="41" s="1"/>
  <c r="K1" i="40"/>
  <c r="A2" i="40" s="1"/>
  <c r="K1" i="39"/>
  <c r="A2" i="39" s="1"/>
  <c r="H2" i="21"/>
  <c r="E1" i="43"/>
  <c r="C62" i="3"/>
  <c r="E9" i="14"/>
  <c r="E15" i="14" s="1"/>
  <c r="E14" i="14" s="1"/>
  <c r="D9" i="14"/>
  <c r="D15" i="14" s="1"/>
  <c r="D14" i="14" s="1"/>
  <c r="D23" i="5"/>
  <c r="E24" i="5"/>
  <c r="F25" i="5"/>
  <c r="E16" i="7"/>
  <c r="D6" i="44"/>
  <c r="D7" i="44"/>
  <c r="E53" i="57"/>
  <c r="F16" i="64" s="1"/>
  <c r="D9" i="44"/>
  <c r="E9" i="44"/>
  <c r="E18" i="8" s="1"/>
  <c r="D10" i="44"/>
  <c r="E10" i="44"/>
  <c r="E55" i="8" s="1"/>
  <c r="E70" i="8"/>
  <c r="F19" i="64" s="1"/>
  <c r="D11" i="44"/>
  <c r="E11" i="44"/>
  <c r="E18" i="10" s="1"/>
  <c r="D12" i="44"/>
  <c r="D13" i="44"/>
  <c r="E32" i="11"/>
  <c r="F22" i="64" s="1"/>
  <c r="D14" i="44"/>
  <c r="E70" i="11"/>
  <c r="F23" i="64" s="1"/>
  <c r="D15" i="44"/>
  <c r="E32" i="12"/>
  <c r="F24" i="64" s="1"/>
  <c r="D16" i="44"/>
  <c r="E71" i="12"/>
  <c r="F25" i="64" s="1"/>
  <c r="D18" i="44"/>
  <c r="E72" i="13"/>
  <c r="F27" i="64" s="1"/>
  <c r="D17" i="44"/>
  <c r="E33" i="13"/>
  <c r="F26" i="64" s="1"/>
  <c r="A1" i="44"/>
  <c r="B18" i="44"/>
  <c r="B17" i="44"/>
  <c r="B16" i="44"/>
  <c r="B15" i="44"/>
  <c r="B14" i="44"/>
  <c r="B13" i="44"/>
  <c r="B12" i="44"/>
  <c r="B11" i="44"/>
  <c r="B10" i="44"/>
  <c r="B9" i="44"/>
  <c r="B7" i="44"/>
  <c r="B6" i="44"/>
  <c r="E16" i="18"/>
  <c r="E15" i="18" s="1"/>
  <c r="D16" i="18"/>
  <c r="D15" i="18" s="1"/>
  <c r="C16" i="18"/>
  <c r="C15" i="18" s="1"/>
  <c r="E44" i="14"/>
  <c r="E43" i="14" s="1"/>
  <c r="D44" i="14"/>
  <c r="C44" i="14"/>
  <c r="C45" i="14" s="1"/>
  <c r="C58" i="14" s="1"/>
  <c r="E18" i="38"/>
  <c r="E17" i="38"/>
  <c r="D18" i="38"/>
  <c r="D17" i="38"/>
  <c r="C18" i="38"/>
  <c r="C17" i="38"/>
  <c r="E18" i="37"/>
  <c r="E17" i="37"/>
  <c r="D18" i="37"/>
  <c r="D17" i="37" s="1"/>
  <c r="C18" i="37"/>
  <c r="C17" i="37" s="1"/>
  <c r="E17" i="36"/>
  <c r="E16" i="36" s="1"/>
  <c r="D17" i="36"/>
  <c r="D16" i="36" s="1"/>
  <c r="C17" i="36"/>
  <c r="C16" i="36"/>
  <c r="E18" i="35"/>
  <c r="E17" i="35"/>
  <c r="D18" i="35"/>
  <c r="D17" i="35"/>
  <c r="C18" i="35"/>
  <c r="C17" i="35" s="1"/>
  <c r="E46" i="19"/>
  <c r="E45" i="19" s="1"/>
  <c r="D46" i="19"/>
  <c r="D45" i="19" s="1"/>
  <c r="C46" i="19"/>
  <c r="C47" i="19"/>
  <c r="C59" i="19" s="1"/>
  <c r="C45" i="19"/>
  <c r="E16" i="19"/>
  <c r="E15" i="19"/>
  <c r="D16" i="19"/>
  <c r="D15" i="19"/>
  <c r="C16" i="19"/>
  <c r="C15" i="19" s="1"/>
  <c r="E46" i="18"/>
  <c r="E45" i="18" s="1"/>
  <c r="D46" i="18"/>
  <c r="D45" i="18" s="1"/>
  <c r="C46" i="18"/>
  <c r="C47" i="18"/>
  <c r="C59" i="18" s="1"/>
  <c r="E56" i="17"/>
  <c r="E44" i="17"/>
  <c r="E43" i="17"/>
  <c r="D44" i="17"/>
  <c r="D43" i="17"/>
  <c r="C44" i="17"/>
  <c r="C45" i="17" s="1"/>
  <c r="C58" i="17" s="1"/>
  <c r="E15" i="17"/>
  <c r="E14" i="17" s="1"/>
  <c r="D15" i="17"/>
  <c r="D14" i="17" s="1"/>
  <c r="C15" i="17"/>
  <c r="C14" i="17" s="1"/>
  <c r="E15" i="16"/>
  <c r="E14" i="16"/>
  <c r="D15" i="16"/>
  <c r="D14" i="16"/>
  <c r="C15" i="16"/>
  <c r="C16" i="16"/>
  <c r="C27" i="16"/>
  <c r="C30" i="16" s="1"/>
  <c r="D25" i="16"/>
  <c r="E44" i="16"/>
  <c r="E43" i="16"/>
  <c r="D44" i="16"/>
  <c r="D43" i="16"/>
  <c r="C44" i="16"/>
  <c r="C43" i="16" s="1"/>
  <c r="D56" i="16"/>
  <c r="E15" i="15"/>
  <c r="E14" i="15" s="1"/>
  <c r="D15" i="15"/>
  <c r="D14" i="15" s="1"/>
  <c r="C15" i="15"/>
  <c r="C16" i="15" s="1"/>
  <c r="C27" i="15" s="1"/>
  <c r="D25" i="15"/>
  <c r="C25" i="15"/>
  <c r="E44" i="15"/>
  <c r="E43" i="15"/>
  <c r="D44" i="15"/>
  <c r="D43" i="15"/>
  <c r="C44" i="15"/>
  <c r="C45" i="15" s="1"/>
  <c r="C57" i="15" s="1"/>
  <c r="C43" i="15"/>
  <c r="E8" i="14"/>
  <c r="D8" i="14"/>
  <c r="D25" i="14"/>
  <c r="D27" i="44"/>
  <c r="D29" i="44"/>
  <c r="E1" i="35"/>
  <c r="E1" i="36"/>
  <c r="A99" i="43"/>
  <c r="A98" i="43"/>
  <c r="A97" i="43"/>
  <c r="A96" i="43"/>
  <c r="A90" i="43"/>
  <c r="A89" i="43"/>
  <c r="A88" i="43"/>
  <c r="A87" i="43"/>
  <c r="A86" i="43"/>
  <c r="A85" i="43"/>
  <c r="A84" i="43"/>
  <c r="A83" i="43"/>
  <c r="A82" i="43"/>
  <c r="A81" i="43"/>
  <c r="A80" i="43"/>
  <c r="A78" i="43"/>
  <c r="A77" i="43"/>
  <c r="A76" i="43"/>
  <c r="A75" i="43"/>
  <c r="A74" i="43"/>
  <c r="A73" i="43"/>
  <c r="A72" i="43"/>
  <c r="A71" i="43"/>
  <c r="A70" i="43"/>
  <c r="A69" i="43"/>
  <c r="A67" i="43"/>
  <c r="A66" i="43"/>
  <c r="C27" i="21"/>
  <c r="C26" i="21"/>
  <c r="C25" i="21"/>
  <c r="C24" i="21"/>
  <c r="C23" i="21"/>
  <c r="C22" i="21"/>
  <c r="C21" i="21"/>
  <c r="C20" i="21"/>
  <c r="C19" i="21"/>
  <c r="C18" i="21"/>
  <c r="I1" i="5"/>
  <c r="C6" i="5"/>
  <c r="C26" i="32"/>
  <c r="C28" i="32"/>
  <c r="B56" i="64" s="1"/>
  <c r="A55" i="3"/>
  <c r="A54" i="3"/>
  <c r="A53" i="3"/>
  <c r="A52" i="3"/>
  <c r="A51" i="21"/>
  <c r="A50" i="21"/>
  <c r="A49" i="21"/>
  <c r="A48" i="21"/>
  <c r="M1" i="22"/>
  <c r="G7" i="22" s="1"/>
  <c r="D107" i="2"/>
  <c r="E107" i="2"/>
  <c r="A14" i="2"/>
  <c r="A106" i="2"/>
  <c r="K7" i="42"/>
  <c r="A1" i="42"/>
  <c r="A1" i="41"/>
  <c r="A1" i="40"/>
  <c r="A1" i="39"/>
  <c r="B1" i="22"/>
  <c r="A32" i="2"/>
  <c r="E26" i="32"/>
  <c r="E28" i="32"/>
  <c r="F56" i="64" s="1"/>
  <c r="D26" i="32"/>
  <c r="D28" i="32" s="1"/>
  <c r="G42" i="22"/>
  <c r="F66" i="64" s="1"/>
  <c r="F66" i="21"/>
  <c r="G32" i="22"/>
  <c r="F65" i="64" s="1"/>
  <c r="G20" i="22"/>
  <c r="F64" i="64" s="1"/>
  <c r="E27" i="21"/>
  <c r="G70" i="13" s="1"/>
  <c r="E26" i="21"/>
  <c r="G31" i="13" s="1"/>
  <c r="E25" i="21"/>
  <c r="G69" i="12" s="1"/>
  <c r="E24" i="21"/>
  <c r="G30" i="12" s="1"/>
  <c r="E23" i="21"/>
  <c r="G68" i="11" s="1"/>
  <c r="E22" i="21"/>
  <c r="G30" i="11" s="1"/>
  <c r="E21" i="21"/>
  <c r="G71" i="10" s="1"/>
  <c r="E20" i="21"/>
  <c r="G30" i="10" s="1"/>
  <c r="E19" i="21"/>
  <c r="G68" i="8" s="1"/>
  <c r="E18" i="21"/>
  <c r="G29" i="8" s="1"/>
  <c r="E16" i="21"/>
  <c r="G51" i="57" s="1"/>
  <c r="E15" i="21"/>
  <c r="G108" i="7" s="1"/>
  <c r="D46" i="21"/>
  <c r="C55" i="3"/>
  <c r="C54" i="3"/>
  <c r="C53" i="3"/>
  <c r="C52" i="3"/>
  <c r="C51" i="3"/>
  <c r="C50" i="3"/>
  <c r="C49" i="3"/>
  <c r="C48" i="3"/>
  <c r="D60" i="21"/>
  <c r="E25" i="58" s="1"/>
  <c r="F60" i="21"/>
  <c r="G25" i="58" s="1"/>
  <c r="A16" i="21"/>
  <c r="C16" i="21"/>
  <c r="A43" i="21"/>
  <c r="A38" i="43"/>
  <c r="A37" i="43"/>
  <c r="A36" i="43"/>
  <c r="A35" i="43"/>
  <c r="A34" i="43"/>
  <c r="A33" i="43"/>
  <c r="A32" i="43"/>
  <c r="A31" i="43"/>
  <c r="A30" i="43"/>
  <c r="A29" i="43"/>
  <c r="B22" i="3"/>
  <c r="B20" i="3"/>
  <c r="B8" i="5"/>
  <c r="B1" i="5"/>
  <c r="F1" i="32"/>
  <c r="E7" i="32" s="1"/>
  <c r="A1" i="32"/>
  <c r="M20" i="22"/>
  <c r="M32" i="22"/>
  <c r="M42" i="22"/>
  <c r="M43" i="22" s="1"/>
  <c r="L20" i="22"/>
  <c r="L32" i="22"/>
  <c r="L42" i="22"/>
  <c r="K20" i="22"/>
  <c r="K43" i="22"/>
  <c r="K32" i="22"/>
  <c r="K42" i="22"/>
  <c r="J20" i="22"/>
  <c r="J32" i="22"/>
  <c r="J42" i="22"/>
  <c r="J43" i="22" s="1"/>
  <c r="I1" i="23"/>
  <c r="H9" i="23" s="1"/>
  <c r="D1" i="9"/>
  <c r="B5" i="9" s="1"/>
  <c r="A2" i="3"/>
  <c r="A1" i="43"/>
  <c r="B5" i="35"/>
  <c r="B1" i="35"/>
  <c r="B5" i="36"/>
  <c r="B1" i="36"/>
  <c r="B5" i="37"/>
  <c r="B1" i="37"/>
  <c r="B5" i="38"/>
  <c r="B1" i="38"/>
  <c r="I5" i="41"/>
  <c r="G5" i="41"/>
  <c r="E5" i="41"/>
  <c r="C5" i="41"/>
  <c r="A5" i="41"/>
  <c r="I5" i="40"/>
  <c r="G5" i="40"/>
  <c r="E5" i="40"/>
  <c r="C5" i="40"/>
  <c r="A5" i="40"/>
  <c r="I5" i="39"/>
  <c r="G5" i="39"/>
  <c r="E5" i="39"/>
  <c r="C5" i="39"/>
  <c r="A5" i="39"/>
  <c r="D67" i="21"/>
  <c r="D66" i="21"/>
  <c r="D65" i="21"/>
  <c r="D64" i="21"/>
  <c r="B67" i="21"/>
  <c r="B66" i="21"/>
  <c r="B65" i="21"/>
  <c r="B64" i="21"/>
  <c r="B99" i="2"/>
  <c r="B98" i="2"/>
  <c r="B97" i="2"/>
  <c r="B96" i="2"/>
  <c r="B95" i="2"/>
  <c r="B94" i="2"/>
  <c r="B93" i="2"/>
  <c r="B92" i="2"/>
  <c r="B91" i="2"/>
  <c r="B90" i="2"/>
  <c r="B88" i="2"/>
  <c r="A86" i="2"/>
  <c r="D86" i="2"/>
  <c r="K7" i="41"/>
  <c r="K7" i="40"/>
  <c r="K30" i="40" s="1"/>
  <c r="K7" i="39"/>
  <c r="C31" i="3"/>
  <c r="C30" i="3"/>
  <c r="A27" i="21"/>
  <c r="A31" i="3"/>
  <c r="A30" i="3"/>
  <c r="A47" i="21"/>
  <c r="A46" i="21"/>
  <c r="A45" i="21"/>
  <c r="B31" i="3"/>
  <c r="B30" i="3"/>
  <c r="A51" i="3"/>
  <c r="A50" i="3"/>
  <c r="A49" i="3"/>
  <c r="B19" i="5"/>
  <c r="B18" i="5"/>
  <c r="B44" i="13"/>
  <c r="B29" i="3"/>
  <c r="B28" i="3"/>
  <c r="B27" i="3"/>
  <c r="B26" i="3"/>
  <c r="B25" i="3"/>
  <c r="B24" i="3"/>
  <c r="B23" i="3"/>
  <c r="B19" i="3"/>
  <c r="C42" i="3"/>
  <c r="C41" i="3"/>
  <c r="C40" i="3"/>
  <c r="C39" i="3"/>
  <c r="C34" i="3"/>
  <c r="C33" i="3"/>
  <c r="C32" i="3"/>
  <c r="C29" i="3"/>
  <c r="C28" i="3"/>
  <c r="C27" i="3"/>
  <c r="C26" i="3"/>
  <c r="C25" i="3"/>
  <c r="C24" i="3"/>
  <c r="C23" i="3"/>
  <c r="C22" i="3"/>
  <c r="A48" i="3"/>
  <c r="A42" i="3"/>
  <c r="A41" i="3"/>
  <c r="A40" i="3"/>
  <c r="A39" i="3"/>
  <c r="A34" i="3"/>
  <c r="A33" i="3"/>
  <c r="A32" i="3"/>
  <c r="A29" i="3"/>
  <c r="A28" i="3"/>
  <c r="A27" i="3"/>
  <c r="A26" i="3"/>
  <c r="A25" i="3"/>
  <c r="A24" i="3"/>
  <c r="A23" i="3"/>
  <c r="A22" i="3"/>
  <c r="A4" i="3"/>
  <c r="D39" i="3"/>
  <c r="A1" i="9"/>
  <c r="A69" i="9" s="1"/>
  <c r="B64" i="7"/>
  <c r="B60" i="7"/>
  <c r="B6" i="7"/>
  <c r="B1" i="7"/>
  <c r="B87" i="2"/>
  <c r="B1" i="23"/>
  <c r="I28" i="23"/>
  <c r="H28" i="23"/>
  <c r="G28" i="23"/>
  <c r="F67" i="64" s="1"/>
  <c r="F67" i="21"/>
  <c r="B17" i="5"/>
  <c r="B16" i="5"/>
  <c r="B15" i="5"/>
  <c r="B14" i="5"/>
  <c r="B13" i="5"/>
  <c r="B12" i="5"/>
  <c r="B11" i="5"/>
  <c r="B10" i="5"/>
  <c r="B7" i="5"/>
  <c r="B43" i="12"/>
  <c r="B5" i="12"/>
  <c r="B1" i="12"/>
  <c r="B5" i="13"/>
  <c r="B1" i="13"/>
  <c r="B34" i="15"/>
  <c r="B5" i="15"/>
  <c r="B1" i="15"/>
  <c r="B34" i="16"/>
  <c r="B5" i="16"/>
  <c r="B1" i="16"/>
  <c r="B34" i="17"/>
  <c r="B5" i="17"/>
  <c r="B1" i="17"/>
  <c r="B36" i="18"/>
  <c r="B5" i="18"/>
  <c r="B1" i="18"/>
  <c r="B5" i="19"/>
  <c r="B1" i="19"/>
  <c r="B5" i="8"/>
  <c r="B42" i="8"/>
  <c r="B1" i="8"/>
  <c r="B43" i="10"/>
  <c r="B5" i="10"/>
  <c r="B1" i="10"/>
  <c r="B43" i="11"/>
  <c r="B5" i="11"/>
  <c r="B1" i="11"/>
  <c r="B34" i="14"/>
  <c r="B5" i="14"/>
  <c r="B1" i="14"/>
  <c r="A44" i="21"/>
  <c r="A38" i="21"/>
  <c r="A37" i="21"/>
  <c r="A36" i="21"/>
  <c r="A35" i="21"/>
  <c r="A34" i="21"/>
  <c r="A33" i="21"/>
  <c r="A32" i="21"/>
  <c r="A31" i="21"/>
  <c r="A30" i="21"/>
  <c r="A29" i="21"/>
  <c r="A28" i="21"/>
  <c r="A26" i="21"/>
  <c r="A25" i="21"/>
  <c r="A24" i="21"/>
  <c r="A23" i="21"/>
  <c r="A22" i="21"/>
  <c r="A21" i="21"/>
  <c r="A20" i="21"/>
  <c r="A19" i="21"/>
  <c r="A18" i="21"/>
  <c r="C15" i="21"/>
  <c r="B32" i="21"/>
  <c r="B21" i="21"/>
  <c r="D33" i="21"/>
  <c r="D30" i="21"/>
  <c r="F35" i="21"/>
  <c r="B58" i="21"/>
  <c r="B60" i="21"/>
  <c r="A4" i="21"/>
  <c r="A15" i="21"/>
  <c r="D43" i="14"/>
  <c r="B29" i="21"/>
  <c r="D56" i="14"/>
  <c r="D29" i="14"/>
  <c r="F29" i="41"/>
  <c r="F30" i="41" s="1"/>
  <c r="C15" i="54"/>
  <c r="C57" i="53"/>
  <c r="D43" i="37"/>
  <c r="C19" i="38"/>
  <c r="C45" i="38" s="1"/>
  <c r="C27" i="54"/>
  <c r="E57" i="53"/>
  <c r="J52" i="8"/>
  <c r="J53" i="8"/>
  <c r="J51" i="8"/>
  <c r="J13" i="34"/>
  <c r="J14" i="13"/>
  <c r="J92" i="7"/>
  <c r="J93" i="7"/>
  <c r="J91" i="7"/>
  <c r="J53" i="13"/>
  <c r="J53" i="12"/>
  <c r="J54" i="12"/>
  <c r="J52" i="12"/>
  <c r="J13" i="12"/>
  <c r="J52" i="11"/>
  <c r="J53" i="11"/>
  <c r="J51" i="11"/>
  <c r="J13" i="11"/>
  <c r="J55" i="10"/>
  <c r="J56" i="10"/>
  <c r="J54" i="10"/>
  <c r="J13" i="10"/>
  <c r="J63" i="34"/>
  <c r="J64" i="34"/>
  <c r="J62" i="34"/>
  <c r="J12" i="8"/>
  <c r="J35" i="57"/>
  <c r="J36" i="57"/>
  <c r="J34" i="57"/>
  <c r="D50" i="3"/>
  <c r="E46" i="37"/>
  <c r="E30" i="54"/>
  <c r="E60" i="53"/>
  <c r="F38" i="21"/>
  <c r="B33" i="21"/>
  <c r="B30" i="21"/>
  <c r="B45" i="21"/>
  <c r="C39" i="36"/>
  <c r="D40" i="3"/>
  <c r="F36" i="21"/>
  <c r="E27" i="18"/>
  <c r="F33" i="21"/>
  <c r="E56" i="16"/>
  <c r="E25" i="15"/>
  <c r="F30" i="21"/>
  <c r="F65" i="21"/>
  <c r="F68" i="21" s="1"/>
  <c r="D67" i="7"/>
  <c r="D43" i="38"/>
  <c r="D47" i="21"/>
  <c r="B39" i="21"/>
  <c r="F37" i="21"/>
  <c r="D41" i="3"/>
  <c r="E57" i="18"/>
  <c r="E25" i="17"/>
  <c r="F34" i="21"/>
  <c r="F46" i="21"/>
  <c r="E43" i="37"/>
  <c r="C19" i="37"/>
  <c r="C45" i="37"/>
  <c r="D29" i="21"/>
  <c r="D60" i="14"/>
  <c r="D18" i="42"/>
  <c r="D29" i="42" s="1"/>
  <c r="D30" i="42" s="1"/>
  <c r="K17" i="42"/>
  <c r="C25" i="16"/>
  <c r="B6" i="5"/>
  <c r="D14" i="5"/>
  <c r="E10" i="11" s="1"/>
  <c r="D17" i="5"/>
  <c r="E48" i="12" s="1"/>
  <c r="D18" i="5"/>
  <c r="D16" i="5"/>
  <c r="E10" i="12"/>
  <c r="D19" i="5"/>
  <c r="E49" i="13" s="1"/>
  <c r="D15" i="5"/>
  <c r="E48" i="11" s="1"/>
  <c r="G20" i="5"/>
  <c r="E52" i="34" s="1"/>
  <c r="F20" i="5"/>
  <c r="E51" i="34"/>
  <c r="F15" i="5"/>
  <c r="E50" i="11" s="1"/>
  <c r="F16" i="5"/>
  <c r="F17" i="5"/>
  <c r="E50" i="12" s="1"/>
  <c r="F18" i="5"/>
  <c r="E12" i="13" s="1"/>
  <c r="F19" i="5"/>
  <c r="E51" i="13" s="1"/>
  <c r="F14" i="5"/>
  <c r="E12" i="11" s="1"/>
  <c r="E16" i="5"/>
  <c r="E11" i="12" s="1"/>
  <c r="E19" i="5"/>
  <c r="E50" i="13"/>
  <c r="E15" i="5"/>
  <c r="E49" i="11"/>
  <c r="E18" i="5"/>
  <c r="E11" i="13" s="1"/>
  <c r="E20" i="5"/>
  <c r="E50" i="34"/>
  <c r="E14" i="5"/>
  <c r="E11" i="11" s="1"/>
  <c r="E17" i="5"/>
  <c r="E49" i="12" s="1"/>
  <c r="G18" i="5"/>
  <c r="E13" i="13" s="1"/>
  <c r="G14" i="5"/>
  <c r="E13" i="11" s="1"/>
  <c r="G17" i="5"/>
  <c r="E51" i="12" s="1"/>
  <c r="G16" i="5"/>
  <c r="E13" i="12" s="1"/>
  <c r="G19" i="5"/>
  <c r="E52" i="13" s="1"/>
  <c r="G15" i="5"/>
  <c r="E51" i="11"/>
  <c r="H18" i="5"/>
  <c r="E14" i="13"/>
  <c r="H14" i="5"/>
  <c r="E14" i="11"/>
  <c r="H20" i="5"/>
  <c r="E53" i="34" s="1"/>
  <c r="H17" i="5"/>
  <c r="E52" i="12" s="1"/>
  <c r="H16" i="5"/>
  <c r="E14" i="12" s="1"/>
  <c r="H19" i="5"/>
  <c r="E53" i="13" s="1"/>
  <c r="H15" i="5"/>
  <c r="E52" i="11" s="1"/>
  <c r="E5" i="17"/>
  <c r="E34" i="17" s="1"/>
  <c r="B59" i="17"/>
  <c r="D5" i="5"/>
  <c r="D5" i="17"/>
  <c r="D34" i="17" s="1"/>
  <c r="E73" i="10"/>
  <c r="F21" i="64" s="1"/>
  <c r="E32" i="10"/>
  <c r="F20" i="64" s="1"/>
  <c r="C20" i="13"/>
  <c r="B26" i="21"/>
  <c r="C5" i="13"/>
  <c r="B25" i="21"/>
  <c r="G63" i="12"/>
  <c r="H19" i="12"/>
  <c r="G62" i="11"/>
  <c r="C69" i="11"/>
  <c r="E31" i="8"/>
  <c r="F18" i="64" s="1"/>
  <c r="D58" i="21"/>
  <c r="D72" i="34"/>
  <c r="D26" i="3"/>
  <c r="E69" i="11"/>
  <c r="F12" i="5"/>
  <c r="E12" i="10"/>
  <c r="F13" i="5"/>
  <c r="E50" i="10"/>
  <c r="G12" i="5"/>
  <c r="E13" i="10" s="1"/>
  <c r="G13" i="5"/>
  <c r="E51" i="10"/>
  <c r="E12" i="5"/>
  <c r="E11" i="10" s="1"/>
  <c r="E13" i="5"/>
  <c r="E49" i="10" s="1"/>
  <c r="D12" i="5"/>
  <c r="E10" i="10" s="1"/>
  <c r="D13" i="5"/>
  <c r="E48" i="10" s="1"/>
  <c r="H12" i="5"/>
  <c r="E14" i="10" s="1"/>
  <c r="H13" i="5"/>
  <c r="E52" i="10" s="1"/>
  <c r="D10" i="5"/>
  <c r="E10" i="8" s="1"/>
  <c r="D11" i="5"/>
  <c r="E47" i="8"/>
  <c r="H10" i="5"/>
  <c r="E14" i="8"/>
  <c r="H11" i="5"/>
  <c r="E51" i="8"/>
  <c r="F10" i="5"/>
  <c r="E12" i="8" s="1"/>
  <c r="F11" i="5"/>
  <c r="E49" i="8" s="1"/>
  <c r="G10" i="5"/>
  <c r="E13" i="8" s="1"/>
  <c r="G11" i="5"/>
  <c r="E50" i="8" s="1"/>
  <c r="E10" i="5"/>
  <c r="E11" i="8" s="1"/>
  <c r="E11" i="5"/>
  <c r="E48" i="8"/>
  <c r="H8" i="5"/>
  <c r="E14" i="57"/>
  <c r="H9" i="5"/>
  <c r="F8" i="5"/>
  <c r="E12" i="57"/>
  <c r="F9" i="5"/>
  <c r="E8" i="5"/>
  <c r="E11" i="57" s="1"/>
  <c r="E9" i="5"/>
  <c r="E11" i="34" s="1"/>
  <c r="G18" i="58" s="1"/>
  <c r="D8" i="5"/>
  <c r="E10" i="57"/>
  <c r="D9" i="5"/>
  <c r="E10" i="34"/>
  <c r="G17" i="58" s="1"/>
  <c r="G8" i="5"/>
  <c r="G21" i="5" s="1"/>
  <c r="G9" i="5"/>
  <c r="E13" i="34" s="1"/>
  <c r="D7" i="5"/>
  <c r="E11" i="7"/>
  <c r="G7" i="5"/>
  <c r="E14" i="7" s="1"/>
  <c r="H7" i="5"/>
  <c r="E15" i="7"/>
  <c r="E7" i="5"/>
  <c r="E12" i="7"/>
  <c r="F7" i="5"/>
  <c r="E13" i="7" s="1"/>
  <c r="C31" i="12"/>
  <c r="C22" i="12"/>
  <c r="C33" i="12"/>
  <c r="D6" i="12" s="1"/>
  <c r="H59" i="11"/>
  <c r="D31" i="11"/>
  <c r="F75" i="11"/>
  <c r="D20" i="21"/>
  <c r="G24" i="10"/>
  <c r="D69" i="8"/>
  <c r="C57" i="8"/>
  <c r="D17" i="21"/>
  <c r="C62" i="34"/>
  <c r="C74" i="34" s="1"/>
  <c r="F16" i="21"/>
  <c r="C27" i="57"/>
  <c r="D20" i="3"/>
  <c r="D73" i="57"/>
  <c r="G45" i="57"/>
  <c r="C52" i="57"/>
  <c r="D43" i="35"/>
  <c r="D18" i="41"/>
  <c r="D29" i="41" s="1"/>
  <c r="D30" i="41" s="1"/>
  <c r="D27" i="19"/>
  <c r="D31" i="19"/>
  <c r="D38" i="21"/>
  <c r="E67" i="7"/>
  <c r="D80" i="7"/>
  <c r="D39" i="21"/>
  <c r="D57" i="19"/>
  <c r="D131" i="9"/>
  <c r="D133" i="9" s="1"/>
  <c r="E5" i="18"/>
  <c r="E36" i="18"/>
  <c r="C57" i="19"/>
  <c r="E46" i="38"/>
  <c r="D51" i="3"/>
  <c r="E43" i="38"/>
  <c r="F47" i="21"/>
  <c r="B46" i="21"/>
  <c r="K28" i="42"/>
  <c r="B51" i="64" s="1"/>
  <c r="K30" i="42"/>
  <c r="C61" i="18"/>
  <c r="F64" i="21"/>
  <c r="C16" i="17"/>
  <c r="C27" i="17"/>
  <c r="C30" i="17" s="1"/>
  <c r="C14" i="16"/>
  <c r="B16" i="21"/>
  <c r="B47" i="21"/>
  <c r="F45" i="21"/>
  <c r="D49" i="3"/>
  <c r="E39" i="36"/>
  <c r="C18" i="36"/>
  <c r="C41" i="36"/>
  <c r="C44" i="36" s="1"/>
  <c r="D6" i="36"/>
  <c r="D18" i="36" s="1"/>
  <c r="D41" i="36" s="1"/>
  <c r="C43" i="35"/>
  <c r="C47" i="35"/>
  <c r="F44" i="21"/>
  <c r="F42" i="21"/>
  <c r="E27" i="54"/>
  <c r="E57" i="54"/>
  <c r="D47" i="3"/>
  <c r="D31" i="54"/>
  <c r="E60" i="54"/>
  <c r="D27" i="54"/>
  <c r="B42" i="21"/>
  <c r="F40" i="21"/>
  <c r="D44" i="3"/>
  <c r="E30" i="53"/>
  <c r="C15" i="53"/>
  <c r="B30" i="53"/>
  <c r="D41" i="21"/>
  <c r="D45" i="3"/>
  <c r="C47" i="53"/>
  <c r="C59" i="53"/>
  <c r="C62" i="53" s="1"/>
  <c r="E27" i="19"/>
  <c r="E30" i="19"/>
  <c r="C17" i="19"/>
  <c r="C29" i="19" s="1"/>
  <c r="C61" i="19"/>
  <c r="E60" i="19"/>
  <c r="D43" i="3"/>
  <c r="D61" i="18"/>
  <c r="C45" i="18"/>
  <c r="D31" i="18"/>
  <c r="C57" i="18"/>
  <c r="C17" i="18"/>
  <c r="C29" i="18" s="1"/>
  <c r="B60" i="18"/>
  <c r="D5" i="18"/>
  <c r="D36" i="18" s="1"/>
  <c r="C43" i="17"/>
  <c r="B34" i="21"/>
  <c r="C25" i="17"/>
  <c r="D60" i="17"/>
  <c r="B28" i="16"/>
  <c r="F32" i="21"/>
  <c r="E28" i="16"/>
  <c r="D60" i="16"/>
  <c r="D32" i="21"/>
  <c r="D55" i="15"/>
  <c r="D59" i="15"/>
  <c r="B31" i="21"/>
  <c r="C55" i="15"/>
  <c r="C14" i="14"/>
  <c r="C43" i="14"/>
  <c r="C5" i="14"/>
  <c r="C34" i="14" s="1"/>
  <c r="C25" i="14"/>
  <c r="E59" i="14"/>
  <c r="C29" i="14"/>
  <c r="D5" i="14"/>
  <c r="D34" i="14" s="1"/>
  <c r="E5" i="14"/>
  <c r="E34" i="14" s="1"/>
  <c r="B28" i="14"/>
  <c r="B59" i="14"/>
  <c r="B27" i="21"/>
  <c r="C71" i="13"/>
  <c r="C44" i="13"/>
  <c r="H22" i="13"/>
  <c r="G18" i="13"/>
  <c r="E76" i="13"/>
  <c r="D37" i="53"/>
  <c r="D47" i="53"/>
  <c r="D59" i="53" s="1"/>
  <c r="E5" i="35"/>
  <c r="B46" i="35"/>
  <c r="C5" i="35"/>
  <c r="B59" i="16"/>
  <c r="D5" i="16"/>
  <c r="D34" i="16" s="1"/>
  <c r="E5" i="16"/>
  <c r="E34" i="16"/>
  <c r="C5" i="16"/>
  <c r="C34" i="16" s="1"/>
  <c r="D5" i="35"/>
  <c r="C40" i="13"/>
  <c r="G54" i="13"/>
  <c r="C44" i="34"/>
  <c r="C5" i="34"/>
  <c r="E5" i="36"/>
  <c r="E5" i="15"/>
  <c r="E34" i="15" s="1"/>
  <c r="L43" i="22"/>
  <c r="C29" i="53"/>
  <c r="C32" i="53" s="1"/>
  <c r="C27" i="53"/>
  <c r="B40" i="21"/>
  <c r="F27" i="21"/>
  <c r="E71" i="13"/>
  <c r="E74" i="13"/>
  <c r="D31" i="3"/>
  <c r="F80" i="13"/>
  <c r="A56" i="43"/>
  <c r="A44" i="43"/>
  <c r="D57" i="54"/>
  <c r="D43" i="21"/>
  <c r="D61" i="54"/>
  <c r="D72" i="7"/>
  <c r="D6" i="37"/>
  <c r="C48" i="37"/>
  <c r="D21" i="34"/>
  <c r="D20" i="34" s="1"/>
  <c r="C14" i="15"/>
  <c r="D27" i="18"/>
  <c r="D36" i="21"/>
  <c r="C67" i="7"/>
  <c r="C27" i="18"/>
  <c r="B36" i="21"/>
  <c r="C60" i="16"/>
  <c r="C56" i="16"/>
  <c r="C60" i="14"/>
  <c r="K17" i="39"/>
  <c r="B18" i="39"/>
  <c r="K18" i="39" s="1"/>
  <c r="C31" i="10"/>
  <c r="C98" i="10"/>
  <c r="B36" i="10" s="1"/>
  <c r="C31" i="11"/>
  <c r="C97" i="13"/>
  <c r="C32" i="13"/>
  <c r="D29" i="15"/>
  <c r="D5" i="12"/>
  <c r="H64" i="12"/>
  <c r="C19" i="3"/>
  <c r="C121" i="7"/>
  <c r="B135" i="9"/>
  <c r="D29" i="40"/>
  <c r="D35" i="21"/>
  <c r="D56" i="17"/>
  <c r="C56" i="14"/>
  <c r="B29" i="39"/>
  <c r="D30" i="40"/>
  <c r="B30" i="39"/>
  <c r="D68" i="21"/>
  <c r="B68" i="21"/>
  <c r="C61" i="13"/>
  <c r="C73" i="13"/>
  <c r="D45" i="13"/>
  <c r="B37" i="13"/>
  <c r="E35" i="13"/>
  <c r="D26" i="21"/>
  <c r="H23" i="13"/>
  <c r="H20" i="13"/>
  <c r="H26" i="13"/>
  <c r="H62" i="13"/>
  <c r="E5" i="13"/>
  <c r="D61" i="13"/>
  <c r="D73" i="13" s="1"/>
  <c r="C100" i="13"/>
  <c r="D27" i="21"/>
  <c r="D70" i="12"/>
  <c r="D31" i="12"/>
  <c r="C59" i="12"/>
  <c r="C5" i="12"/>
  <c r="B24" i="21"/>
  <c r="C78" i="12"/>
  <c r="B34" i="12"/>
  <c r="E43" i="12"/>
  <c r="E34" i="11"/>
  <c r="F36" i="11"/>
  <c r="E31" i="11"/>
  <c r="C94" i="11"/>
  <c r="B36" i="11" s="1"/>
  <c r="F22" i="21"/>
  <c r="C60" i="11"/>
  <c r="C71" i="11" s="1"/>
  <c r="C5" i="18"/>
  <c r="C36" i="18" s="1"/>
  <c r="D5" i="9"/>
  <c r="C62" i="10"/>
  <c r="C74" i="10"/>
  <c r="C101" i="10" s="1"/>
  <c r="G65" i="10"/>
  <c r="D72" i="10"/>
  <c r="C20" i="10"/>
  <c r="D18" i="21"/>
  <c r="B19" i="21"/>
  <c r="C69" i="8"/>
  <c r="D98" i="34"/>
  <c r="C22" i="34"/>
  <c r="C34" i="34" s="1"/>
  <c r="B17" i="21"/>
  <c r="D32" i="34"/>
  <c r="D100" i="34"/>
  <c r="D52" i="57"/>
  <c r="D27" i="57"/>
  <c r="H97" i="7"/>
  <c r="H103" i="7"/>
  <c r="G95" i="7"/>
  <c r="G92" i="7"/>
  <c r="B74" i="11"/>
  <c r="E27" i="58"/>
  <c r="E14" i="34"/>
  <c r="E12" i="12"/>
  <c r="E13" i="57"/>
  <c r="H24" i="11"/>
  <c r="C39" i="11"/>
  <c r="A8" i="43"/>
  <c r="A9" i="43"/>
  <c r="C64" i="43"/>
  <c r="A59" i="43"/>
  <c r="A24" i="43"/>
  <c r="A19" i="43"/>
  <c r="A17" i="43"/>
  <c r="A16" i="43"/>
  <c r="A11" i="43"/>
  <c r="A57" i="43"/>
  <c r="A58" i="43"/>
  <c r="A10" i="43"/>
  <c r="B64" i="43"/>
  <c r="A63" i="43"/>
  <c r="A52" i="43"/>
  <c r="A42" i="43"/>
  <c r="D59" i="13"/>
  <c r="E10" i="13"/>
  <c r="J47" i="21" l="1"/>
  <c r="J61" i="21"/>
  <c r="J41" i="21"/>
  <c r="D12" i="21"/>
  <c r="J62" i="21"/>
  <c r="J63" i="21"/>
  <c r="J55" i="21"/>
  <c r="J54" i="21"/>
  <c r="J60" i="21"/>
  <c r="B12" i="21"/>
  <c r="H20" i="8"/>
  <c r="H59" i="8"/>
  <c r="D42" i="8"/>
  <c r="H24" i="8"/>
  <c r="H57" i="8"/>
  <c r="H63" i="8"/>
  <c r="C42" i="8"/>
  <c r="E5" i="8"/>
  <c r="C5" i="8"/>
  <c r="H23" i="8"/>
  <c r="B72" i="8"/>
  <c r="G48" i="8"/>
  <c r="H60" i="8"/>
  <c r="H19" i="8"/>
  <c r="G52" i="8"/>
  <c r="G13" i="8"/>
  <c r="G9" i="8"/>
  <c r="H19" i="11"/>
  <c r="E5" i="12"/>
  <c r="B72" i="11"/>
  <c r="B55" i="57"/>
  <c r="G49" i="12"/>
  <c r="G52" i="11"/>
  <c r="H42" i="57"/>
  <c r="H24" i="12"/>
  <c r="H43" i="57"/>
  <c r="C79" i="13"/>
  <c r="G56" i="12"/>
  <c r="H21" i="11"/>
  <c r="D5" i="57"/>
  <c r="G11" i="13"/>
  <c r="H21" i="12"/>
  <c r="H25" i="11"/>
  <c r="H40" i="57"/>
  <c r="C39" i="12"/>
  <c r="G57" i="13"/>
  <c r="H60" i="12"/>
  <c r="D5" i="53"/>
  <c r="D36" i="53" s="1"/>
  <c r="C60" i="57"/>
  <c r="H22" i="11"/>
  <c r="H61" i="13"/>
  <c r="B73" i="12"/>
  <c r="B46" i="37"/>
  <c r="H62" i="11"/>
  <c r="H61" i="12"/>
  <c r="D5" i="13"/>
  <c r="H25" i="12"/>
  <c r="D5" i="37"/>
  <c r="B34" i="11"/>
  <c r="H64" i="13"/>
  <c r="G14" i="12"/>
  <c r="D5" i="38"/>
  <c r="H63" i="11"/>
  <c r="H21" i="13"/>
  <c r="H58" i="12"/>
  <c r="E5" i="38"/>
  <c r="C43" i="11"/>
  <c r="B74" i="13"/>
  <c r="G17" i="12"/>
  <c r="D44" i="13"/>
  <c r="H41" i="57"/>
  <c r="C5" i="17"/>
  <c r="C34" i="17" s="1"/>
  <c r="H65" i="13"/>
  <c r="C43" i="12"/>
  <c r="B87" i="58"/>
  <c r="E44" i="13"/>
  <c r="H59" i="13"/>
  <c r="H45" i="57"/>
  <c r="B35" i="13"/>
  <c r="H22" i="12"/>
  <c r="B35" i="34"/>
  <c r="G15" i="13"/>
  <c r="G50" i="13"/>
  <c r="D5" i="36"/>
  <c r="C5" i="11"/>
  <c r="H58" i="11"/>
  <c r="E55" i="7"/>
  <c r="E28" i="57"/>
  <c r="G41" i="57" s="1"/>
  <c r="B77" i="10"/>
  <c r="H21" i="5"/>
  <c r="F21" i="5"/>
  <c r="E83" i="7"/>
  <c r="E108" i="7" s="1"/>
  <c r="E112" i="7" s="1"/>
  <c r="D83" i="7"/>
  <c r="D108" i="7" s="1"/>
  <c r="C5" i="57"/>
  <c r="G17" i="11"/>
  <c r="B60" i="53"/>
  <c r="B30" i="54"/>
  <c r="G13" i="21"/>
  <c r="C77" i="11"/>
  <c r="E43" i="11"/>
  <c r="G38" i="57"/>
  <c r="E5" i="53"/>
  <c r="E36" i="53" s="1"/>
  <c r="B75" i="34"/>
  <c r="G55" i="8"/>
  <c r="C5" i="38"/>
  <c r="H20" i="11"/>
  <c r="G48" i="11"/>
  <c r="G35" i="57"/>
  <c r="D43" i="12"/>
  <c r="C7" i="32"/>
  <c r="H58" i="8"/>
  <c r="G63" i="34"/>
  <c r="E5" i="57"/>
  <c r="A9" i="21"/>
  <c r="A8" i="3"/>
  <c r="H60" i="11"/>
  <c r="F12" i="21"/>
  <c r="G10" i="11"/>
  <c r="H46" i="57"/>
  <c r="J45" i="21"/>
  <c r="H20" i="12"/>
  <c r="D7" i="32"/>
  <c r="B31" i="32" s="1"/>
  <c r="H21" i="8"/>
  <c r="H98" i="7"/>
  <c r="E43" i="10"/>
  <c r="C38" i="8"/>
  <c r="D5" i="8"/>
  <c r="F62" i="3"/>
  <c r="H62" i="8"/>
  <c r="H102" i="7"/>
  <c r="D43" i="11"/>
  <c r="G88" i="7"/>
  <c r="J48" i="21"/>
  <c r="L6" i="22"/>
  <c r="C5" i="53"/>
  <c r="C36" i="53" s="1"/>
  <c r="C6" i="7"/>
  <c r="C64" i="7" s="1"/>
  <c r="H24" i="10"/>
  <c r="G31" i="57"/>
  <c r="H18" i="8"/>
  <c r="G14" i="11"/>
  <c r="D6" i="7"/>
  <c r="D64" i="7" s="1"/>
  <c r="H63" i="12"/>
  <c r="G53" i="12"/>
  <c r="J6" i="22"/>
  <c r="C77" i="8"/>
  <c r="E6" i="7"/>
  <c r="E64" i="7" s="1"/>
  <c r="G17" i="10"/>
  <c r="J52" i="21"/>
  <c r="E5" i="11"/>
  <c r="C5" i="36"/>
  <c r="G16" i="8"/>
  <c r="H57" i="11"/>
  <c r="B110" i="7"/>
  <c r="E42" i="8"/>
  <c r="C115" i="7"/>
  <c r="B63" i="21"/>
  <c r="H100" i="7"/>
  <c r="D63" i="21"/>
  <c r="B42" i="36"/>
  <c r="E5" i="37"/>
  <c r="F63" i="21"/>
  <c r="D35" i="15"/>
  <c r="D45" i="15" s="1"/>
  <c r="D57" i="15" s="1"/>
  <c r="C60" i="15"/>
  <c r="K30" i="41"/>
  <c r="B50" i="64"/>
  <c r="B50" i="21"/>
  <c r="D22" i="12"/>
  <c r="D33" i="12" s="1"/>
  <c r="D44" i="11"/>
  <c r="D60" i="11" s="1"/>
  <c r="D71" i="11" s="1"/>
  <c r="C97" i="11"/>
  <c r="K29" i="39"/>
  <c r="C32" i="19"/>
  <c r="D6" i="19"/>
  <c r="D17" i="19" s="1"/>
  <c r="D29" i="19" s="1"/>
  <c r="C62" i="19"/>
  <c r="D37" i="19"/>
  <c r="D47" i="19" s="1"/>
  <c r="D59" i="19" s="1"/>
  <c r="D15" i="64"/>
  <c r="D52" i="64" s="1"/>
  <c r="D55" i="64" s="1"/>
  <c r="D57" i="64" s="1"/>
  <c r="D15" i="21"/>
  <c r="D52" i="21" s="1"/>
  <c r="D55" i="21" s="1"/>
  <c r="D57" i="21" s="1"/>
  <c r="D107" i="7"/>
  <c r="D133" i="7"/>
  <c r="B49" i="64"/>
  <c r="B49" i="21"/>
  <c r="B77" i="13"/>
  <c r="C61" i="14"/>
  <c r="D35" i="14"/>
  <c r="D45" i="14" s="1"/>
  <c r="D58" i="14" s="1"/>
  <c r="K18" i="40"/>
  <c r="C101" i="34"/>
  <c r="D45" i="34"/>
  <c r="D62" i="34" s="1"/>
  <c r="D74" i="34" s="1"/>
  <c r="D100" i="13"/>
  <c r="G59" i="13"/>
  <c r="E45" i="13"/>
  <c r="C30" i="15"/>
  <c r="D6" i="15"/>
  <c r="D16" i="15" s="1"/>
  <c r="D27" i="15" s="1"/>
  <c r="D35" i="17"/>
  <c r="D45" i="17" s="1"/>
  <c r="D58" i="17" s="1"/>
  <c r="C61" i="17"/>
  <c r="C74" i="57"/>
  <c r="D6" i="57"/>
  <c r="D29" i="57" s="1"/>
  <c r="D54" i="57" s="1"/>
  <c r="D56" i="64"/>
  <c r="D56" i="21"/>
  <c r="D6" i="54"/>
  <c r="D17" i="54" s="1"/>
  <c r="D29" i="54" s="1"/>
  <c r="C32" i="54"/>
  <c r="D44" i="12"/>
  <c r="D61" i="12" s="1"/>
  <c r="D72" i="12" s="1"/>
  <c r="C99" i="12"/>
  <c r="C48" i="38"/>
  <c r="D6" i="38"/>
  <c r="D19" i="38" s="1"/>
  <c r="D45" i="38" s="1"/>
  <c r="E6" i="36"/>
  <c r="E18" i="36" s="1"/>
  <c r="E41" i="36" s="1"/>
  <c r="E43" i="36" s="1"/>
  <c r="D44" i="36"/>
  <c r="B48" i="64"/>
  <c r="K30" i="39"/>
  <c r="B48" i="21"/>
  <c r="B74" i="8"/>
  <c r="C99" i="10"/>
  <c r="D6" i="10"/>
  <c r="D22" i="10" s="1"/>
  <c r="D33" i="10" s="1"/>
  <c r="E31" i="5"/>
  <c r="F32" i="5"/>
  <c r="D30" i="5"/>
  <c r="H34" i="5"/>
  <c r="G33" i="5"/>
  <c r="D62" i="53"/>
  <c r="E37" i="53"/>
  <c r="E47" i="53" s="1"/>
  <c r="E59" i="53" s="1"/>
  <c r="E61" i="53" s="1"/>
  <c r="C32" i="18"/>
  <c r="D6" i="18"/>
  <c r="D17" i="18" s="1"/>
  <c r="D29" i="18" s="1"/>
  <c r="D37" i="18"/>
  <c r="D47" i="18" s="1"/>
  <c r="D59" i="18" s="1"/>
  <c r="C62" i="18"/>
  <c r="K29" i="42"/>
  <c r="B30" i="42"/>
  <c r="G20" i="13"/>
  <c r="D98" i="13"/>
  <c r="E6" i="13"/>
  <c r="D6" i="34"/>
  <c r="D22" i="34" s="1"/>
  <c r="D34" i="34" s="1"/>
  <c r="C99" i="34"/>
  <c r="D6" i="14"/>
  <c r="D16" i="14" s="1"/>
  <c r="D27" i="14" s="1"/>
  <c r="C30" i="14"/>
  <c r="D5" i="44"/>
  <c r="A33" i="44"/>
  <c r="C131" i="9"/>
  <c r="C97" i="12"/>
  <c r="A23" i="44"/>
  <c r="E25" i="14"/>
  <c r="H74" i="34"/>
  <c r="C80" i="34"/>
  <c r="B38" i="21"/>
  <c r="G17" i="34"/>
  <c r="E26" i="58"/>
  <c r="H68" i="12"/>
  <c r="H33" i="12"/>
  <c r="H32" i="12"/>
  <c r="H30" i="12"/>
  <c r="H29" i="12"/>
  <c r="H69" i="12"/>
  <c r="H72" i="12"/>
  <c r="H71" i="12"/>
  <c r="B22" i="21"/>
  <c r="C61" i="53"/>
  <c r="M62" i="21"/>
  <c r="B35" i="21"/>
  <c r="E28" i="14"/>
  <c r="H19" i="34"/>
  <c r="E5" i="34"/>
  <c r="D6" i="17"/>
  <c r="D16" i="17" s="1"/>
  <c r="D27" i="17" s="1"/>
  <c r="C22" i="11"/>
  <c r="C33" i="11" s="1"/>
  <c r="C5" i="9"/>
  <c r="C5" i="37"/>
  <c r="H25" i="13"/>
  <c r="H70" i="13"/>
  <c r="H33" i="13"/>
  <c r="H30" i="13"/>
  <c r="H73" i="13"/>
  <c r="H72" i="13"/>
  <c r="H69" i="13"/>
  <c r="H34" i="13"/>
  <c r="H31" i="13"/>
  <c r="G24" i="11"/>
  <c r="K18" i="42"/>
  <c r="C72" i="34"/>
  <c r="F68" i="64"/>
  <c r="E21" i="5"/>
  <c r="C56" i="17"/>
  <c r="F28" i="21"/>
  <c r="H73" i="34"/>
  <c r="H22" i="34"/>
  <c r="D44" i="10"/>
  <c r="D62" i="10" s="1"/>
  <c r="D74" i="10" s="1"/>
  <c r="C100" i="34"/>
  <c r="B77" i="34" s="1"/>
  <c r="C60" i="17"/>
  <c r="D32" i="3"/>
  <c r="H79" i="34"/>
  <c r="C31" i="19"/>
  <c r="E46" i="35"/>
  <c r="B51" i="21"/>
  <c r="E12" i="34"/>
  <c r="G19" i="58" s="1"/>
  <c r="I9" i="23"/>
  <c r="E55" i="15"/>
  <c r="B29" i="40"/>
  <c r="B18" i="41"/>
  <c r="C56" i="7"/>
  <c r="D69" i="11"/>
  <c r="E43" i="35"/>
  <c r="C76" i="7"/>
  <c r="C83" i="7" s="1"/>
  <c r="C108" i="7" s="1"/>
  <c r="B54" i="21"/>
  <c r="H51" i="57"/>
  <c r="H54" i="57"/>
  <c r="H53" i="57"/>
  <c r="H50" i="57"/>
  <c r="C61" i="54"/>
  <c r="E34" i="10"/>
  <c r="C65" i="9"/>
  <c r="C132" i="9" s="1"/>
  <c r="H78" i="34"/>
  <c r="F29" i="21"/>
  <c r="D69" i="9"/>
  <c r="E21" i="10"/>
  <c r="C30" i="8"/>
  <c r="B18" i="64"/>
  <c r="B65" i="9"/>
  <c r="B132" i="9" s="1"/>
  <c r="B133" i="9" s="1"/>
  <c r="H33" i="34"/>
  <c r="H32" i="34"/>
  <c r="H30" i="34"/>
  <c r="H29" i="34"/>
  <c r="E33" i="8"/>
  <c r="D6" i="53"/>
  <c r="D17" i="53" s="1"/>
  <c r="D29" i="53" s="1"/>
  <c r="H71" i="34"/>
  <c r="G14" i="34"/>
  <c r="E56" i="14"/>
  <c r="C5" i="19"/>
  <c r="C36" i="19" s="1"/>
  <c r="D45" i="21"/>
  <c r="C71" i="8"/>
  <c r="D43" i="8" s="1"/>
  <c r="D59" i="8" s="1"/>
  <c r="D71" i="8" s="1"/>
  <c r="B23" i="21"/>
  <c r="G25" i="13"/>
  <c r="C31" i="54"/>
  <c r="F43" i="21"/>
  <c r="H24" i="34"/>
  <c r="H68" i="34"/>
  <c r="D6" i="16"/>
  <c r="D16" i="16" s="1"/>
  <c r="D27" i="16" s="1"/>
  <c r="E5" i="19"/>
  <c r="E36" i="19" s="1"/>
  <c r="G62" i="8"/>
  <c r="B19" i="64"/>
  <c r="D61" i="53"/>
  <c r="E61" i="10"/>
  <c r="G61" i="10" s="1"/>
  <c r="C98" i="34"/>
  <c r="B37" i="34" s="1"/>
  <c r="C98" i="13"/>
  <c r="B38" i="13" s="1"/>
  <c r="C45" i="16"/>
  <c r="C58" i="16" s="1"/>
  <c r="G9" i="23"/>
  <c r="E44" i="34"/>
  <c r="B30" i="19"/>
  <c r="C19" i="35"/>
  <c r="C45" i="35" s="1"/>
  <c r="F56" i="21"/>
  <c r="D24" i="21"/>
  <c r="D71" i="13"/>
  <c r="D19" i="21"/>
  <c r="D19" i="64"/>
  <c r="E57" i="19"/>
  <c r="B28" i="21"/>
  <c r="E21" i="11"/>
  <c r="G20" i="11" s="1"/>
  <c r="H25" i="34"/>
  <c r="B43" i="21"/>
  <c r="E58" i="8"/>
  <c r="G58" i="8" s="1"/>
  <c r="D30" i="8"/>
  <c r="D18" i="64"/>
  <c r="C43" i="37"/>
  <c r="E30" i="18"/>
  <c r="E59" i="16"/>
  <c r="C29" i="15"/>
  <c r="E59" i="11"/>
  <c r="G58" i="11" s="1"/>
  <c r="H70" i="34"/>
  <c r="D29" i="16"/>
  <c r="D21" i="21"/>
  <c r="D46" i="3"/>
  <c r="E21" i="12"/>
  <c r="H20" i="34"/>
  <c r="D48" i="3"/>
  <c r="B56" i="21"/>
  <c r="E21" i="8"/>
  <c r="G19" i="8" s="1"/>
  <c r="D43" i="36"/>
  <c r="E60" i="12"/>
  <c r="G59" i="12" s="1"/>
  <c r="D23" i="21"/>
  <c r="D19" i="37"/>
  <c r="D45" i="37" s="1"/>
  <c r="H21" i="34"/>
  <c r="F31" i="21"/>
  <c r="B41" i="21"/>
  <c r="E21" i="13"/>
  <c r="E55" i="57"/>
  <c r="H110" i="7"/>
  <c r="H107" i="7"/>
  <c r="H111" i="7"/>
  <c r="H108" i="7"/>
  <c r="E60" i="13"/>
  <c r="D47" i="35"/>
  <c r="D5" i="34"/>
  <c r="D34" i="21"/>
  <c r="D28" i="21"/>
  <c r="H71" i="8"/>
  <c r="H70" i="8"/>
  <c r="H68" i="8"/>
  <c r="H67" i="8"/>
  <c r="E61" i="34"/>
  <c r="G69" i="34" s="1"/>
  <c r="D21" i="5"/>
  <c r="C5" i="44"/>
  <c r="D27" i="53"/>
  <c r="G66" i="34"/>
  <c r="D57" i="18"/>
  <c r="G24" i="34"/>
  <c r="G51" i="10"/>
  <c r="H29" i="10"/>
  <c r="H30" i="10"/>
  <c r="H73" i="10"/>
  <c r="H70" i="10"/>
  <c r="H74" i="10"/>
  <c r="H71" i="10"/>
  <c r="H33" i="10"/>
  <c r="H32" i="10"/>
  <c r="C72" i="10"/>
  <c r="E42" i="36"/>
  <c r="E59" i="17"/>
  <c r="D25" i="17"/>
  <c r="G10" i="34"/>
  <c r="G73" i="34"/>
  <c r="F41" i="21"/>
  <c r="C47" i="54"/>
  <c r="C59" i="54" s="1"/>
  <c r="B3" i="44"/>
  <c r="D31" i="53"/>
  <c r="H69" i="34"/>
  <c r="M43" i="21"/>
  <c r="B5" i="44"/>
  <c r="D40" i="21"/>
  <c r="G43" i="22"/>
  <c r="D44" i="21"/>
  <c r="G59" i="34"/>
  <c r="H30" i="11"/>
  <c r="H71" i="11"/>
  <c r="H70" i="11"/>
  <c r="H68" i="11"/>
  <c r="H67" i="11"/>
  <c r="H33" i="11"/>
  <c r="H32" i="11"/>
  <c r="H29" i="11"/>
  <c r="D39" i="36"/>
  <c r="C27" i="19"/>
  <c r="D33" i="3"/>
  <c r="C32" i="34"/>
  <c r="E34" i="12"/>
  <c r="E70" i="12"/>
  <c r="E75" i="12"/>
  <c r="F25" i="21"/>
  <c r="E72" i="11"/>
  <c r="F23" i="21"/>
  <c r="E74" i="11"/>
  <c r="D27" i="3"/>
  <c r="E36" i="10"/>
  <c r="D24" i="3"/>
  <c r="F20" i="21"/>
  <c r="E75" i="10"/>
  <c r="D25" i="3"/>
  <c r="E69" i="8"/>
  <c r="F75" i="8"/>
  <c r="D21" i="3"/>
  <c r="E37" i="34"/>
  <c r="E35" i="34"/>
  <c r="F36" i="34"/>
  <c r="E32" i="34"/>
  <c r="G20" i="10"/>
  <c r="D20" i="44"/>
  <c r="B77" i="3"/>
  <c r="D9" i="3"/>
  <c r="E10" i="3"/>
  <c r="D30" i="3"/>
  <c r="E32" i="13"/>
  <c r="F38" i="13"/>
  <c r="F26" i="21"/>
  <c r="E37" i="13"/>
  <c r="D29" i="3"/>
  <c r="E73" i="12"/>
  <c r="F76" i="12"/>
  <c r="D28" i="3"/>
  <c r="F36" i="12"/>
  <c r="E36" i="12"/>
  <c r="E31" i="12"/>
  <c r="F24" i="21"/>
  <c r="E36" i="11"/>
  <c r="E72" i="10"/>
  <c r="F21" i="21"/>
  <c r="F77" i="10"/>
  <c r="E77" i="10"/>
  <c r="F36" i="10"/>
  <c r="E31" i="10"/>
  <c r="F19" i="21"/>
  <c r="E72" i="8"/>
  <c r="E74" i="8"/>
  <c r="D23" i="3"/>
  <c r="F18" i="21"/>
  <c r="D22" i="3"/>
  <c r="E30" i="8"/>
  <c r="F36" i="8"/>
  <c r="E35" i="8"/>
  <c r="E75" i="34"/>
  <c r="F54" i="21"/>
  <c r="D57" i="3"/>
  <c r="E72" i="34"/>
  <c r="E77" i="34"/>
  <c r="F76" i="34"/>
  <c r="F17" i="21"/>
  <c r="E57" i="57"/>
  <c r="F56" i="57"/>
  <c r="E52" i="57"/>
  <c r="D12" i="65"/>
  <c r="G69" i="11"/>
  <c r="G32" i="13"/>
  <c r="G30" i="8"/>
  <c r="G69" i="8"/>
  <c r="G31" i="10"/>
  <c r="G72" i="10"/>
  <c r="G31" i="34"/>
  <c r="G31" i="12"/>
  <c r="G71" i="13"/>
  <c r="G109" i="7"/>
  <c r="G31" i="11"/>
  <c r="G70" i="12"/>
  <c r="G52" i="57"/>
  <c r="G98" i="7"/>
  <c r="G20" i="12"/>
  <c r="E22" i="13"/>
  <c r="E38" i="13" s="1"/>
  <c r="E40" i="13" s="1"/>
  <c r="E20" i="13" s="1"/>
  <c r="G21" i="13"/>
  <c r="E20" i="44"/>
  <c r="E61" i="13"/>
  <c r="E77" i="13" s="1"/>
  <c r="E79" i="13" s="1"/>
  <c r="G60" i="13"/>
  <c r="C96" i="8"/>
  <c r="D6" i="8"/>
  <c r="D22" i="8" s="1"/>
  <c r="D32" i="8" s="1"/>
  <c r="G23" i="8"/>
  <c r="C20" i="8"/>
  <c r="C95" i="8"/>
  <c r="B35" i="8" s="1"/>
  <c r="B18" i="21"/>
  <c r="B33" i="8"/>
  <c r="H29" i="8"/>
  <c r="H28" i="8"/>
  <c r="H32" i="8"/>
  <c r="H31" i="8"/>
  <c r="E52" i="21"/>
  <c r="G73" i="13" s="1"/>
  <c r="E20" i="58"/>
  <c r="C52" i="21"/>
  <c r="C55" i="21" s="1"/>
  <c r="H65" i="10"/>
  <c r="G14" i="10"/>
  <c r="H25" i="10"/>
  <c r="D5" i="54"/>
  <c r="D36" i="54" s="1"/>
  <c r="G55" i="10"/>
  <c r="H22" i="10"/>
  <c r="B89" i="58"/>
  <c r="H19" i="10"/>
  <c r="E5" i="10"/>
  <c r="D5" i="10"/>
  <c r="H66" i="10"/>
  <c r="B44" i="58"/>
  <c r="B58" i="15"/>
  <c r="D5" i="15"/>
  <c r="D34" i="15" s="1"/>
  <c r="B60" i="54"/>
  <c r="C43" i="10"/>
  <c r="D43" i="10"/>
  <c r="C39" i="10"/>
  <c r="B82" i="58"/>
  <c r="H62" i="10"/>
  <c r="H20" i="10"/>
  <c r="G58" i="10"/>
  <c r="B34" i="10"/>
  <c r="C5" i="15"/>
  <c r="C34" i="15" s="1"/>
  <c r="H63" i="10"/>
  <c r="H21" i="10"/>
  <c r="H60" i="10"/>
  <c r="E5" i="54"/>
  <c r="E36" i="54" s="1"/>
  <c r="C80" i="10"/>
  <c r="C5" i="10"/>
  <c r="H61" i="10"/>
  <c r="G10" i="10"/>
  <c r="E21" i="34" l="1"/>
  <c r="G20" i="34" s="1"/>
  <c r="E110" i="7"/>
  <c r="D19" i="3"/>
  <c r="D56" i="3" s="1"/>
  <c r="D58" i="3" s="1"/>
  <c r="E107" i="7"/>
  <c r="F15" i="21"/>
  <c r="F15" i="64"/>
  <c r="F52" i="64" s="1"/>
  <c r="F55" i="64" s="1"/>
  <c r="F57" i="64" s="1"/>
  <c r="F113" i="7"/>
  <c r="B15" i="64"/>
  <c r="B52" i="64" s="1"/>
  <c r="B55" i="64" s="1"/>
  <c r="B57" i="64" s="1"/>
  <c r="B15" i="21"/>
  <c r="G102" i="7"/>
  <c r="C107" i="7"/>
  <c r="C133" i="7"/>
  <c r="B112" i="7" s="1"/>
  <c r="E6" i="34"/>
  <c r="E22" i="34" s="1"/>
  <c r="E38" i="34" s="1"/>
  <c r="E40" i="34" s="1"/>
  <c r="E21" i="3" s="1"/>
  <c r="G19" i="34"/>
  <c r="D99" i="34"/>
  <c r="G19" i="10"/>
  <c r="D99" i="10"/>
  <c r="E6" i="10"/>
  <c r="E22" i="10" s="1"/>
  <c r="E37" i="10" s="1"/>
  <c r="E39" i="10" s="1"/>
  <c r="E20" i="10" s="1"/>
  <c r="D73" i="9"/>
  <c r="C73" i="9"/>
  <c r="B73" i="9"/>
  <c r="B37" i="10"/>
  <c r="D74" i="57"/>
  <c r="B58" i="57" s="1"/>
  <c r="G40" i="57"/>
  <c r="E6" i="57"/>
  <c r="E29" i="57" s="1"/>
  <c r="E58" i="57" s="1"/>
  <c r="E60" i="57" s="1"/>
  <c r="D62" i="19"/>
  <c r="E37" i="19"/>
  <c r="E47" i="19" s="1"/>
  <c r="E59" i="19" s="1"/>
  <c r="E61" i="19" s="1"/>
  <c r="E44" i="10"/>
  <c r="E62" i="10" s="1"/>
  <c r="D101" i="10"/>
  <c r="B78" i="10" s="1"/>
  <c r="G60" i="10"/>
  <c r="D61" i="17"/>
  <c r="E35" i="17"/>
  <c r="E45" i="17" s="1"/>
  <c r="E58" i="17" s="1"/>
  <c r="E60" i="17" s="1"/>
  <c r="C61" i="16"/>
  <c r="D35" i="16"/>
  <c r="D45" i="16" s="1"/>
  <c r="D58" i="16" s="1"/>
  <c r="C95" i="11"/>
  <c r="D6" i="11"/>
  <c r="D22" i="11" s="1"/>
  <c r="D33" i="11" s="1"/>
  <c r="D62" i="18"/>
  <c r="E37" i="18"/>
  <c r="E47" i="18" s="1"/>
  <c r="E59" i="18" s="1"/>
  <c r="E61" i="18" s="1"/>
  <c r="D48" i="38"/>
  <c r="E6" i="38"/>
  <c r="E19" i="38" s="1"/>
  <c r="E45" i="38" s="1"/>
  <c r="E47" i="38" s="1"/>
  <c r="E6" i="15"/>
  <c r="E16" i="15" s="1"/>
  <c r="E27" i="15" s="1"/>
  <c r="E29" i="15" s="1"/>
  <c r="D30" i="15"/>
  <c r="E6" i="19"/>
  <c r="E17" i="19" s="1"/>
  <c r="E29" i="19" s="1"/>
  <c r="E31" i="19" s="1"/>
  <c r="D32" i="19"/>
  <c r="D30" i="17"/>
  <c r="E6" i="17"/>
  <c r="E16" i="17" s="1"/>
  <c r="E27" i="17" s="1"/>
  <c r="E29" i="17" s="1"/>
  <c r="E6" i="18"/>
  <c r="E17" i="18" s="1"/>
  <c r="E29" i="18" s="1"/>
  <c r="E31" i="18" s="1"/>
  <c r="D32" i="18"/>
  <c r="D32" i="53"/>
  <c r="E6" i="53"/>
  <c r="E17" i="53" s="1"/>
  <c r="E29" i="53" s="1"/>
  <c r="E31" i="53" s="1"/>
  <c r="D37" i="54"/>
  <c r="D47" i="54" s="1"/>
  <c r="D59" i="54" s="1"/>
  <c r="C62" i="54"/>
  <c r="D99" i="12"/>
  <c r="B76" i="12" s="1"/>
  <c r="E44" i="12"/>
  <c r="E61" i="12" s="1"/>
  <c r="E76" i="12" s="1"/>
  <c r="E78" i="12" s="1"/>
  <c r="E59" i="12" s="1"/>
  <c r="G58" i="12"/>
  <c r="B75" i="11"/>
  <c r="B37" i="12"/>
  <c r="G57" i="11"/>
  <c r="E44" i="11"/>
  <c r="E60" i="11" s="1"/>
  <c r="E75" i="11" s="1"/>
  <c r="E77" i="11" s="1"/>
  <c r="D97" i="11"/>
  <c r="E6" i="37"/>
  <c r="E19" i="37" s="1"/>
  <c r="E45" i="37" s="1"/>
  <c r="E47" i="37" s="1"/>
  <c r="D48" i="37"/>
  <c r="C133" i="9"/>
  <c r="D32" i="54"/>
  <c r="E6" i="54"/>
  <c r="E17" i="54" s="1"/>
  <c r="E29" i="54" s="1"/>
  <c r="E31" i="54" s="1"/>
  <c r="G19" i="12"/>
  <c r="D97" i="12"/>
  <c r="E6" i="12"/>
  <c r="E22" i="12" s="1"/>
  <c r="C109" i="7"/>
  <c r="C65" i="7"/>
  <c r="D101" i="34"/>
  <c r="G68" i="34"/>
  <c r="E45" i="34"/>
  <c r="E62" i="34" s="1"/>
  <c r="E78" i="34" s="1"/>
  <c r="E80" i="34" s="1"/>
  <c r="E60" i="34" s="1"/>
  <c r="B29" i="41"/>
  <c r="K18" i="41"/>
  <c r="B78" i="34"/>
  <c r="B52" i="21"/>
  <c r="B55" i="21" s="1"/>
  <c r="B57" i="21" s="1"/>
  <c r="D30" i="16"/>
  <c r="E6" i="16"/>
  <c r="E16" i="16" s="1"/>
  <c r="E27" i="16" s="1"/>
  <c r="E29" i="16" s="1"/>
  <c r="K29" i="40"/>
  <c r="B30" i="40"/>
  <c r="C48" i="35"/>
  <c r="D6" i="35"/>
  <c r="D19" i="35" s="1"/>
  <c r="D45" i="35" s="1"/>
  <c r="C98" i="8"/>
  <c r="D30" i="14"/>
  <c r="E6" i="14"/>
  <c r="E16" i="14" s="1"/>
  <c r="E27" i="14" s="1"/>
  <c r="E29" i="14" s="1"/>
  <c r="D61" i="14"/>
  <c r="E35" i="14"/>
  <c r="E45" i="14" s="1"/>
  <c r="E58" i="14" s="1"/>
  <c r="E60" i="14" s="1"/>
  <c r="B38" i="34"/>
  <c r="E35" i="15"/>
  <c r="E45" i="15" s="1"/>
  <c r="E57" i="15" s="1"/>
  <c r="E59" i="15" s="1"/>
  <c r="D60" i="15"/>
  <c r="E37" i="12"/>
  <c r="E39" i="12" s="1"/>
  <c r="E20" i="12" s="1"/>
  <c r="E78" i="10"/>
  <c r="E80" i="10" s="1"/>
  <c r="E60" i="10" s="1"/>
  <c r="E20" i="34"/>
  <c r="G21" i="34"/>
  <c r="K21" i="34" s="1"/>
  <c r="H17" i="64"/>
  <c r="F52" i="21"/>
  <c r="F55" i="21" s="1"/>
  <c r="F57" i="21" s="1"/>
  <c r="G26" i="64"/>
  <c r="H26" i="64" s="1"/>
  <c r="G26" i="21"/>
  <c r="H26" i="21" s="1"/>
  <c r="G30" i="13" s="1"/>
  <c r="G22" i="13"/>
  <c r="K22" i="13" s="1"/>
  <c r="E30" i="3"/>
  <c r="G27" i="64"/>
  <c r="H27" i="64" s="1"/>
  <c r="G27" i="21"/>
  <c r="H27" i="21" s="1"/>
  <c r="G69" i="13" s="1"/>
  <c r="G61" i="13"/>
  <c r="K61" i="13" s="1"/>
  <c r="E31" i="3"/>
  <c r="E59" i="13"/>
  <c r="G23" i="13"/>
  <c r="G26" i="13" s="1"/>
  <c r="G72" i="12"/>
  <c r="G34" i="13"/>
  <c r="G71" i="11"/>
  <c r="G33" i="12"/>
  <c r="G74" i="10"/>
  <c r="G33" i="11"/>
  <c r="G71" i="8"/>
  <c r="G33" i="10"/>
  <c r="G57" i="8"/>
  <c r="E43" i="8"/>
  <c r="E59" i="8" s="1"/>
  <c r="E75" i="8" s="1"/>
  <c r="E77" i="8" s="1"/>
  <c r="D98" i="8"/>
  <c r="B75" i="8" s="1"/>
  <c r="D96" i="8"/>
  <c r="G18" i="8"/>
  <c r="E6" i="8"/>
  <c r="E22" i="8" s="1"/>
  <c r="E36" i="8" s="1"/>
  <c r="E38" i="8" s="1"/>
  <c r="B36" i="8"/>
  <c r="G54" i="57"/>
  <c r="G32" i="8"/>
  <c r="G111" i="7"/>
  <c r="E55" i="21"/>
  <c r="M47" i="21"/>
  <c r="M55" i="21" s="1"/>
  <c r="G33" i="34"/>
  <c r="G17" i="64" l="1"/>
  <c r="G25" i="21"/>
  <c r="H25" i="21" s="1"/>
  <c r="G68" i="12" s="1"/>
  <c r="G60" i="12"/>
  <c r="K60" i="12" s="1"/>
  <c r="E29" i="3"/>
  <c r="G25" i="64"/>
  <c r="H25" i="64" s="1"/>
  <c r="G23" i="64"/>
  <c r="H23" i="64" s="1"/>
  <c r="G59" i="11"/>
  <c r="K59" i="11" s="1"/>
  <c r="E27" i="3"/>
  <c r="E58" i="11"/>
  <c r="G23" i="21"/>
  <c r="H23" i="21" s="1"/>
  <c r="G67" i="11" s="1"/>
  <c r="G16" i="64"/>
  <c r="H16" i="64" s="1"/>
  <c r="G16" i="21"/>
  <c r="H16" i="21"/>
  <c r="G50" i="57" s="1"/>
  <c r="E20" i="3"/>
  <c r="E27" i="57"/>
  <c r="G42" i="57"/>
  <c r="K42" i="57" s="1"/>
  <c r="G60" i="11"/>
  <c r="G63" i="11" s="1"/>
  <c r="E6" i="11"/>
  <c r="E22" i="11" s="1"/>
  <c r="E37" i="11" s="1"/>
  <c r="E39" i="11" s="1"/>
  <c r="E20" i="11" s="1"/>
  <c r="D95" i="11"/>
  <c r="G19" i="11"/>
  <c r="G62" i="10"/>
  <c r="K62" i="10" s="1"/>
  <c r="B30" i="41"/>
  <c r="K29" i="41"/>
  <c r="B37" i="11"/>
  <c r="H20" i="21"/>
  <c r="G29" i="10" s="1"/>
  <c r="G21" i="10"/>
  <c r="E24" i="3"/>
  <c r="G20" i="64"/>
  <c r="H20" i="64" s="1"/>
  <c r="G20" i="21"/>
  <c r="D61" i="16"/>
  <c r="E35" i="16"/>
  <c r="E45" i="16" s="1"/>
  <c r="E58" i="16" s="1"/>
  <c r="E60" i="16" s="1"/>
  <c r="D62" i="54"/>
  <c r="E37" i="54"/>
  <c r="E47" i="54" s="1"/>
  <c r="E59" i="54" s="1"/>
  <c r="E61" i="54" s="1"/>
  <c r="E25" i="3"/>
  <c r="G21" i="21"/>
  <c r="H21" i="21" s="1"/>
  <c r="G70" i="10" s="1"/>
  <c r="D7" i="7"/>
  <c r="D56" i="7" s="1"/>
  <c r="C134" i="7"/>
  <c r="H17" i="21"/>
  <c r="G17" i="21"/>
  <c r="G15" i="58"/>
  <c r="G20" i="58" s="1"/>
  <c r="D22" i="58" s="1"/>
  <c r="F31" i="58" s="1"/>
  <c r="F40" i="34" s="1"/>
  <c r="D48" i="35"/>
  <c r="E6" i="35"/>
  <c r="E19" i="35" s="1"/>
  <c r="E45" i="35" s="1"/>
  <c r="E47" i="35" s="1"/>
  <c r="G21" i="12"/>
  <c r="K21" i="12" s="1"/>
  <c r="E28" i="3"/>
  <c r="G24" i="21"/>
  <c r="H24" i="21" s="1"/>
  <c r="G29" i="12" s="1"/>
  <c r="H24" i="64"/>
  <c r="G24" i="64"/>
  <c r="G21" i="64"/>
  <c r="H21" i="64" s="1"/>
  <c r="G22" i="34"/>
  <c r="G25" i="34" s="1"/>
  <c r="G62" i="13"/>
  <c r="G65" i="13" s="1"/>
  <c r="G61" i="12"/>
  <c r="G64" i="12" s="1"/>
  <c r="E57" i="3"/>
  <c r="G70" i="34"/>
  <c r="G54" i="64"/>
  <c r="H54" i="64" s="1"/>
  <c r="I53" i="64" s="1"/>
  <c r="G54" i="21"/>
  <c r="H54" i="21" s="1"/>
  <c r="G18" i="64"/>
  <c r="H18" i="64" s="1"/>
  <c r="G19" i="64"/>
  <c r="H19" i="64"/>
  <c r="G18" i="21"/>
  <c r="H18" i="21" s="1"/>
  <c r="E22" i="3"/>
  <c r="E20" i="8"/>
  <c r="G20" i="8"/>
  <c r="K20" i="8" s="1"/>
  <c r="E23" i="3"/>
  <c r="G59" i="8"/>
  <c r="K59" i="8" s="1"/>
  <c r="G19" i="21"/>
  <c r="H19" i="21" s="1"/>
  <c r="G67" i="8" s="1"/>
  <c r="E57" i="8"/>
  <c r="G43" i="57" l="1"/>
  <c r="G46" i="57" s="1"/>
  <c r="G22" i="64"/>
  <c r="H22" i="64" s="1"/>
  <c r="D109" i="7"/>
  <c r="D65" i="7"/>
  <c r="G27" i="58"/>
  <c r="E28" i="58" s="1"/>
  <c r="D29" i="58" s="1"/>
  <c r="G29" i="34"/>
  <c r="G21" i="11"/>
  <c r="K21" i="11" s="1"/>
  <c r="G63" i="10"/>
  <c r="G66" i="10" s="1"/>
  <c r="E21" i="58"/>
  <c r="G22" i="21"/>
  <c r="H22" i="21" s="1"/>
  <c r="G29" i="11" s="1"/>
  <c r="E26" i="3"/>
  <c r="G22" i="10"/>
  <c r="G25" i="10" s="1"/>
  <c r="K21" i="10"/>
  <c r="G22" i="12"/>
  <c r="G25" i="12" s="1"/>
  <c r="G21" i="8"/>
  <c r="G24" i="8" s="1"/>
  <c r="I53" i="21"/>
  <c r="G78" i="34"/>
  <c r="J78" i="34" s="1"/>
  <c r="K70" i="34"/>
  <c r="G71" i="34"/>
  <c r="G74" i="34" s="1"/>
  <c r="G60" i="8"/>
  <c r="G63" i="8" s="1"/>
  <c r="G28" i="8"/>
  <c r="E7" i="7" l="1"/>
  <c r="E56" i="7" s="1"/>
  <c r="G97" i="7"/>
  <c r="D134" i="7"/>
  <c r="B113" i="7" s="1"/>
  <c r="G22" i="11"/>
  <c r="G25" i="11" s="1"/>
  <c r="F80" i="34"/>
  <c r="F79" i="34" s="1"/>
  <c r="E65" i="7" l="1"/>
  <c r="E113" i="7"/>
  <c r="E115" i="7" s="1"/>
  <c r="G15" i="64" l="1"/>
  <c r="G52" i="64" s="1"/>
  <c r="E19" i="3"/>
  <c r="E56" i="3" s="1"/>
  <c r="E58" i="3" s="1"/>
  <c r="G15" i="21"/>
  <c r="G99" i="7"/>
  <c r="E54" i="7"/>
  <c r="H15" i="64"/>
  <c r="H52" i="64" s="1"/>
  <c r="H15" i="21" l="1"/>
  <c r="G52" i="21"/>
  <c r="H55" i="64"/>
  <c r="M65" i="64"/>
  <c r="J67" i="64" s="1"/>
  <c r="M60" i="64"/>
  <c r="K99" i="7"/>
  <c r="G100" i="7"/>
  <c r="G103" i="7" s="1"/>
  <c r="M54" i="64"/>
  <c r="M56" i="64" s="1"/>
  <c r="G55" i="64"/>
  <c r="M63" i="64"/>
  <c r="M49" i="64" l="1"/>
  <c r="J49" i="64" s="1"/>
  <c r="M50" i="64"/>
  <c r="J50" i="64" s="1"/>
  <c r="M63" i="21"/>
  <c r="M54" i="21"/>
  <c r="M56" i="21" s="1"/>
  <c r="G55" i="21"/>
  <c r="G107" i="7"/>
  <c r="H52" i="21"/>
  <c r="H55" i="21" l="1"/>
  <c r="G70" i="8"/>
  <c r="J73" i="8" s="1"/>
  <c r="G75" i="8" s="1"/>
  <c r="G32" i="10"/>
  <c r="J35" i="10" s="1"/>
  <c r="G37" i="10" s="1"/>
  <c r="G53" i="57"/>
  <c r="J56" i="57" s="1"/>
  <c r="G58" i="57" s="1"/>
  <c r="G32" i="34"/>
  <c r="J35" i="34" s="1"/>
  <c r="G37" i="34" s="1"/>
  <c r="G31" i="8"/>
  <c r="J34" i="8" s="1"/>
  <c r="G36" i="8" s="1"/>
  <c r="G12" i="65"/>
  <c r="G72" i="13"/>
  <c r="J75" i="13" s="1"/>
  <c r="G77" i="13" s="1"/>
  <c r="G70" i="11"/>
  <c r="J73" i="11" s="1"/>
  <c r="G75" i="11" s="1"/>
  <c r="M60" i="21"/>
  <c r="M65" i="21"/>
  <c r="J67" i="21" s="1"/>
  <c r="G71" i="12"/>
  <c r="J74" i="12" s="1"/>
  <c r="G76" i="12" s="1"/>
  <c r="G33" i="13"/>
  <c r="J36" i="13" s="1"/>
  <c r="G38" i="13" s="1"/>
  <c r="G32" i="11"/>
  <c r="J35" i="11" s="1"/>
  <c r="G37" i="11" s="1"/>
  <c r="G32" i="12"/>
  <c r="J35" i="12" s="1"/>
  <c r="G37" i="12" s="1"/>
  <c r="G110" i="7"/>
  <c r="J113" i="7" s="1"/>
  <c r="G115" i="7" s="1"/>
  <c r="G73" i="10"/>
  <c r="J76" i="10" s="1"/>
  <c r="G78" i="10" s="1"/>
  <c r="M49" i="21"/>
  <c r="J49" i="21" s="1"/>
  <c r="M50" i="21"/>
  <c r="J50" i="21" s="1"/>
</calcChain>
</file>

<file path=xl/sharedStrings.xml><?xml version="1.0" encoding="utf-8"?>
<sst xmlns="http://schemas.openxmlformats.org/spreadsheetml/2006/main" count="2262" uniqueCount="998">
  <si>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</si>
  <si>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</si>
  <si>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</si>
  <si>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Attest:_____________________,</t>
  </si>
  <si>
    <t>Funds</t>
  </si>
  <si>
    <t>Budget Authority</t>
  </si>
  <si>
    <t xml:space="preserve">expenditure amounts should reflect the amended </t>
  </si>
  <si>
    <t>expenditure amounts.</t>
  </si>
  <si>
    <t>Neighborhood Revitalization Rebate</t>
  </si>
  <si>
    <t>Miscellaneous</t>
  </si>
  <si>
    <t>Cash Balance Jan 1</t>
  </si>
  <si>
    <t>Employee Benefits</t>
  </si>
  <si>
    <t xml:space="preserve">Employee Benefits </t>
  </si>
  <si>
    <t>28. Added to all budgeted fund pages the budget authority for the actual year, budget violation, and cash violation.</t>
  </si>
  <si>
    <t>29. Added instruction on the addition for item 29.</t>
  </si>
  <si>
    <t>The following were changed to this spreadsheet on 5/08/08</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</si>
  <si>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</si>
  <si>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</si>
  <si>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</si>
  <si>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</si>
  <si>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</si>
  <si>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</si>
  <si>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</si>
  <si>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</si>
  <si>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</si>
  <si>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4. All tax levy fund pages abbreviated the non-appropriated, total expenditures/non-appropriated, and delinquency computation rate.</t>
  </si>
  <si>
    <t>4. Changed foot note to reflect the changes made on 7/1/08 to the above tabs.</t>
  </si>
  <si>
    <t>10. Changed the Bond &amp; Interest tab (B&amp;I) to Debt Service tab (DebtService).</t>
  </si>
  <si>
    <t>11. Changed the revised date on all pages changed.</t>
  </si>
  <si>
    <t xml:space="preserve">Ad Valorem Tax </t>
  </si>
  <si>
    <t>The following were changed to this spreadsheet on 7/01/08</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</si>
  <si>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</si>
  <si>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</si>
  <si>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</si>
  <si>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</si>
  <si>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</si>
  <si>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</si>
  <si>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</si>
  <si>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</si>
  <si>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</si>
  <si>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</si>
  <si>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Page</t>
  </si>
  <si>
    <t>Table of Contents:</t>
  </si>
  <si>
    <t>No.</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</si>
  <si>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</si>
  <si>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</si>
  <si>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</si>
  <si>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</si>
  <si>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</si>
  <si>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</si>
  <si>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</si>
  <si>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</si>
  <si>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</si>
  <si>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</si>
  <si>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</si>
  <si>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</si>
  <si>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</si>
  <si>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</si>
  <si>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</si>
  <si>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</si>
  <si>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</si>
  <si>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</si>
  <si>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</si>
  <si>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</si>
  <si>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</si>
  <si>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</si>
  <si>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</si>
  <si>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</si>
  <si>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</si>
  <si>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</si>
  <si>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</si>
  <si>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</si>
  <si>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</si>
  <si>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</si>
  <si>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</si>
  <si>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</si>
  <si>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</si>
  <si>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</si>
  <si>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</si>
  <si>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</si>
  <si>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</si>
  <si>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</si>
  <si>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</si>
  <si>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</si>
  <si>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</si>
  <si>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</si>
  <si>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</si>
  <si>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</si>
  <si>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</si>
  <si>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</si>
  <si>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</si>
  <si>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</si>
  <si>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</si>
  <si>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</si>
  <si>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</si>
  <si>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</si>
  <si>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</si>
  <si>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</si>
  <si>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</si>
  <si>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</si>
  <si>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</si>
  <si>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</si>
  <si>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</si>
  <si>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</si>
  <si>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</si>
  <si>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</si>
  <si>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</si>
  <si>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</si>
  <si>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</si>
  <si>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</si>
  <si>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</si>
  <si>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</si>
  <si>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</si>
  <si>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</si>
  <si>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</si>
  <si>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</si>
  <si>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</si>
  <si>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</si>
  <si>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</si>
  <si>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</si>
  <si>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</si>
  <si>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</si>
  <si>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</si>
  <si>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</si>
  <si>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</si>
  <si>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</si>
  <si>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</si>
  <si>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</si>
  <si>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</si>
  <si>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</si>
  <si>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</si>
  <si>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16/20M Vehicle Factor</t>
  </si>
  <si>
    <t>16/20M Vehicle Tax</t>
  </si>
  <si>
    <t>Gross Earning (Intangible) Tax</t>
  </si>
  <si>
    <t>Special Highway</t>
  </si>
  <si>
    <t>State of Kansas Gas Tax</t>
  </si>
  <si>
    <t>Balance On</t>
  </si>
  <si>
    <t xml:space="preserve">  Real Estate</t>
  </si>
  <si>
    <t xml:space="preserve">  State Assessed</t>
  </si>
  <si>
    <t xml:space="preserve">  New Improvements</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</si>
  <si>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</si>
  <si>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</si>
  <si>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</si>
  <si>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</si>
  <si>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</si>
  <si>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</si>
  <si>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</si>
  <si>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</si>
  <si>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</si>
  <si>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</si>
  <si>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</si>
  <si>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</si>
  <si>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</si>
  <si>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</si>
  <si>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</si>
  <si>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</si>
  <si>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</si>
  <si>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</si>
  <si>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</si>
  <si>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</si>
  <si>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</si>
  <si>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</si>
  <si>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</si>
  <si>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</si>
  <si>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</si>
  <si>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</si>
  <si>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</si>
  <si>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</si>
  <si>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 xml:space="preserve">   </t>
  </si>
  <si>
    <t>10-113</t>
  </si>
  <si>
    <t xml:space="preserve">  G.O. Bonds</t>
  </si>
  <si>
    <t xml:space="preserve">  Revenue Bonds</t>
  </si>
  <si>
    <t xml:space="preserve">  Other</t>
  </si>
  <si>
    <t xml:space="preserve">  Lease Purchase Principal</t>
  </si>
  <si>
    <t>Other (non-tax levy) fund names:</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</si>
  <si>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</si>
  <si>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</si>
  <si>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</si>
  <si>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</si>
  <si>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</si>
  <si>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</si>
  <si>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</si>
  <si>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</si>
  <si>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</si>
  <si>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</si>
  <si>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</si>
  <si>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</si>
  <si>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</si>
  <si>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</si>
  <si>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</si>
  <si>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</si>
  <si>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</si>
  <si>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</si>
  <si>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Non-Budgeted Funds-C</t>
  </si>
  <si>
    <t>Non-Budgeted Funds-D</t>
  </si>
  <si>
    <t>Non-Budgeted Funds-B</t>
  </si>
  <si>
    <t>Non-Budgeted Funds-A</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</si>
  <si>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</si>
  <si>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</si>
  <si>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</si>
  <si>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</si>
  <si>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</si>
  <si>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</si>
  <si>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</si>
  <si>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</si>
  <si>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</si>
  <si>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</si>
  <si>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</si>
  <si>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</si>
  <si>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</si>
  <si>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</si>
  <si>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</si>
  <si>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</si>
  <si>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</si>
  <si>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</si>
  <si>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</si>
  <si>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</si>
  <si>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</si>
  <si>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</si>
  <si>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t>
  </si>
  <si>
    <t>**Note: The two bold yellow figures should agree.</t>
  </si>
  <si>
    <t>**Note: These two block figures should agree.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</si>
  <si>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</si>
  <si>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</si>
  <si>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 xml:space="preserve">4.  All dates on the spreadsheet are controlled from input on the input Prior Year page. </t>
  </si>
  <si>
    <t>14. Changed the Certificate page so the county name flows instead of having unneeded spaces.</t>
  </si>
  <si>
    <t>The following were changed to this spreadsheet on 2/23/09</t>
  </si>
  <si>
    <t>The following were changed to this spreadsheet on 3/19/09</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</si>
  <si>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</si>
  <si>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</si>
  <si>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</si>
  <si>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</si>
  <si>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</si>
  <si>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</si>
  <si>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</si>
  <si>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</si>
  <si>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</si>
  <si>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</si>
  <si>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</si>
  <si>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</si>
  <si>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</si>
  <si>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</si>
  <si>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</si>
  <si>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</si>
  <si>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</si>
  <si>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</si>
  <si>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</si>
  <si>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</si>
  <si>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</si>
  <si>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</si>
  <si>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</si>
  <si>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</si>
  <si>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</si>
  <si>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</si>
  <si>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</si>
  <si>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</si>
  <si>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</si>
  <si>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</si>
  <si>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</si>
  <si>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</si>
  <si>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</si>
  <si>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</si>
  <si>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</si>
  <si>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</si>
  <si>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</si>
  <si>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</si>
  <si>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</si>
  <si>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</si>
  <si>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</si>
  <si>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</si>
  <si>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</si>
  <si>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</si>
  <si>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</si>
  <si>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</si>
  <si>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</si>
  <si>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</si>
  <si>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</si>
  <si>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</si>
  <si>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</si>
  <si>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</si>
  <si>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</si>
  <si>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</si>
  <si>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</si>
  <si>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</si>
  <si>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</si>
  <si>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</si>
  <si>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Date:</t>
  </si>
  <si>
    <t>Time:</t>
  </si>
  <si>
    <t>Location:</t>
  </si>
  <si>
    <t>Available at:</t>
  </si>
  <si>
    <t>7:00 PM or 7:00 AM</t>
  </si>
  <si>
    <t>City Hall</t>
  </si>
  <si>
    <t>1. Instruction tab, added step 3 for 'inputBudSum'</t>
  </si>
  <si>
    <t>2. Added tab 'inputBudSum'</t>
  </si>
  <si>
    <t>3. Changed Budget Summary replacing the green areas for date/time/location so info comes from inputBudSum tab</t>
  </si>
  <si>
    <t>Possible Budget Law Violation</t>
  </si>
  <si>
    <t>Can the potential violation be corrected at this time?</t>
  </si>
  <si>
    <t>What should I do?</t>
  </si>
  <si>
    <t>available).</t>
  </si>
  <si>
    <t>Is amending the budget an option?</t>
  </si>
  <si>
    <t>Thank you.</t>
  </si>
  <si>
    <t>Possible Cash Basis Law Violation</t>
  </si>
  <si>
    <t xml:space="preserve">Is this a violation?  </t>
  </si>
  <si>
    <t>What if K.S.A. 10-1116 applies?</t>
  </si>
  <si>
    <t>avoid a cash basis law violation.</t>
  </si>
  <si>
    <t>Options</t>
  </si>
  <si>
    <t>Current Year - Possible Budget Law Violation</t>
  </si>
  <si>
    <t>What should I do at this time?</t>
  </si>
  <si>
    <t>Current Year - Possible Cash Basis Law Violation</t>
  </si>
  <si>
    <t>fund.</t>
  </si>
  <si>
    <t>Should this be fixed?</t>
  </si>
  <si>
    <t>you will want your ending cash balance to be $0.</t>
  </si>
  <si>
    <t>Should this be fixed before we adopt the budget?</t>
  </si>
  <si>
    <t>How do I fix the violation?</t>
  </si>
  <si>
    <t>Is there a benefit to having a positive cash balance?</t>
  </si>
  <si>
    <t>answering objections of taxpayers relating to the proposed use of all funds and the amount of ad valorem tax.</t>
  </si>
  <si>
    <t>4. Deleted lines on Budget Summary reference in #3</t>
  </si>
  <si>
    <t>the Neighborhood Revitalization Rebate table.</t>
  </si>
  <si>
    <t>*Note:</t>
  </si>
  <si>
    <t>Expenditure</t>
  </si>
  <si>
    <t>Receipt</t>
  </si>
  <si>
    <t xml:space="preserve">Fund Transferred </t>
  </si>
  <si>
    <t>Fund Transferred</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</si>
  <si>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</si>
  <si>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</si>
  <si>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</si>
  <si>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</si>
  <si>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</si>
  <si>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</si>
  <si>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</si>
  <si>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</si>
  <si>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</si>
  <si>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</si>
  <si>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</si>
  <si>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Recreation</t>
  </si>
  <si>
    <t>12-1927</t>
  </si>
  <si>
    <t>Totals for City</t>
  </si>
  <si>
    <t>Imposed Levy Limit (City's Historical Records)</t>
  </si>
  <si>
    <t>Fund Name</t>
  </si>
  <si>
    <t>Mill Rate Limit</t>
  </si>
  <si>
    <t>Ordinance Number:</t>
  </si>
  <si>
    <t>for Expenditures</t>
  </si>
  <si>
    <t>Helpful Links</t>
  </si>
  <si>
    <t>Municipal Services (Kansas Department of Administration, Accounts and Reports) – Budget forms, confirmation of payments, transfer statutes, non-budgeted fund statutes, etc.</t>
  </si>
  <si>
    <t>State Debt Setoff Program (Kansas Department of Administration, Accounts and Reports) – Passive collection tool to assist municipalities with collection of unpaid utility bills, etc.</t>
  </si>
  <si>
    <t>Kansas Legislature – Kansas Statutes (usually updated in January), House and Senate Bills, etc.</t>
  </si>
  <si>
    <t>Kansas Attorney General Opinions</t>
  </si>
  <si>
    <t>Kansas Department of Revenue</t>
  </si>
  <si>
    <t>Kansas Department of Revenue – Property Valuation</t>
  </si>
  <si>
    <t>Kansas Pooled Money Investment Board – Investment of Idle Funds in the Municipal Investment Pool</t>
  </si>
  <si>
    <t>1. All pages removed the revision date</t>
  </si>
  <si>
    <t>2. All tax levy fund pages reduced the columns and revised the bottom of pages for see tabs</t>
  </si>
  <si>
    <t>Totals Includes Recreation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</si>
  <si>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</si>
  <si>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</si>
  <si>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</si>
  <si>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</si>
  <si>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</si>
  <si>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</si>
  <si>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estimated value of one mill would be:</t>
  </si>
  <si>
    <t>Change in Ad Valorem Tax Revenue:</t>
  </si>
  <si>
    <t>What Mill Rate Would Be Desired?</t>
  </si>
  <si>
    <t>Official Title:</t>
  </si>
  <si>
    <t>City Clerk, City Treasurer, Mayor</t>
  </si>
  <si>
    <t>Compensating Use Tax</t>
  </si>
  <si>
    <t>Local Sales Tax</t>
  </si>
  <si>
    <t>Franchise Tax</t>
  </si>
  <si>
    <t>Licenses</t>
  </si>
  <si>
    <t>Desired Carryover Amount:</t>
  </si>
  <si>
    <t>Estimated Mill Rate Impact:</t>
  </si>
  <si>
    <t>Does miscellaneous exceed 10% Total Rec</t>
  </si>
  <si>
    <t>Does miscellaneous exceed 10% Total Exp</t>
  </si>
  <si>
    <t>Does miscellanous exceed 10% Total Exp</t>
  </si>
  <si>
    <t>1. Summ tab changed proposed year expenditure column to 'Budget Authority for Expenditures'</t>
  </si>
  <si>
    <t>Library</t>
  </si>
  <si>
    <t>12-1220</t>
  </si>
  <si>
    <t>Official Name:</t>
  </si>
  <si>
    <t xml:space="preserve">Prior Year </t>
  </si>
  <si>
    <t xml:space="preserve">Current Year </t>
  </si>
  <si>
    <t xml:space="preserve">Proposed Budget </t>
  </si>
  <si>
    <t>Expenditures Must Be Changed by:</t>
  </si>
  <si>
    <t>Mill Rate Comparison</t>
  </si>
  <si>
    <t>WORKSHEET FOR STATE GRANT-IN-AID TO PUBLIC LIBRARIES AND</t>
  </si>
  <si>
    <t>REGIONAL LIBRARY SYSTEMS</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</si>
  <si>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</si>
  <si>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</si>
  <si>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</si>
  <si>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</si>
  <si>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</si>
  <si>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</si>
  <si>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</si>
  <si>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</si>
  <si>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</si>
  <si>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</si>
  <si>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</si>
  <si>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</si>
  <si>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</si>
  <si>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</si>
  <si>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</si>
  <si>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</si>
  <si>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</si>
  <si>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</si>
  <si>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</si>
  <si>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</si>
  <si>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</si>
  <si>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</si>
  <si>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</si>
  <si>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</si>
  <si>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</si>
  <si>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</si>
  <si>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</si>
  <si>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</si>
  <si>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</si>
  <si>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</si>
  <si>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</si>
  <si>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</si>
  <si>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</si>
  <si>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</si>
  <si>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</si>
  <si>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</si>
  <si>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</si>
  <si>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</si>
  <si>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</si>
  <si>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</si>
  <si>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</si>
  <si>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</si>
  <si>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</si>
  <si>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</si>
  <si>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</si>
  <si>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</si>
  <si>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</si>
  <si>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</si>
  <si>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</si>
  <si>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</si>
  <si>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 xml:space="preserve"> Debt</t>
  </si>
  <si>
    <t>Type of</t>
  </si>
  <si>
    <t xml:space="preserve"> Purchased</t>
  </si>
  <si>
    <t>Items</t>
  </si>
  <si>
    <t>Email:</t>
  </si>
  <si>
    <t>________________________  __________________________</t>
  </si>
  <si>
    <t>Allocation of MVT, RVT, 16/20M Vehicle Tax</t>
  </si>
  <si>
    <t>Delinquency % used in this budget will be shown on all fund pages with a tax levy**</t>
  </si>
  <si>
    <t>Expenditures Must Be Changed By:</t>
  </si>
  <si>
    <t xml:space="preserve">Amounts used in lieu of </t>
  </si>
  <si>
    <t>Prior Year</t>
  </si>
  <si>
    <t>Proposed Budget</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</si>
  <si>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</si>
  <si>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</si>
  <si>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</si>
  <si>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</si>
  <si>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</si>
  <si>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</si>
  <si>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</si>
  <si>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</si>
  <si>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</si>
  <si>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</si>
  <si>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</si>
  <si>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</si>
  <si>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</si>
  <si>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</si>
  <si>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</si>
  <si>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</si>
  <si>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</si>
  <si>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</si>
  <si>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</si>
  <si>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</si>
  <si>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</si>
  <si>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</si>
  <si>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</si>
  <si>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</si>
  <si>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</si>
  <si>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</si>
  <si>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</si>
  <si>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</si>
  <si>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</si>
  <si>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</si>
  <si>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</si>
  <si>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</si>
  <si>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</si>
  <si>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</si>
  <si>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1. Library Grant tab, updated State Library e-mail contact address</t>
  </si>
  <si>
    <t>1. Corrected addition computation in column D, inputPrYr tab</t>
  </si>
  <si>
    <t>1.  Added "ordinance required?  yes/no" message to area adjacent to each tax levy fund</t>
  </si>
  <si>
    <t>1.  Instruction tab narrative modification</t>
  </si>
  <si>
    <t>1.  "Budget Authority Amount" cell added to budget year column of all funds.</t>
  </si>
  <si>
    <t>1.  Several changes to workbook associated with 2014 HB 2047.</t>
  </si>
  <si>
    <t>The following changes were made to this workbook on 3/21/13</t>
  </si>
  <si>
    <t>The following changes were made to this workbook on 10/8/12</t>
  </si>
  <si>
    <t>The following changes were made to this workbook on 4/10/12</t>
  </si>
  <si>
    <t>The following changes were made to this workbook on 2/22/12</t>
  </si>
  <si>
    <t>The following changes were made to this workbook on 8/16/11</t>
  </si>
  <si>
    <t>The following changes were made to this workbook on 4/19/11</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</si>
  <si>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</si>
  <si>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</si>
  <si>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</si>
  <si>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</si>
  <si>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7/9/14</t>
  </si>
  <si>
    <t>1.  Correction to formula in cell j44 of the computation tab worksheet.</t>
  </si>
  <si>
    <t>1.  Update of State Library contact name on library grant tab.</t>
  </si>
  <si>
    <t>Input Sheet for City2 with Recreation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</si>
  <si>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</si>
  <si>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</si>
  <si>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</si>
  <si>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</si>
  <si>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</si>
  <si>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</si>
  <si>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</si>
  <si>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Commercial Vehicle Tax Estimate</t>
  </si>
  <si>
    <t>Watercraft Tax Estimate</t>
  </si>
  <si>
    <t xml:space="preserve">Ad Valorem Levy </t>
  </si>
  <si>
    <t>Comm Veh</t>
  </si>
  <si>
    <t>Watercraft</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</si>
  <si>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</si>
  <si>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</si>
  <si>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</si>
  <si>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</si>
  <si>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</si>
  <si>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</si>
  <si>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</si>
  <si>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</si>
  <si>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 xml:space="preserve">Allocation of MV, RV, 16/20M, Commercial Vehicle, and Watercraft Tax Estimates </t>
  </si>
  <si>
    <t>1.  Various workbook changes associated with commercial vehicle and watercraft tax estimates.</t>
  </si>
  <si>
    <t>The following changes were made to this workbook on 1/21/15</t>
  </si>
  <si>
    <t>1.  Inserted 2014 CPI percentage on computation tab.</t>
  </si>
  <si>
    <t>2.  Corrected formula in cell d24 of library grant tab.</t>
  </si>
  <si>
    <t>1.  Inserted 2015 CPI percentage on computation tab.</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</si>
  <si>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</si>
  <si>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</si>
  <si>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</si>
  <si>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 xml:space="preserve">CPA Summary </t>
  </si>
  <si>
    <t>CPA Summary</t>
  </si>
  <si>
    <t>Expiration of Property Tax Abatements</t>
  </si>
  <si>
    <t>The following changes were made to this workbook during April 2018</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</si>
  <si>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</si>
  <si>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</si>
  <si>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</si>
  <si>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</si>
  <si>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</si>
  <si>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</si>
  <si>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</si>
  <si>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</si>
  <si>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Alice.Smith@ks.gov</t>
  </si>
  <si>
    <t>1. CPI Percentages were entered for the 2021 budget year</t>
  </si>
  <si>
    <t xml:space="preserve">2. Combined percentage/revenue adjustment computation for tax lid into "Comp1", added "If/then" statement at bottom of comp tab to direct users on following steps. </t>
  </si>
  <si>
    <t>3. Comp2 is now the other limit determination tests (Property Decline and Lost Valuation)</t>
  </si>
  <si>
    <t>4. Updated the Helpful Links to correct weblinks</t>
  </si>
  <si>
    <t>5. Used format painter to make all pages consistent in color and layout</t>
  </si>
  <si>
    <t>Revenue Neutral Rate</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</si>
  <si>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</si>
  <si>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</si>
  <si>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</si>
  <si>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</si>
  <si>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</si>
  <si>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</si>
  <si>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</si>
  <si>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</si>
  <si>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</si>
  <si>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</si>
  <si>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</si>
  <si>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</si>
  <si>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</si>
  <si>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</si>
  <si>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</si>
  <si>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</si>
  <si>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</si>
  <si>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</si>
  <si>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</si>
  <si>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</si>
  <si>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</si>
  <si>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</si>
  <si>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</si>
  <si>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</si>
  <si>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</si>
  <si>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</si>
  <si>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</si>
  <si>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</si>
  <si>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</si>
  <si>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</si>
  <si>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</si>
  <si>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</si>
  <si>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</si>
  <si>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</si>
  <si>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</si>
  <si>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</si>
  <si>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</si>
  <si>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</si>
  <si>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</si>
  <si>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</si>
  <si>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</si>
  <si>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</si>
  <si>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</si>
  <si>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</si>
  <si>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</si>
  <si>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</si>
  <si>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</si>
  <si>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</si>
  <si>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</si>
  <si>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</si>
  <si>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</si>
  <si>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</si>
  <si>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</si>
  <si>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</si>
  <si>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</si>
  <si>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</si>
  <si>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</si>
  <si>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</si>
  <si>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</si>
  <si>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</si>
  <si>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</si>
  <si>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</si>
  <si>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</si>
  <si>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</si>
  <si>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</si>
  <si>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</si>
  <si>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</si>
  <si>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</si>
  <si>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</si>
  <si>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</si>
  <si>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</si>
  <si>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</si>
  <si>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</si>
  <si>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</si>
  <si>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</si>
  <si>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</si>
  <si>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</si>
  <si>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</si>
  <si>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</si>
  <si>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</si>
  <si>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</si>
  <si>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</si>
  <si>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</si>
  <si>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</si>
  <si>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From Municipal Services Website (Budget Workbooks and Tax Estimates)</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</si>
  <si>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</si>
  <si>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</si>
  <si>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</si>
  <si>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August 12, 2022</t>
  </si>
  <si>
    <t>Budget Hearing Notice Only</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</si>
  <si>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</si>
  <si>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</si>
  <si>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</si>
  <si>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</si>
  <si>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</si>
  <si>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</si>
  <si>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</si>
  <si>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</si>
  <si>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***If leasing/renting with no intent to purchase, do not list--such transactions are not lease-purchases.</t>
  </si>
  <si>
    <r>
      <t xml:space="preserve">As provided in KSA 75-2553 </t>
    </r>
    <r>
      <rPr>
        <i/>
        <sz val="12"/>
        <rFont val="Times New Roman"/>
        <family val="1"/>
      </rPr>
      <t xml:space="preserve">et seq., </t>
    </r>
    <r>
      <rPr>
        <sz val="12"/>
        <rFont val="Times New Roman"/>
        <family val="1"/>
      </rPr>
      <t>two tests are used to determine eligibility for State Library Grant.  If the grant is approved, then the municipality's library will be paid the grant on February 15 of  each year.</t>
    </r>
  </si>
  <si>
    <t>Estimated Mill Rate &amp;
 Revenue Neutral Rate Comparison</t>
  </si>
  <si>
    <t>Revenue Neutral Rate (KSA 79-2988)</t>
  </si>
  <si>
    <t>Is a rate hearing/resolution required:</t>
  </si>
  <si>
    <t>City Revenue Neutral Rate (excluding Recreation Commission)**</t>
  </si>
  <si>
    <t>**Revenue Neutral Rate as defined by KSA 79-2988</t>
  </si>
  <si>
    <t>Proposed Estimated Tax Rate*</t>
  </si>
  <si>
    <t xml:space="preserve">Is rate hearing/resolution required to exceed Revenue Neutral Rate? </t>
  </si>
  <si>
    <t>NOTICE OF HEARING TO EXCEED REVENUE NEUTRAL RATE AND BUDGET HEARING</t>
  </si>
  <si>
    <t xml:space="preserve">answering objections of taxpayers relating to the proposed use of all funds, the amount of ad valorem tax and the Revenue Neutral Rate. </t>
  </si>
  <si>
    <t>NOTICE OF HEARING TO EXCEED REVENUE NEUTRAL RATE</t>
  </si>
  <si>
    <t>answering objections of taxpayers relating to revenue neutral rate and proposed tax rate, as required by KSA 79-2988.</t>
  </si>
  <si>
    <t>SUPPORTING COUNTIES</t>
  </si>
  <si>
    <t>Revenue Neutral Rate*</t>
  </si>
  <si>
    <t>Proposed Tax Rate</t>
  </si>
  <si>
    <t>Tax Rates are expressed in mills</t>
  </si>
  <si>
    <t>* Revenue Netural Rate as defined by KSA 79-2988</t>
  </si>
  <si>
    <t>Tab A</t>
  </si>
  <si>
    <t>Tab B</t>
  </si>
  <si>
    <t>Tab C</t>
  </si>
  <si>
    <t>Tab D</t>
  </si>
  <si>
    <t>Tab E</t>
  </si>
  <si>
    <t>https://admin.ks.gov/offices/accounts-reports/local-government/municipal-services</t>
  </si>
  <si>
    <t>https://admin.ks.gov/offices/accounts-reports/state-agencies/finance/setoff-program</t>
  </si>
  <si>
    <t>League of Kansas Municipalities</t>
  </si>
  <si>
    <t>https://www.lkm.org/</t>
  </si>
  <si>
    <t>http://www.kslegislature.org/li/</t>
  </si>
  <si>
    <t>https://ag.ks.gov/media-center/ag-opinions</t>
  </si>
  <si>
    <t>Kansas State Treasurer</t>
  </si>
  <si>
    <t>https://www.kansasstatetreasurer.com/fin_serv.html</t>
  </si>
  <si>
    <t>https://www.ksrevenue.gov/</t>
  </si>
  <si>
    <t>https://www.ksrevenue.gov/pvdindex.html</t>
  </si>
  <si>
    <t>https://pooledmoneyinvestmentboard.com/</t>
  </si>
  <si>
    <t>The following changes were made to this workbook during February 2022</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</si>
  <si>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</si>
  <si>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</si>
  <si>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</si>
  <si>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</si>
  <si>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</si>
  <si>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</si>
  <si>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</si>
  <si>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</si>
  <si>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</si>
  <si>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Final Tax Rate (County Clerk's Use Only)</t>
  </si>
  <si>
    <t>Budget Hearing Notice</t>
  </si>
  <si>
    <t>Combined Rate and Budget Hearing Notice</t>
  </si>
  <si>
    <t>RNR Hearing Notice</t>
  </si>
  <si>
    <t xml:space="preserve">Neighborhood Revitalization </t>
  </si>
  <si>
    <t xml:space="preserve">City Revenue Neutral Rate </t>
  </si>
  <si>
    <t>Totals Including Recreation</t>
  </si>
  <si>
    <t xml:space="preserve">Note: When entering the RNR, only enter the RNR for the city's funds (and library, if applicable). Recreation Commissions levying under KSA 12-1927 should hold their own RNR hearing and should not be considered part of the city's RNR. </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</si>
  <si>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</si>
  <si>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</si>
  <si>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</si>
  <si>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</si>
  <si>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</si>
  <si>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</si>
  <si>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</si>
  <si>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Resolution No. ______</t>
  </si>
  <si>
    <t>A RESOLUTION OF THE CITY OF __________, KANSAS TO LEVY A PROPERTY TAX RATE EXCEEDING THE REVENUE NEUTRAL RATE;</t>
  </si>
  <si>
    <r>
      <t xml:space="preserve">           </t>
    </r>
    <r>
      <rPr>
        <b/>
        <sz val="12"/>
        <rFont val="Times New Roman"/>
        <family val="1"/>
      </rPr>
      <t>WHEREAS</t>
    </r>
    <r>
      <rPr>
        <sz val="12"/>
        <rFont val="Times New Roman"/>
        <family val="1"/>
      </rPr>
      <t>, the Revenue Neutral Rate for the City of __________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</si>
  <si>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City of __________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</si>
  <si>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</si>
  <si>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City of ____________, having heard testimony, still finds it necessary to exceed the Revenue Neutral Rate.</t>
    </r>
  </si>
  <si>
    <t xml:space="preserve">          NOW, THEREFORE, BE IT RESOLVED BY THE GOVERNING BODY OF THE CITY OF __________:</t>
  </si>
  <si>
    <t xml:space="preserve">          The City of _________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</si>
  <si>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</si>
  <si>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Mayor.</t>
    </r>
  </si>
  <si>
    <t xml:space="preserve">          _____________________________</t>
  </si>
  <si>
    <t xml:space="preserve">          Mayor</t>
  </si>
  <si>
    <t xml:space="preserve">          Attested:</t>
  </si>
  <si>
    <t xml:space="preserve">          ______________________________</t>
  </si>
  <si>
    <t xml:space="preserve">          City Clerk</t>
  </si>
  <si>
    <t xml:space="preserve">e. If the city is levying for a recreation commission (under the provisions of KSA 12-1927), the city will enter the recreation commission information in the fields on row 29. </t>
  </si>
  <si>
    <t xml:space="preserve">c. If the city levies a tax for a recreation commission (under the provisions of KSA 12-1927) and has established a local mill rate limitation, the requested information should be entered on row 6.  </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</si>
  <si>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</si>
  <si>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</si>
  <si>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</si>
  <si>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</si>
  <si>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</si>
  <si>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</si>
  <si>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</si>
  <si>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</si>
  <si>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</si>
  <si>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 xml:space="preserve">In short, you are looking at a potential budget law violation. However, the good news is that you </t>
  </si>
  <si>
    <t>may have options available that will allow you to avoid a budget law violation.</t>
  </si>
  <si>
    <r>
      <t xml:space="preserve">If the municipality financial records have </t>
    </r>
    <r>
      <rPr>
        <b/>
        <u/>
        <sz val="12"/>
        <rFont val="Times New Roman"/>
        <family val="1"/>
      </rPr>
      <t>not been</t>
    </r>
    <r>
      <rPr>
        <sz val="12"/>
        <rFont val="Times New Roman"/>
        <family val="1"/>
      </rPr>
      <t xml:space="preserve"> closed (i.e. an audit has not been completed,</t>
    </r>
  </si>
  <si>
    <t>can be fixed before submission of the budget to the county clerk.</t>
  </si>
  <si>
    <t xml:space="preserve">First, review the input page information (inputPrYr tab) to ensure that the correct amount was </t>
  </si>
  <si>
    <t>higher budget amount?</t>
  </si>
  <si>
    <t>are you showing any transfers from this fund to another?  If so, consider whether you can reduce</t>
  </si>
  <si>
    <t>or eliminate one or more transfers.</t>
  </si>
  <si>
    <t>showing the reimbursement as a receipt, show the reimbursement as a negative expenditure.</t>
  </si>
  <si>
    <t>Another option is to consider whether your fund shares expenditures with another fund.  For</t>
  </si>
  <si>
    <t xml:space="preserve"> example, your electric and water funds may split salaries between the two funds.  If one of those </t>
  </si>
  <si>
    <t>funds is in trouble, you might be able to allocate a little more in salaries to the healthy fund in order</t>
  </si>
  <si>
    <t>to eliminate the violation (but be sure that the healthy fund has sufficient budget authority and cash</t>
  </si>
  <si>
    <t xml:space="preserve">The shifting of expenditures between funds, as described in the preceding paragraph, can be </t>
  </si>
  <si>
    <t>accomplished between any funds that share expenses.</t>
  </si>
  <si>
    <t>Finally, if your general fund is healthy - it has enough budget authority and cash - then it might be</t>
  </si>
  <si>
    <t>used to cover the excess expenditures. (AGO No. 85-181)</t>
  </si>
  <si>
    <t>Amending the budget is a timing issue.  In order to amend the budget, you must have the complete</t>
  </si>
  <si>
    <t>amending process completed before the end of the calandar year.  If you start at the beginning of</t>
  </si>
  <si>
    <t>December, then you should have enough time to amend the budget.  But, if started during the middle</t>
  </si>
  <si>
    <t>of December, then you might not have enough time to complete the amending process.  Remember</t>
  </si>
  <si>
    <t xml:space="preserve">the complete processing must be completed on or before the end of December and you must have </t>
  </si>
  <si>
    <t xml:space="preserve">at least 10 days between when published in local newspaper and when the budget hearing is held. </t>
  </si>
  <si>
    <t>So, if your local newspaper only publishes once a week or bi-weekly, then there might not be time</t>
  </si>
  <si>
    <t>enough to have the 10 day requirement between publication and the hearing.</t>
  </si>
  <si>
    <t xml:space="preserve">Amending the budget can be done at any time during the budgeted year.  But, amending the budget </t>
  </si>
  <si>
    <t>should take place before the expenditures exceed the budget authority.</t>
  </si>
  <si>
    <t>No punitive action will be taken as a result of the violation, but you should determine what caused</t>
  </si>
  <si>
    <t>the violation and take steps to avoid future violations of this nature.</t>
  </si>
  <si>
    <t>finished the year with a negative unencumbered cash balance in this fund.</t>
  </si>
  <si>
    <t>However, the good news is that you may have one or more options available that will allow you to</t>
  </si>
  <si>
    <t>Hopefully not. The first thing that you might do is to review K.S.A. 10-1116 to see if your fund</t>
  </si>
  <si>
    <t xml:space="preserve">might be one of those for which a negative cash balance is permitted. </t>
  </si>
  <si>
    <t xml:space="preserve">If the fund falls into one of the categories, then a cash basis law violation has not occurred. Please </t>
  </si>
  <si>
    <t>annotate to the left of the 'See Tab B' as follows:  "10-1116 applies."</t>
  </si>
  <si>
    <r>
      <t xml:space="preserve">What if K.S.A. 10-1116 </t>
    </r>
    <r>
      <rPr>
        <b/>
        <i/>
        <sz val="12"/>
        <rFont val="Times New Roman"/>
        <family val="1"/>
      </rPr>
      <t>does not</t>
    </r>
    <r>
      <rPr>
        <b/>
        <sz val="12"/>
        <rFont val="Times New Roman"/>
        <family val="1"/>
      </rPr>
      <t xml:space="preserve"> apply?</t>
    </r>
  </si>
  <si>
    <t xml:space="preserve">If the fund does not fall into one of the categories, then let's explore your options (below) to see if </t>
  </si>
  <si>
    <t>we can help you avoid a cash basis law violation.</t>
  </si>
  <si>
    <t xml:space="preserve">need to be increased (transfer from another fund) or your expenditures will need to be decreased </t>
  </si>
  <si>
    <t>(shifting of expenditures to another fund), or a combination of the two.</t>
  </si>
  <si>
    <t>Increasing your receipts through one or more transfers is contingent upon the available cash, budget</t>
  </si>
  <si>
    <t>authority, and statutory authority for the transfer from the fund or funds from which one or more</t>
  </si>
  <si>
    <t>transfers might be made.</t>
  </si>
  <si>
    <t xml:space="preserve">Another option for you to consider is the shifting of expenditures from this fund to another fund. </t>
  </si>
  <si>
    <t xml:space="preserve">Again, the fund to which expenditures are shifted must have available cash and budget authority in </t>
  </si>
  <si>
    <t xml:space="preserve">order to absorb the additional expenditures.  </t>
  </si>
  <si>
    <t>What if K.S.A. 10-1116 does not apply and no options are available to me?</t>
  </si>
  <si>
    <t xml:space="preserve">Unfortunately, under this scenario you are pretty much stuck with a cash basis law violation.  </t>
  </si>
  <si>
    <t>However, you can accept the violation as a learning tool to help you prevent violations in the future.</t>
  </si>
  <si>
    <t>Regular reviews of current year budget performance, especially from the end of the third quarter on,</t>
  </si>
  <si>
    <t xml:space="preserve">might allow you to determine in a timely fashion whether an increase in revenue or a decrease in </t>
  </si>
  <si>
    <t>expenditures is going to be needed before the end of the fiscal year in order to ensure that a fund</t>
  </si>
  <si>
    <t>finishes the year in good shape.</t>
  </si>
  <si>
    <t xml:space="preserve">In addition to the options discussed above, during the later part of the year if a utility fund or the </t>
  </si>
  <si>
    <t>general fund has the cash, but not the budget authority, amending the budget might be done in order</t>
  </si>
  <si>
    <t>to increase budget authority so that a transfer can then be made to the struggling fund or, in the case</t>
  </si>
  <si>
    <t xml:space="preserve">of the general fund, there can be a shifting of expenditures from the struggling fund to the general </t>
  </si>
  <si>
    <t xml:space="preserve">If, in the future, you choose to amend the budget as described in the paragraph above, please </t>
  </si>
  <si>
    <t>remember that the amendment must occur before the end of the fiscal year.</t>
  </si>
  <si>
    <t>In short, you are looking at a potential budget law violation if you truly end up the year as your</t>
  </si>
  <si>
    <t>current estimates reflect.  The good news is that you have an early indication of possible issues which</t>
  </si>
  <si>
    <t>can be addressed sooner rather than later.</t>
  </si>
  <si>
    <t xml:space="preserve">Should the potential for a violation be corrected at this time? </t>
  </si>
  <si>
    <t xml:space="preserve">be necessary to ensure that your expenditures do not, at year-end, exceed your budget authority for </t>
  </si>
  <si>
    <t>this fund.</t>
  </si>
  <si>
    <t xml:space="preserve">Well, the easiest thing to do at this time is to increase any underestimated revenue numbers, or </t>
  </si>
  <si>
    <t>decrease any overestimated expenditure numbers, or a combination of the two.</t>
  </si>
  <si>
    <t>What if I check my estimates and find that we're still on pace for a budget law violation?</t>
  </si>
  <si>
    <t xml:space="preserve">are you showing any transfers from this fund to another?  If so, consider whether you can reduce or </t>
  </si>
  <si>
    <t>eliminate one or more transfers.</t>
  </si>
  <si>
    <t>the reimbursement as a receipt, show the reimbursement as a negative expenditure.</t>
  </si>
  <si>
    <t>Another option is to consider whether your fund shares expenditures with another fund.  For example,</t>
  </si>
  <si>
    <t>your electric and water funds may split salaries between the two funds.  If one of those funds is in</t>
  </si>
  <si>
    <t xml:space="preserve">trouble you might be able to allocate a little more in salaries to the healthy fund in order to eliminate </t>
  </si>
  <si>
    <t xml:space="preserve">the potential violation (be sure, though, that the healthy fund has sufficient budget authority and cash </t>
  </si>
  <si>
    <t xml:space="preserve">A sometimes overlooked option is to use your general fund to cover the excess expenditures, </t>
  </si>
  <si>
    <t>assuming that general fund is not the one that's in trouble and that it has the budget authority and cash</t>
  </si>
  <si>
    <t>to absorb additional expenditures.</t>
  </si>
  <si>
    <t>Finally, If none of the above options can be applied and the fund has an unencumbered cash balance</t>
  </si>
  <si>
    <t>which will cover the estimated overage, the budget can be amended before the end of the fiscal year.</t>
  </si>
  <si>
    <t>Remember, the amendment process must occur before the end of the fiscal year.</t>
  </si>
  <si>
    <t>If the fund does not have enough ending cash so that an amendment will cover the expected overage,</t>
  </si>
  <si>
    <t>but another fund does have enough unemcumbered cash (along with budget authority and statutory</t>
  </si>
  <si>
    <t xml:space="preserve">authority to transfer to the fund with the potential budget law violation), go ahead and make the </t>
  </si>
  <si>
    <t>transfer and then amend the budget.</t>
  </si>
  <si>
    <t>that at the end of this year you will have a negative unencumbered cash balance in this fund.</t>
  </si>
  <si>
    <t>Yes. You don't want to end this year with a negative cash balance in the fund.  At a minimum</t>
  </si>
  <si>
    <t>Note: it is possible that this is one of those funds which may, under K.S.A. 10-1116, end the year</t>
  </si>
  <si>
    <t>with a negative cash balance, but otherwise you will want to make sure that it does not.</t>
  </si>
  <si>
    <t>The easiest thing to do at this time is to increase any underestimated revenue numbers, or decrease</t>
  </si>
  <si>
    <t>any overestimated expenditure numbers, or a combination of the two.</t>
  </si>
  <si>
    <t>Either your fund receipts will need to be increased before the end of the year (transfer from another</t>
  </si>
  <si>
    <t xml:space="preserve">fund) or your expenditures will need to be decreased before the end of the year (shifting of </t>
  </si>
  <si>
    <t>expenditures to another fund), or a combination of the two.</t>
  </si>
  <si>
    <r>
      <t xml:space="preserve">showing the reimbursement as a receipt, show the reimbursement as a negative </t>
    </r>
    <r>
      <rPr>
        <i/>
        <sz val="12"/>
        <rFont val="Times New Roman"/>
        <family val="1"/>
      </rPr>
      <t>expenditure.</t>
    </r>
  </si>
  <si>
    <t xml:space="preserve">Another option for you to consider is the shifting of expenditures from this fund to another fund.  </t>
  </si>
  <si>
    <t>Again, the fund to which expenditures are shifted must have available cash and budget authority</t>
  </si>
  <si>
    <t xml:space="preserve"> in order to absorb the additional expenditures.  </t>
  </si>
  <si>
    <t xml:space="preserve">On the revenue side of the fund you might increase your receipts through one or more transfers, </t>
  </si>
  <si>
    <t xml:space="preserve">contingent upon available cash, budget authority, and statutory authority for the transfer from the </t>
  </si>
  <si>
    <t>fund or funds from which one or more transfers might be made.</t>
  </si>
  <si>
    <t>assuming that the general fund is not the one that's in trouble and that it has the budget authority and</t>
  </si>
  <si>
    <t>cash to absorb additional expenditures.</t>
  </si>
  <si>
    <t>Proposed Budget Year - Possible Budget Law Violation No Levy Funds</t>
  </si>
  <si>
    <t>In short, you are looking at a budget law violation if you adopt a budget in which there exists a fund</t>
  </si>
  <si>
    <t>with a negative ending cash balance.</t>
  </si>
  <si>
    <t xml:space="preserve">Yes. Budget law mandates that fund expenditures shall balance with anticipated revenue. A fund </t>
  </si>
  <si>
    <t>ending cash balance should end either in $0 or a positive cash balance.</t>
  </si>
  <si>
    <t xml:space="preserve">The negative cash balance can be remedied by increasing the anticipated receipts or by reducing </t>
  </si>
  <si>
    <t>the proposed expenditures, or a combination of the two.</t>
  </si>
  <si>
    <t xml:space="preserve">If the municipality governing body chooses to adopt a budget whereby the no levy fund has a </t>
  </si>
  <si>
    <t xml:space="preserve">positive ending balance, that's okay.  But, we recommend that the fund be budgeted to end with a </t>
  </si>
  <si>
    <t>$0 balance.</t>
  </si>
  <si>
    <t xml:space="preserve">Why?  Remember that no levy funds do not result in a levy of property tax dollars. So, there is no </t>
  </si>
  <si>
    <t>impimpact to the property taxpayer from a budget which utilizes all anticipated revenue in the</t>
  </si>
  <si>
    <t>upcoming year.</t>
  </si>
  <si>
    <t xml:space="preserve">The advantage of budgeting the no levy fund to end the budget year with a $0 balance is that it </t>
  </si>
  <si>
    <t>provides the municipality with maximum spending authority. In the event the municipality is faced with</t>
  </si>
  <si>
    <t>with unanticipated spending during the budget year it will not need to amend its budget to do so.</t>
  </si>
  <si>
    <r>
      <t xml:space="preserve">Note: by budgeting to $0, the municipality does not have to </t>
    </r>
    <r>
      <rPr>
        <i/>
        <sz val="12"/>
        <rFont val="Times New Roman"/>
        <family val="1"/>
      </rPr>
      <t>spend</t>
    </r>
    <r>
      <rPr>
        <sz val="12"/>
        <rFont val="Times New Roman"/>
        <family val="1"/>
      </rPr>
      <t xml:space="preserve"> down to $0, but the authority to </t>
    </r>
  </si>
  <si>
    <t>do so without a budget amendment is there in the event that a need to do so should arise.</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</si>
  <si>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</si>
  <si>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</si>
  <si>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</si>
  <si>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</si>
  <si>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</si>
  <si>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</si>
  <si>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</si>
  <si>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</si>
  <si>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</si>
  <si>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</si>
  <si>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</si>
  <si>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</si>
  <si>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</si>
  <si>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</si>
  <si>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</si>
  <si>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</si>
  <si>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</si>
  <si>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</si>
  <si>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</si>
  <si>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The following changes were made to this workbook during April 2023</t>
  </si>
  <si>
    <t xml:space="preserve">1. Made final Nov 1, 2023 assessed valuation fillable and added final rate formula by fund on the Certificate page. </t>
  </si>
  <si>
    <t>2. Added 'SAMPLE Roll Call to Exceed RNR' tab.</t>
  </si>
  <si>
    <t>3. Combined 'Mill Rate Computation' tab and 'Helpful Links' tab into new tab labeled 'Budget Tools.'</t>
  </si>
  <si>
    <t>4. Added explanation of how the Revenue Neutral Rate is calculated to 'Budget Tools' tab.</t>
  </si>
  <si>
    <t>5. Updated spacing and formatting to Tab A, Tab B, Tab C, Tab D and Tab E.</t>
  </si>
  <si>
    <t>10. Added RNR to Certificate Page</t>
  </si>
  <si>
    <t>5. Updated certificate/table of contents and page numbering for changes</t>
  </si>
  <si>
    <t>The following changes were made to this workbook during March 2020</t>
  </si>
  <si>
    <t>The following changes were made to this workbook during April 2019</t>
  </si>
  <si>
    <t>1.  Updated Municipal Services' contact information on the Instruction tab</t>
  </si>
  <si>
    <t xml:space="preserve">2.  Entered 2020 for the budget year and the applicable CPI percentages on the InputPrYr tab </t>
  </si>
  <si>
    <t>3.  Highlighted tab (pages) in blue if the page is to be printed and submitted as part of the budget</t>
  </si>
  <si>
    <t>4.  Added Remodeling and Rennovation to the New Improvements line on the InputOther tab</t>
  </si>
  <si>
    <t>5.  Added Remodeling and Rennovation to the New Improvements line on the Comp1 tab</t>
  </si>
  <si>
    <t>6.  Added Levy for Dissolved Taxing Entity on the Comp3 tab</t>
  </si>
  <si>
    <t>The following changes were made to this workbook on 1/27/2016</t>
  </si>
  <si>
    <t>The following changes were made to this workbook on 8/28/2015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</si>
  <si>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</si>
  <si>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</si>
  <si>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</si>
  <si>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</si>
  <si>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</si>
  <si>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</si>
  <si>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The following changes were made to this workbook on 9/22/14</t>
  </si>
  <si>
    <t>The following changes were made to this workbook on 9/16/14</t>
  </si>
  <si>
    <t>1.  Corrected the print margins of the general fund tab.</t>
  </si>
  <si>
    <t>The following changes were made to this workbook on 8/4/14</t>
  </si>
  <si>
    <t>The following changes were made to this workbook on 5/7/14</t>
  </si>
  <si>
    <t>The following changes were made to this workbook on 4/2/14</t>
  </si>
  <si>
    <t>The following changes were made to this workbook on 1/13/14</t>
  </si>
  <si>
    <t>1.  Corrected formulas for column totals on general fund detail page.</t>
  </si>
  <si>
    <t>The following changes were made to this workbook on 1/31/13</t>
  </si>
  <si>
    <t>1.  Corrected formula in cell e28 of Library Grant tab</t>
  </si>
  <si>
    <t>The following changes were made to this workbook on 3/22/12</t>
  </si>
  <si>
    <t>1. Concantenate at line 9 of the Certificate page changed to reference cell F1</t>
  </si>
  <si>
    <t>2. Corrected misspelling of word "limitations" on line 9 of the Certificate page.</t>
  </si>
  <si>
    <t>35. General tab, link page number with detail page number to show 7 without a library fund or 8 with a library fund</t>
  </si>
  <si>
    <t>The following changes were made to this workbook on 6/30/11</t>
  </si>
  <si>
    <t>1. Certificate page: supplied link to input prior year tab to pull statutory reference for tax levy fund (cell B23 on certificate page)</t>
  </si>
  <si>
    <t>The following changes were made to this workbook on 6/17/11</t>
  </si>
  <si>
    <t>1. Debt Service fund page: total receipts formula changed to eliminate reference to unencumbered cash (cell C6)</t>
  </si>
  <si>
    <t>2. Summary page: corrected cell reference in current year expenditures, cell D26</t>
  </si>
  <si>
    <t>The following changes were made to this workbook on 5/26/11</t>
  </si>
  <si>
    <t>1. Tabs level page 9 and 10 cell D32 formatting change reference C34 to D34 and cell D69 reference from C71 to D71</t>
  </si>
  <si>
    <t>The following changes were made to this workbook on 5/6/11</t>
  </si>
  <si>
    <t>1. Summary tab correct cells J28, J29, M28, and M29 as wrong cell reference and formula error</t>
  </si>
  <si>
    <t>2. Mvalloc/slider column cell corrections.</t>
  </si>
  <si>
    <t>The following changes were made to this workbook on 3/16/11</t>
  </si>
  <si>
    <t>1. DebtService tab corrected cell E20 total computation</t>
  </si>
  <si>
    <t>2. Mvalloc tab corrected table link with InputPrYr ad valorem taxes</t>
  </si>
  <si>
    <t>3. Debt Service tab corrected cell G34 from E21 to E20</t>
  </si>
  <si>
    <t>The following changes were made to this workbook on 8/20/10</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</si>
  <si>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</si>
  <si>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</si>
  <si>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</si>
  <si>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</si>
  <si>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</si>
  <si>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</si>
  <si>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</si>
  <si>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</si>
  <si>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</si>
  <si>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</si>
  <si>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</si>
  <si>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</si>
  <si>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</si>
  <si>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</si>
  <si>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</si>
  <si>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</si>
  <si>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</si>
  <si>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</si>
  <si>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</si>
  <si>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</si>
  <si>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</si>
  <si>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</si>
  <si>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</si>
  <si>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</si>
  <si>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</si>
  <si>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</si>
  <si>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2. SpecHwy and No Levy Page 12 tabs changed conditional statements</t>
  </si>
  <si>
    <t>9. Certificate tab moved the Assisted By: and added more lines for governing body signatures</t>
  </si>
  <si>
    <t>The following changes were made to this workbook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</si>
  <si>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</si>
  <si>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</si>
  <si>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</si>
  <si>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</si>
  <si>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t>The following changes were made to this workbook on 4/24/09</t>
  </si>
  <si>
    <t>1. Transfer tab - changed the column heading dates as had wrong reference cell</t>
  </si>
  <si>
    <t>1. Change Certificate page Bond &amp; Interest to Debt Service</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</si>
  <si>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</si>
  <si>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</si>
  <si>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</si>
  <si>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8/13/08</t>
  </si>
  <si>
    <t>3a. Made the total expenditures block for the actual and current year to turn 'Red' if violation occurs.</t>
  </si>
  <si>
    <t>6. Neighborhood Revitalization (nhood) took off the protection for the page number and made the estimate rebate round the figures to whole dollars.</t>
  </si>
  <si>
    <t>8. Added to the instruction page lines 11a - 11c to provide a little more insight for the Neighborhood Revitalization rebate.</t>
  </si>
  <si>
    <t>9. Added instruction line 2b to explain how to delete delinquency rate from tax levy fund pages.</t>
  </si>
  <si>
    <t>12. Added instruction lines 9j to 9l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</si>
  <si>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</si>
  <si>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</si>
  <si>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</si>
  <si>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</si>
  <si>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</si>
  <si>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</si>
  <si>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</si>
  <si>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1.Instruction were changed: POC change from Roger to ARMUNIS, got rid about us providing disk, took the input page and split to input prior budget information and input other, with more in-depth of forms and fund page, and more in-depth on the budget summary page.</t>
  </si>
  <si>
    <t>7. Added a single page for no tax levy fund page.</t>
  </si>
  <si>
    <t>11. Added Neighborhood Revitalization, LAVTR, City and County Revenue Sharing, and Slider to the input page and to the General Fund page.</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</si>
  <si>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</si>
  <si>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</si>
  <si>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</si>
  <si>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</si>
  <si>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</si>
  <si>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</si>
  <si>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</si>
  <si>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 xml:space="preserve">30. Added miscellaneous line item for receipt and expenditure and add line for "Exceed 10% Rule' and make the block red if exceeded. </t>
  </si>
  <si>
    <t xml:space="preserve">31. Added instructions for the 10% Rule. </t>
  </si>
  <si>
    <t>33. Expanded on the preparation of budget note 10 for instructions for the Notice of Budget Hearing.</t>
  </si>
  <si>
    <t>34. Added 'excluding oil, gas, and mobile homes' to lines 8 and 14 on Clerks budget info on tab inputoth.</t>
  </si>
  <si>
    <t>The following changes were made to this workbook during October 2023</t>
  </si>
  <si>
    <t>1. Removed external links to correct update issue in Tab A, Tab B, Tab C, Tab D and Tab E.</t>
  </si>
  <si>
    <t>1. Removed LAVTR from inputOth, Library Grant and General fund tabs.</t>
  </si>
  <si>
    <t>2. Removed City and County Revenue Sharing from inputOth and General fund tabs.</t>
  </si>
  <si>
    <t>3. Renamed Cash Forward/Cash-Basis Reserve to Cash Reserve on all fund pages.</t>
  </si>
  <si>
    <t>Does budget require a resolution to exceed the Revenue Neutral Rate?</t>
  </si>
  <si>
    <t>The following changes were made to this workbook during April-May 2024</t>
  </si>
  <si>
    <t>4. Added RNR Resolution YES/NO formula to certificate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</si>
</sst>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3" formatCode="_(* #,##0.00_);_(* \(#,##0.00\);_(* &quot;-&quot;??_);_(@_)"/>
    <numFmt numFmtId="164" formatCode="0.000_)"/>
    <numFmt numFmtId="165" formatCode="0.00000_)"/>
    <numFmt numFmtId="166" formatCode="0_)"/>
    <numFmt numFmtId="167" formatCode="m/d/yy"/>
    <numFmt numFmtId="168" formatCode="m/d"/>
    <numFmt numFmtId="169" formatCode="_(* #,##0_);_(* \(#,##0\);_(* &quot;-&quot;??_);_(@_)"/>
    <numFmt numFmtId="170" formatCode="0.000"/>
    <numFmt numFmtId="171" formatCode="#,##0.000"/>
    <numFmt numFmtId="172" formatCode="&quot;$&quot;#,##0"/>
    <numFmt numFmtId="173" formatCode="&quot;$&quot;#,##0.00"/>
    <numFmt numFmtId="174" formatCode="#,###"/>
    <numFmt numFmtId="175" formatCode="0.0%"/>
    <numFmt numFmtId="176" formatCode="#,##0.000_);[Red]\(#,##0.000\)"/>
    <numFmt numFmtId="177" formatCode="0.000_);[Red]\(0.000\)"/>
    <numFmt numFmtId="178" formatCode="0_);[Red]\(0\)"/>
  </numFmts>
  <fonts count="70" x14ac:knownFonts="1">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1"/>
      <name val="Times New Roman"/>
      <family val="1"/>
    </font>
    <font>
      <sz val="9"/>
      <name val="Times New Roman"/>
      <family val="1"/>
    </font>
    <font>
      <sz val="8"/>
      <name val="Courier"/>
      <family val="3"/>
    </font>
    <font>
      <u/>
      <sz val="12"/>
      <color indexed="12"/>
      <name val="Courier"/>
      <family val="3"/>
    </font>
    <font>
      <sz val="8"/>
      <name val="Times New Roman"/>
      <family val="1"/>
    </font>
    <font>
      <b/>
      <u/>
      <sz val="12"/>
      <name val="Times New Roman"/>
      <family val="1"/>
    </font>
    <font>
      <b/>
      <u/>
      <sz val="12"/>
      <color indexed="10"/>
      <name val="Times New Roman"/>
      <family val="1"/>
    </font>
    <font>
      <b/>
      <u/>
      <sz val="12"/>
      <name val="Courier"/>
      <family val="3"/>
    </font>
    <font>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sz val="12"/>
      <color indexed="10"/>
      <name val="Times New Roman"/>
      <family val="1"/>
    </font>
    <font>
      <b/>
      <u/>
      <sz val="8"/>
      <color indexed="10"/>
      <name val="Times New Roman"/>
      <family val="1"/>
    </font>
    <font>
      <sz val="12"/>
      <name val="Courier"/>
      <family val="3"/>
    </font>
    <font>
      <sz val="12"/>
      <name val="Courier New"/>
      <family val="3"/>
    </font>
    <font>
      <b/>
      <sz val="12"/>
      <name val="Courier"/>
      <family val="3"/>
    </font>
    <font>
      <sz val="12"/>
      <name val="Courier New"/>
      <family val="3"/>
    </font>
    <font>
      <b/>
      <u/>
      <sz val="8"/>
      <name val="Times New Roman"/>
      <family val="1"/>
    </font>
    <font>
      <sz val="9"/>
      <color indexed="10"/>
      <name val="Times New Roman"/>
      <family val="1"/>
    </font>
    <font>
      <b/>
      <sz val="13"/>
      <name val="Times New Roman"/>
      <family val="1"/>
    </font>
    <font>
      <u/>
      <sz val="12"/>
      <color indexed="12"/>
      <name val="Times New Roman"/>
      <family val="1"/>
    </font>
    <font>
      <sz val="10"/>
      <name val="Times New Roman"/>
      <family val="1"/>
    </font>
    <font>
      <b/>
      <u/>
      <sz val="10"/>
      <name val="Times New Roman"/>
      <family val="1"/>
    </font>
    <font>
      <b/>
      <sz val="10"/>
      <name val="Times New Roman"/>
      <family val="1"/>
    </font>
    <font>
      <sz val="10"/>
      <name val="Courier"/>
      <family val="3"/>
    </font>
    <font>
      <b/>
      <sz val="8"/>
      <color indexed="10"/>
      <name val="Times New Roman"/>
      <family val="1"/>
    </font>
    <font>
      <u/>
      <sz val="12"/>
      <color indexed="12"/>
      <name val="Courier New"/>
      <family val="3"/>
    </font>
    <font>
      <sz val="10"/>
      <color indexed="10"/>
      <name val="Times New Roman"/>
      <family val="1"/>
    </font>
    <font>
      <sz val="11"/>
      <color theme="1"/>
      <name val="Calibri"/>
      <family val="2"/>
      <scheme val="minor"/>
    </font>
    <font>
      <u/>
      <sz val="12"/>
      <color rgb="FFFF0000"/>
      <name val="Times New Roman"/>
      <family val="1"/>
    </font>
    <font>
      <b/>
      <u/>
      <sz val="12"/>
      <color theme="1"/>
      <name val="Times New Roman"/>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b/>
      <u/>
      <sz val="12"/>
      <color rgb="FFFF0000"/>
      <name val="Times New Roman"/>
      <family val="1"/>
    </font>
    <font>
      <u/>
      <vertAlign val="superscript"/>
      <sz val="12"/>
      <name val="Times New Roman"/>
      <family val="1"/>
    </font>
    <font>
      <sz val="11"/>
      <name val="Calibri"/>
      <family val="2"/>
    </font>
    <font>
      <sz val="7"/>
      <name val="Times New Roman"/>
      <family val="1"/>
    </font>
    <font>
      <b/>
      <sz val="16"/>
      <name val="Times New Roman"/>
      <family val="1"/>
    </font>
    <font>
      <b/>
      <u/>
      <sz val="16"/>
      <name val="Times New Roman"/>
      <family val="1"/>
    </font>
    <font>
      <sz val="14"/>
      <name val="Times New Roman"/>
      <family val="1"/>
    </font>
    <font>
      <b/>
      <sz val="14"/>
      <name val="Calibri"/>
      <family val="2"/>
      <scheme val="minor"/>
    </font>
    <font>
      <sz val="12"/>
      <name val="Calibri"/>
      <family val="2"/>
      <scheme val="minor"/>
    </font>
    <font>
      <u/>
      <sz val="12"/>
      <name val="Calibri"/>
      <family val="2"/>
      <scheme val="minor"/>
    </font>
    <font>
      <b/>
      <sz val="13"/>
      <name val="Calibri"/>
      <family val="2"/>
      <scheme val="minor"/>
    </font>
    <font>
      <b/>
      <sz val="12"/>
      <name val="Calibri"/>
      <family val="2"/>
      <scheme val="minor"/>
    </font>
    <font>
      <b/>
      <sz val="18"/>
      <name val="Times New Roman"/>
      <family val="1"/>
    </font>
    <font>
      <b/>
      <i/>
      <sz val="12"/>
      <name val="Times New Roman"/>
      <family val="1"/>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4"/>
      <name val="Cambria"/>
      <family val="1"/>
      <scheme val="major"/>
    </font>
  </fonts>
  <fills count="22">
    <fill>
      <patternFill patternType="none"/>
    </fill>
    <fill>
      <patternFill patternType="gray125"/>
    </fill>
    <fill>
      <patternFill patternType="solid">
        <fgColor indexed="26"/>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11"/>
      </patternFill>
    </fill>
    <fill>
      <patternFill patternType="solid">
        <fgColor indexed="43"/>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indexed="41"/>
        <bgColor indexed="64"/>
      </patternFill>
    </fill>
    <fill>
      <patternFill patternType="solid">
        <fgColor rgb="FFFFFF99"/>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69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522">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6"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7" fillId="0" borderId="0"/>
    <xf numFmtId="0" fontId="26"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9" fillId="0" borderId="0"/>
    <xf numFmtId="0" fontId="27" fillId="0" borderId="0"/>
    <xf numFmtId="0" fontId="27" fillId="0" borderId="0"/>
    <xf numFmtId="0" fontId="27" fillId="0" borderId="0"/>
    <xf numFmtId="0" fontId="27" fillId="0" borderId="0"/>
    <xf numFmtId="0" fontId="29" fillId="0" borderId="0"/>
    <xf numFmtId="0" fontId="27" fillId="0" borderId="0"/>
    <xf numFmtId="0" fontId="27" fillId="0" borderId="0"/>
    <xf numFmtId="0" fontId="27" fillId="0" borderId="0"/>
    <xf numFmtId="0" fontId="27" fillId="0" borderId="0"/>
    <xf numFmtId="0" fontId="29" fillId="0" borderId="0"/>
    <xf numFmtId="0" fontId="27" fillId="0" borderId="0"/>
    <xf numFmtId="0" fontId="27" fillId="0" borderId="0"/>
    <xf numFmtId="0" fontId="27" fillId="0" borderId="0"/>
    <xf numFmtId="0" fontId="27" fillId="0" borderId="0"/>
    <xf numFmtId="0" fontId="29" fillId="0" borderId="0"/>
    <xf numFmtId="0" fontId="27" fillId="0" borderId="0"/>
    <xf numFmtId="0" fontId="2" fillId="0" borderId="0"/>
    <xf numFmtId="0" fontId="27" fillId="0" borderId="0"/>
    <xf numFmtId="0" fontId="2" fillId="0" borderId="0"/>
    <xf numFmtId="0" fontId="2" fillId="0" borderId="0"/>
    <xf numFmtId="0" fontId="27" fillId="0" borderId="0"/>
    <xf numFmtId="0" fontId="27" fillId="0" borderId="0"/>
    <xf numFmtId="0" fontId="2" fillId="0" borderId="0"/>
    <xf numFmtId="0" fontId="2" fillId="0" borderId="0"/>
    <xf numFmtId="0" fontId="27" fillId="0" borderId="0"/>
    <xf numFmtId="0" fontId="29" fillId="0" borderId="0"/>
    <xf numFmtId="0" fontId="27" fillId="0" borderId="0"/>
    <xf numFmtId="0" fontId="2" fillId="0" borderId="0"/>
    <xf numFmtId="0" fontId="27"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 fillId="0" borderId="0"/>
    <xf numFmtId="0" fontId="2" fillId="0" borderId="0"/>
    <xf numFmtId="0" fontId="27"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7" fillId="0" borderId="0"/>
    <xf numFmtId="0" fontId="27" fillId="0" borderId="0"/>
    <xf numFmtId="0" fontId="27"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6"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7" fillId="0" borderId="0"/>
    <xf numFmtId="0" fontId="27" fillId="0" borderId="0"/>
    <xf numFmtId="0" fontId="2" fillId="0" borderId="0"/>
    <xf numFmtId="0" fontId="27" fillId="0" borderId="0"/>
    <xf numFmtId="0" fontId="26" fillId="0" borderId="0"/>
    <xf numFmtId="0" fontId="2" fillId="0" borderId="0"/>
    <xf numFmtId="0" fontId="2" fillId="0" borderId="0"/>
    <xf numFmtId="0" fontId="27" fillId="0" borderId="0"/>
    <xf numFmtId="0" fontId="27" fillId="0" borderId="0"/>
    <xf numFmtId="0" fontId="2" fillId="0" borderId="0"/>
    <xf numFmtId="0" fontId="27" fillId="0" borderId="0"/>
    <xf numFmtId="0" fontId="26" fillId="0" borderId="0"/>
    <xf numFmtId="0" fontId="2" fillId="0" borderId="0"/>
    <xf numFmtId="0" fontId="26"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6" fillId="0" borderId="0"/>
    <xf numFmtId="0" fontId="2" fillId="0" borderId="0"/>
    <xf numFmtId="0" fontId="27" fillId="0" borderId="0"/>
    <xf numFmtId="0" fontId="27" fillId="0" borderId="0"/>
    <xf numFmtId="0" fontId="2" fillId="0" borderId="0"/>
    <xf numFmtId="0" fontId="26" fillId="0" borderId="0"/>
    <xf numFmtId="0" fontId="2" fillId="0" borderId="0"/>
    <xf numFmtId="0" fontId="2" fillId="0" borderId="0"/>
    <xf numFmtId="0" fontId="27" fillId="0" borderId="0"/>
    <xf numFmtId="0" fontId="26" fillId="0" borderId="0"/>
    <xf numFmtId="0" fontId="2" fillId="0" borderId="0"/>
    <xf numFmtId="0" fontId="26" fillId="0" borderId="0"/>
    <xf numFmtId="0" fontId="2" fillId="0" borderId="0"/>
    <xf numFmtId="0" fontId="2" fillId="0" borderId="0"/>
    <xf numFmtId="0" fontId="27" fillId="0" borderId="0"/>
    <xf numFmtId="0" fontId="26"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7" fillId="0" borderId="0"/>
    <xf numFmtId="0" fontId="27" fillId="0" borderId="0"/>
    <xf numFmtId="0" fontId="26" fillId="0" borderId="0"/>
    <xf numFmtId="0" fontId="2" fillId="0" borderId="0"/>
    <xf numFmtId="0" fontId="2" fillId="0" borderId="0"/>
    <xf numFmtId="0" fontId="27" fillId="0" borderId="0"/>
    <xf numFmtId="0" fontId="2" fillId="0" borderId="0"/>
    <xf numFmtId="0" fontId="2" fillId="0" borderId="0"/>
    <xf numFmtId="0" fontId="27" fillId="0" borderId="0"/>
    <xf numFmtId="0" fontId="26"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 fillId="0" borderId="0"/>
    <xf numFmtId="0" fontId="26" fillId="0" borderId="0"/>
    <xf numFmtId="0" fontId="2" fillId="0" borderId="0"/>
    <xf numFmtId="0" fontId="2" fillId="0" borderId="0"/>
    <xf numFmtId="0" fontId="27" fillId="0" borderId="0"/>
    <xf numFmtId="0" fontId="2" fillId="0" borderId="0"/>
    <xf numFmtId="0" fontId="2" fillId="0" borderId="0"/>
    <xf numFmtId="0" fontId="27" fillId="0" borderId="0"/>
    <xf numFmtId="0" fontId="26"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7" fillId="0" borderId="0"/>
    <xf numFmtId="0" fontId="2"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6" fillId="0" borderId="0"/>
    <xf numFmtId="0" fontId="2" fillId="0" borderId="0"/>
    <xf numFmtId="0" fontId="27"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7" fillId="0" borderId="0"/>
    <xf numFmtId="0" fontId="27" fillId="0" borderId="0"/>
    <xf numFmtId="0" fontId="27"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7" fillId="0" borderId="0"/>
    <xf numFmtId="0" fontId="27" fillId="0" borderId="0"/>
    <xf numFmtId="0" fontId="27"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6"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4" fillId="0" borderId="0"/>
  </cellStyleXfs>
  <cellXfs count="950">
    <xf numFmtId="0" fontId="0" fillId="0" borderId="0" xfId="0"/>
    <xf numFmtId="0" fontId="4" fillId="0" borderId="0" xfId="0" applyFont="1"/>
    <xf numFmtId="0" fontId="4" fillId="0" borderId="0" xfId="0" applyFont="1" applyProtection="1">
      <protection locked="0"/>
    </xf>
    <xf numFmtId="0" fontId="4" fillId="2" borderId="1" xfId="0" applyFont="1" applyFill="1" applyBorder="1"/>
    <xf numFmtId="0" fontId="4" fillId="2" borderId="0" xfId="0" applyFont="1" applyFill="1"/>
    <xf numFmtId="0" fontId="4" fillId="2" borderId="0" xfId="0" applyFont="1" applyFill="1" applyAlignment="1">
      <alignment horizontal="right"/>
    </xf>
    <xf numFmtId="37" fontId="4" fillId="2" borderId="0" xfId="0" applyNumberFormat="1" applyFont="1" applyFill="1" applyAlignment="1">
      <alignment horizontal="right"/>
    </xf>
    <xf numFmtId="0" fontId="4" fillId="2" borderId="0" xfId="0" applyFont="1" applyFill="1" applyAlignment="1">
      <alignment horizontal="centerContinuous"/>
    </xf>
    <xf numFmtId="0" fontId="4" fillId="2" borderId="2" xfId="0" applyFont="1" applyFill="1" applyBorder="1"/>
    <xf numFmtId="37" fontId="4" fillId="2" borderId="0" xfId="0" applyNumberFormat="1" applyFont="1" applyFill="1"/>
    <xf numFmtId="0" fontId="3" fillId="2" borderId="0" xfId="520" applyFont="1" applyFill="1" applyAlignment="1">
      <alignment horizontal="centerContinuous"/>
    </xf>
    <xf numFmtId="0" fontId="4" fillId="2" borderId="1" xfId="0" applyFont="1" applyFill="1" applyBorder="1" applyAlignment="1">
      <alignment horizontal="fill"/>
    </xf>
    <xf numFmtId="0" fontId="3" fillId="2" borderId="0" xfId="0" applyFont="1" applyFill="1" applyAlignment="1">
      <alignment horizontal="left"/>
    </xf>
    <xf numFmtId="0" fontId="4" fillId="2" borderId="0" xfId="0" applyFont="1" applyFill="1" applyAlignment="1">
      <alignment horizontal="center"/>
    </xf>
    <xf numFmtId="0" fontId="4" fillId="3" borderId="0" xfId="519" applyFont="1" applyFill="1"/>
    <xf numFmtId="0" fontId="4" fillId="3" borderId="0" xfId="0" applyFont="1" applyFill="1"/>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pplyProtection="1">
      <alignment vertical="center"/>
      <protection locked="0"/>
    </xf>
    <xf numFmtId="37" fontId="3" fillId="2" borderId="0" xfId="0" applyNumberFormat="1" applyFont="1" applyFill="1" applyAlignment="1">
      <alignment horizontal="left" vertical="center"/>
    </xf>
    <xf numFmtId="0" fontId="4" fillId="2" borderId="0" xfId="0" applyFont="1" applyFill="1" applyAlignment="1">
      <alignment vertical="center"/>
    </xf>
    <xf numFmtId="37" fontId="4" fillId="2" borderId="0" xfId="0" applyNumberFormat="1" applyFont="1" applyFill="1" applyAlignment="1">
      <alignment horizontal="left" vertical="center"/>
    </xf>
    <xf numFmtId="37" fontId="4" fillId="2" borderId="0" xfId="0" applyNumberFormat="1" applyFont="1" applyFill="1" applyAlignment="1" applyProtection="1">
      <alignment horizontal="left" vertical="center"/>
      <protection locked="0"/>
    </xf>
    <xf numFmtId="0" fontId="3" fillId="4" borderId="3" xfId="0" applyFont="1" applyFill="1" applyBorder="1" applyAlignment="1" applyProtection="1">
      <alignment horizontal="center" vertical="center"/>
      <protection locked="0"/>
    </xf>
    <xf numFmtId="37" fontId="3" fillId="2" borderId="0" xfId="0" applyNumberFormat="1" applyFont="1" applyFill="1" applyAlignment="1">
      <alignment horizontal="centerContinuous" vertical="center"/>
    </xf>
    <xf numFmtId="0" fontId="4" fillId="2" borderId="0" xfId="0" applyFont="1" applyFill="1" applyAlignment="1">
      <alignment horizontal="centerContinuous" vertical="center"/>
    </xf>
    <xf numFmtId="0" fontId="4" fillId="5" borderId="2" xfId="0" applyFont="1" applyFill="1" applyBorder="1" applyAlignment="1">
      <alignment horizontal="center" vertical="center"/>
    </xf>
    <xf numFmtId="37" fontId="4" fillId="2" borderId="4" xfId="0" applyNumberFormat="1" applyFont="1" applyFill="1" applyBorder="1" applyAlignment="1">
      <alignment horizontal="center" vertical="center"/>
    </xf>
    <xf numFmtId="37" fontId="4" fillId="5" borderId="5" xfId="0" applyNumberFormat="1" applyFont="1" applyFill="1" applyBorder="1" applyAlignment="1">
      <alignment horizontal="center" vertical="center"/>
    </xf>
    <xf numFmtId="37" fontId="4" fillId="2" borderId="3" xfId="0" applyNumberFormat="1" applyFont="1" applyFill="1" applyBorder="1" applyAlignment="1">
      <alignment horizontal="left" vertical="center"/>
    </xf>
    <xf numFmtId="0" fontId="4" fillId="2" borderId="3" xfId="0" applyFont="1" applyFill="1" applyBorder="1" applyAlignment="1">
      <alignment vertical="center"/>
    </xf>
    <xf numFmtId="3" fontId="4" fillId="6" borderId="3" xfId="0" applyNumberFormat="1" applyFont="1" applyFill="1" applyBorder="1" applyAlignment="1" applyProtection="1">
      <alignment vertical="center"/>
      <protection locked="0"/>
    </xf>
    <xf numFmtId="0" fontId="0" fillId="2" borderId="0" xfId="0" applyFill="1" applyAlignment="1">
      <alignment vertical="center"/>
    </xf>
    <xf numFmtId="0" fontId="4" fillId="6" borderId="3" xfId="0" applyFont="1" applyFill="1" applyBorder="1" applyAlignment="1" applyProtection="1">
      <alignment vertical="center"/>
      <protection locked="0"/>
    </xf>
    <xf numFmtId="37" fontId="4" fillId="2" borderId="1" xfId="0" applyNumberFormat="1" applyFont="1" applyFill="1" applyBorder="1" applyAlignment="1">
      <alignment horizontal="left" vertical="center"/>
    </xf>
    <xf numFmtId="0" fontId="4" fillId="2" borderId="1" xfId="0" applyFont="1" applyFill="1" applyBorder="1" applyAlignment="1">
      <alignment vertical="center"/>
    </xf>
    <xf numFmtId="0" fontId="4" fillId="2" borderId="6" xfId="0" applyFont="1" applyFill="1" applyBorder="1" applyAlignment="1">
      <alignment vertical="center"/>
    </xf>
    <xf numFmtId="37" fontId="4" fillId="2" borderId="7" xfId="0" applyNumberFormat="1" applyFont="1" applyFill="1" applyBorder="1" applyAlignment="1">
      <alignment vertical="center"/>
    </xf>
    <xf numFmtId="37" fontId="4" fillId="7" borderId="7" xfId="0" applyNumberFormat="1" applyFont="1" applyFill="1" applyBorder="1" applyAlignment="1">
      <alignment vertical="center"/>
    </xf>
    <xf numFmtId="37" fontId="4" fillId="2" borderId="0" xfId="0" applyNumberFormat="1" applyFont="1" applyFill="1" applyAlignment="1">
      <alignment vertical="center"/>
    </xf>
    <xf numFmtId="164" fontId="4" fillId="6" borderId="3" xfId="0" applyNumberFormat="1" applyFont="1" applyFill="1" applyBorder="1" applyAlignment="1" applyProtection="1">
      <alignment vertical="center"/>
      <protection locked="0"/>
    </xf>
    <xf numFmtId="0" fontId="4" fillId="2" borderId="4" xfId="0" applyFont="1" applyFill="1" applyBorder="1" applyAlignment="1">
      <alignment vertical="center"/>
    </xf>
    <xf numFmtId="3" fontId="4" fillId="7" borderId="3" xfId="0" applyNumberFormat="1" applyFont="1" applyFill="1" applyBorder="1" applyAlignment="1">
      <alignment vertical="center"/>
    </xf>
    <xf numFmtId="3" fontId="4" fillId="2" borderId="0" xfId="0" applyNumberFormat="1" applyFont="1" applyFill="1" applyAlignment="1" applyProtection="1">
      <alignment vertical="center"/>
      <protection locked="0"/>
    </xf>
    <xf numFmtId="37" fontId="4" fillId="2" borderId="3" xfId="0" applyNumberFormat="1" applyFont="1" applyFill="1" applyBorder="1" applyAlignment="1">
      <alignment vertical="center"/>
    </xf>
    <xf numFmtId="164" fontId="4" fillId="7" borderId="3" xfId="0" applyNumberFormat="1" applyFont="1" applyFill="1" applyBorder="1" applyAlignment="1">
      <alignment vertical="center"/>
    </xf>
    <xf numFmtId="0" fontId="4" fillId="2" borderId="7" xfId="0" applyFont="1" applyFill="1" applyBorder="1" applyAlignment="1">
      <alignment vertical="center"/>
    </xf>
    <xf numFmtId="0" fontId="5" fillId="2" borderId="0" xfId="0" applyFont="1" applyFill="1" applyAlignment="1">
      <alignment horizontal="center" vertical="center"/>
    </xf>
    <xf numFmtId="3" fontId="4" fillId="2" borderId="0" xfId="0" applyNumberFormat="1" applyFont="1" applyFill="1" applyAlignment="1">
      <alignment vertical="center"/>
    </xf>
    <xf numFmtId="0" fontId="4" fillId="2" borderId="0" xfId="0" applyFont="1" applyFill="1" applyAlignment="1" applyProtection="1">
      <alignment vertical="center"/>
      <protection locked="0"/>
    </xf>
    <xf numFmtId="0" fontId="4" fillId="2" borderId="1"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2" borderId="4" xfId="0" applyFont="1" applyFill="1" applyBorder="1" applyAlignment="1" applyProtection="1">
      <alignment vertical="center"/>
      <protection locked="0"/>
    </xf>
    <xf numFmtId="3" fontId="4" fillId="4" borderId="3" xfId="0" applyNumberFormat="1" applyFont="1" applyFill="1" applyBorder="1" applyAlignment="1" applyProtection="1">
      <alignment vertical="center"/>
      <protection locked="0"/>
    </xf>
    <xf numFmtId="0" fontId="4" fillId="8" borderId="6" xfId="0" applyFont="1" applyFill="1" applyBorder="1" applyAlignment="1">
      <alignment vertical="center"/>
    </xf>
    <xf numFmtId="0" fontId="4" fillId="2" borderId="7" xfId="0" applyFont="1" applyFill="1" applyBorder="1" applyAlignment="1" applyProtection="1">
      <alignment vertical="center"/>
      <protection locked="0"/>
    </xf>
    <xf numFmtId="0" fontId="0" fillId="0" borderId="0" xfId="0" applyAlignment="1">
      <alignment vertical="center"/>
    </xf>
    <xf numFmtId="37" fontId="4" fillId="2" borderId="6" xfId="0" applyNumberFormat="1" applyFont="1" applyFill="1" applyBorder="1" applyAlignment="1">
      <alignment horizontal="left" vertical="center"/>
    </xf>
    <xf numFmtId="37" fontId="4" fillId="4" borderId="3" xfId="0" applyNumberFormat="1" applyFont="1" applyFill="1" applyBorder="1" applyAlignment="1" applyProtection="1">
      <alignment vertical="center"/>
      <protection locked="0"/>
    </xf>
    <xf numFmtId="37" fontId="3" fillId="2" borderId="6" xfId="0" applyNumberFormat="1" applyFont="1" applyFill="1" applyBorder="1" applyAlignment="1">
      <alignment horizontal="left" vertical="center"/>
    </xf>
    <xf numFmtId="0" fontId="11" fillId="2" borderId="0" xfId="0" applyFont="1" applyFill="1" applyAlignment="1">
      <alignment horizontal="center" vertical="center"/>
    </xf>
    <xf numFmtId="0" fontId="4" fillId="2" borderId="8" xfId="0" applyFont="1" applyFill="1" applyBorder="1" applyAlignment="1">
      <alignment vertical="center"/>
    </xf>
    <xf numFmtId="170" fontId="4" fillId="2" borderId="3" xfId="0" applyNumberFormat="1" applyFont="1" applyFill="1" applyBorder="1" applyAlignment="1">
      <alignment vertical="center"/>
    </xf>
    <xf numFmtId="0" fontId="0" fillId="2" borderId="1" xfId="0" applyFill="1" applyBorder="1" applyAlignment="1">
      <alignment vertical="center"/>
    </xf>
    <xf numFmtId="3" fontId="4" fillId="2" borderId="4" xfId="0" applyNumberFormat="1" applyFont="1" applyFill="1" applyBorder="1" applyAlignment="1">
      <alignment vertical="center"/>
    </xf>
    <xf numFmtId="3" fontId="4" fillId="2" borderId="7" xfId="0" applyNumberFormat="1" applyFont="1" applyFill="1" applyBorder="1" applyAlignment="1">
      <alignment vertical="center"/>
    </xf>
    <xf numFmtId="0" fontId="0" fillId="2" borderId="4"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3" borderId="0" xfId="0" applyFill="1" applyAlignment="1">
      <alignment vertical="center"/>
    </xf>
    <xf numFmtId="0" fontId="4" fillId="5" borderId="5" xfId="0" applyFont="1" applyFill="1" applyBorder="1" applyAlignment="1">
      <alignment horizontal="center" vertical="center"/>
    </xf>
    <xf numFmtId="0" fontId="14" fillId="2" borderId="0" xfId="0" applyFont="1" applyFill="1" applyAlignment="1">
      <alignment vertical="center"/>
    </xf>
    <xf numFmtId="0" fontId="16" fillId="2" borderId="0" xfId="0" applyFont="1" applyFill="1" applyAlignment="1">
      <alignment vertical="center"/>
    </xf>
    <xf numFmtId="0" fontId="4" fillId="2" borderId="0" xfId="0" applyFont="1" applyFill="1" applyAlignment="1">
      <alignment horizontal="right" vertical="center"/>
    </xf>
    <xf numFmtId="37" fontId="4" fillId="2" borderId="0" xfId="0" applyNumberFormat="1" applyFont="1" applyFill="1" applyAlignment="1">
      <alignment horizontal="center" vertical="center"/>
    </xf>
    <xf numFmtId="37" fontId="4" fillId="2" borderId="0" xfId="0" applyNumberFormat="1" applyFont="1" applyFill="1" applyAlignment="1">
      <alignment horizontal="centerContinuous" vertical="center"/>
    </xf>
    <xf numFmtId="37" fontId="4" fillId="2" borderId="9" xfId="0" applyNumberFormat="1" applyFont="1" applyFill="1" applyBorder="1" applyAlignment="1">
      <alignment horizontal="centerContinuous" vertical="center"/>
    </xf>
    <xf numFmtId="0" fontId="4" fillId="2" borderId="6" xfId="0" applyFont="1" applyFill="1" applyBorder="1" applyAlignment="1">
      <alignment horizontal="centerContinuous" vertical="center"/>
    </xf>
    <xf numFmtId="0" fontId="4" fillId="2" borderId="7" xfId="0" applyFont="1" applyFill="1" applyBorder="1" applyAlignment="1">
      <alignment horizontal="centerContinuous" vertical="center"/>
    </xf>
    <xf numFmtId="37" fontId="4" fillId="2" borderId="1" xfId="0" applyNumberFormat="1" applyFont="1" applyFill="1" applyBorder="1" applyAlignment="1">
      <alignment horizontal="fill" vertical="center"/>
    </xf>
    <xf numFmtId="37" fontId="4" fillId="2" borderId="2" xfId="0" applyNumberFormat="1" applyFont="1" applyFill="1" applyBorder="1" applyAlignment="1">
      <alignment horizontal="left" vertical="center"/>
    </xf>
    <xf numFmtId="37" fontId="4" fillId="2" borderId="2" xfId="0" applyNumberFormat="1" applyFont="1" applyFill="1" applyBorder="1" applyAlignment="1">
      <alignment horizontal="center" vertical="center"/>
    </xf>
    <xf numFmtId="37" fontId="4" fillId="2" borderId="10" xfId="0" applyNumberFormat="1" applyFont="1" applyFill="1" applyBorder="1" applyAlignment="1">
      <alignment horizontal="center" vertical="center"/>
    </xf>
    <xf numFmtId="0" fontId="4" fillId="2" borderId="10" xfId="0" applyFont="1" applyFill="1" applyBorder="1" applyAlignment="1">
      <alignment horizontal="center" vertical="center"/>
    </xf>
    <xf numFmtId="37" fontId="3" fillId="2" borderId="1" xfId="0" applyNumberFormat="1" applyFont="1" applyFill="1" applyBorder="1" applyAlignment="1">
      <alignment horizontal="left" vertical="center"/>
    </xf>
    <xf numFmtId="37"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37" fontId="4" fillId="2" borderId="9" xfId="0" applyNumberFormat="1" applyFont="1" applyFill="1" applyBorder="1" applyAlignment="1">
      <alignment horizontal="left" vertical="center"/>
    </xf>
    <xf numFmtId="37" fontId="4" fillId="2" borderId="3" xfId="0" applyNumberFormat="1" applyFont="1" applyFill="1" applyBorder="1" applyAlignment="1">
      <alignment horizontal="center" vertical="center"/>
    </xf>
    <xf numFmtId="0" fontId="4" fillId="2" borderId="2" xfId="0" applyFont="1" applyFill="1" applyBorder="1" applyAlignment="1">
      <alignment vertical="center"/>
    </xf>
    <xf numFmtId="0" fontId="4" fillId="2" borderId="10" xfId="0" applyFont="1" applyFill="1" applyBorder="1" applyAlignment="1">
      <alignment vertical="center"/>
    </xf>
    <xf numFmtId="37" fontId="11" fillId="2" borderId="9" xfId="0" applyNumberFormat="1" applyFont="1" applyFill="1" applyBorder="1" applyAlignment="1">
      <alignment horizontal="left" vertical="center"/>
    </xf>
    <xf numFmtId="37" fontId="11" fillId="2" borderId="7"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vertical="center"/>
    </xf>
    <xf numFmtId="37" fontId="4" fillId="7" borderId="3" xfId="0" applyNumberFormat="1" applyFont="1" applyFill="1" applyBorder="1" applyAlignment="1">
      <alignment horizontal="center" vertical="center"/>
    </xf>
    <xf numFmtId="37" fontId="4" fillId="2" borderId="9" xfId="0" applyNumberFormat="1" applyFont="1" applyFill="1" applyBorder="1" applyAlignment="1">
      <alignment vertical="center"/>
    </xf>
    <xf numFmtId="0" fontId="4" fillId="2" borderId="7" xfId="0" applyFont="1" applyFill="1" applyBorder="1" applyAlignment="1">
      <alignment horizontal="center" vertical="center"/>
    </xf>
    <xf numFmtId="37" fontId="4" fillId="2" borderId="7"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37" fontId="4" fillId="2" borderId="0" xfId="0" applyNumberFormat="1"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3" fontId="4" fillId="2" borderId="1" xfId="0" applyNumberFormat="1" applyFont="1" applyFill="1" applyBorder="1" applyAlignment="1">
      <alignment vertical="center"/>
    </xf>
    <xf numFmtId="3" fontId="4" fillId="2" borderId="8" xfId="0" applyNumberFormat="1" applyFont="1" applyFill="1" applyBorder="1" applyAlignment="1">
      <alignment vertical="center"/>
    </xf>
    <xf numFmtId="0" fontId="4" fillId="2" borderId="1" xfId="0" applyFont="1" applyFill="1" applyBorder="1" applyAlignment="1">
      <alignment horizontal="centerContinuous" vertical="center"/>
    </xf>
    <xf numFmtId="0" fontId="4" fillId="2" borderId="2" xfId="0" applyFont="1" applyFill="1" applyBorder="1" applyAlignment="1">
      <alignment horizontal="center" vertical="center"/>
    </xf>
    <xf numFmtId="37" fontId="4" fillId="7" borderId="13" xfId="0" applyNumberFormat="1" applyFont="1" applyFill="1" applyBorder="1" applyAlignment="1">
      <alignment horizontal="center" vertical="center"/>
    </xf>
    <xf numFmtId="166" fontId="4" fillId="2" borderId="0" xfId="0" applyNumberFormat="1" applyFont="1" applyFill="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1" fontId="4" fillId="2" borderId="5" xfId="0" applyNumberFormat="1" applyFont="1" applyFill="1" applyBorder="1" applyAlignment="1">
      <alignment horizontal="center" vertical="center"/>
    </xf>
    <xf numFmtId="0" fontId="4" fillId="4" borderId="5" xfId="0" applyFont="1" applyFill="1" applyBorder="1" applyAlignment="1" applyProtection="1">
      <alignment vertical="center"/>
      <protection locked="0"/>
    </xf>
    <xf numFmtId="169" fontId="4" fillId="4" borderId="5" xfId="1" applyNumberFormat="1"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3" xfId="0" applyFont="1" applyFill="1" applyBorder="1" applyAlignment="1" applyProtection="1">
      <alignment vertical="center"/>
      <protection locked="0"/>
    </xf>
    <xf numFmtId="169" fontId="4" fillId="4" borderId="3" xfId="1" applyNumberFormat="1" applyFont="1" applyFill="1" applyBorder="1" applyAlignment="1" applyProtection="1">
      <alignment horizontal="center" vertical="center"/>
      <protection locked="0"/>
    </xf>
    <xf numFmtId="0" fontId="3" fillId="2" borderId="3" xfId="0" applyFont="1" applyFill="1" applyBorder="1" applyAlignment="1">
      <alignment horizontal="center" vertical="center"/>
    </xf>
    <xf numFmtId="3" fontId="4" fillId="7" borderId="3" xfId="0" applyNumberFormat="1" applyFont="1" applyFill="1" applyBorder="1" applyAlignment="1">
      <alignment horizontal="center" vertical="center"/>
    </xf>
    <xf numFmtId="0" fontId="4" fillId="2" borderId="0" xfId="0" applyFont="1" applyFill="1" applyAlignment="1" applyProtection="1">
      <alignment horizontal="center" vertical="center"/>
      <protection locked="0"/>
    </xf>
    <xf numFmtId="37" fontId="3" fillId="2" borderId="3" xfId="0" applyNumberFormat="1" applyFont="1" applyFill="1" applyBorder="1" applyAlignment="1">
      <alignment horizontal="center" vertical="center"/>
    </xf>
    <xf numFmtId="0" fontId="4" fillId="4" borderId="3" xfId="0" applyFont="1" applyFill="1" applyBorder="1" applyAlignment="1" applyProtection="1">
      <alignment horizontal="center" vertical="center"/>
      <protection locked="0"/>
    </xf>
    <xf numFmtId="1" fontId="4" fillId="2" borderId="0" xfId="0" applyNumberFormat="1" applyFont="1" applyFill="1" applyAlignment="1">
      <alignment horizontal="right" vertical="center"/>
    </xf>
    <xf numFmtId="0" fontId="3" fillId="2" borderId="0" xfId="520" applyFont="1" applyFill="1" applyAlignment="1">
      <alignment horizontal="centerContinuous" vertical="center"/>
    </xf>
    <xf numFmtId="0" fontId="4" fillId="2" borderId="1" xfId="0" applyFont="1" applyFill="1" applyBorder="1" applyAlignment="1">
      <alignment horizontal="fill" vertical="center"/>
    </xf>
    <xf numFmtId="0" fontId="4" fillId="2" borderId="14" xfId="0" applyFont="1" applyFill="1" applyBorder="1" applyAlignment="1">
      <alignment horizontal="centerContinuous" vertical="center"/>
    </xf>
    <xf numFmtId="0" fontId="4" fillId="2" borderId="12" xfId="0" applyFont="1" applyFill="1" applyBorder="1" applyAlignment="1">
      <alignment horizontal="centerContinuous" vertical="center"/>
    </xf>
    <xf numFmtId="1" fontId="4" fillId="2" borderId="15" xfId="0" applyNumberFormat="1" applyFont="1" applyFill="1" applyBorder="1" applyAlignment="1">
      <alignment horizontal="center" vertical="center"/>
    </xf>
    <xf numFmtId="0" fontId="4" fillId="2" borderId="3" xfId="0" applyFont="1" applyFill="1" applyBorder="1" applyAlignment="1">
      <alignment horizontal="left" vertical="center"/>
    </xf>
    <xf numFmtId="2" fontId="4" fillId="2" borderId="3" xfId="0" applyNumberFormat="1" applyFont="1" applyFill="1" applyBorder="1" applyAlignment="1">
      <alignment vertical="center"/>
    </xf>
    <xf numFmtId="3" fontId="4" fillId="2" borderId="3" xfId="0" applyNumberFormat="1" applyFont="1" applyFill="1" applyBorder="1" applyAlignment="1">
      <alignment vertical="center"/>
    </xf>
    <xf numFmtId="2" fontId="4" fillId="6" borderId="3" xfId="0" applyNumberFormat="1" applyFont="1" applyFill="1" applyBorder="1" applyAlignment="1" applyProtection="1">
      <alignment horizontal="center" vertical="center"/>
      <protection locked="0"/>
    </xf>
    <xf numFmtId="3" fontId="4" fillId="6" borderId="3" xfId="0" applyNumberFormat="1" applyFont="1" applyFill="1" applyBorder="1" applyAlignment="1" applyProtection="1">
      <alignment horizontal="center" vertical="center"/>
      <protection locked="0"/>
    </xf>
    <xf numFmtId="37" fontId="4" fillId="6" borderId="3" xfId="0" applyNumberFormat="1" applyFont="1" applyFill="1" applyBorder="1" applyAlignment="1" applyProtection="1">
      <alignment horizontal="center" vertical="center"/>
      <protection locked="0"/>
    </xf>
    <xf numFmtId="168" fontId="4" fillId="6" borderId="3" xfId="0" applyNumberFormat="1" applyFont="1" applyFill="1" applyBorder="1" applyAlignment="1" applyProtection="1">
      <alignment horizontal="center" vertical="center"/>
      <protection locked="0"/>
    </xf>
    <xf numFmtId="0" fontId="3" fillId="2" borderId="3" xfId="0" applyFont="1" applyFill="1" applyBorder="1" applyAlignment="1">
      <alignment horizontal="left" vertical="center"/>
    </xf>
    <xf numFmtId="167" fontId="3" fillId="2" borderId="3" xfId="0" applyNumberFormat="1" applyFont="1" applyFill="1" applyBorder="1" applyAlignment="1">
      <alignment horizontal="center" vertical="center"/>
    </xf>
    <xf numFmtId="2" fontId="3" fillId="2" borderId="3"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37" fontId="3" fillId="7" borderId="3" xfId="0" applyNumberFormat="1" applyFont="1" applyFill="1" applyBorder="1" applyAlignment="1">
      <alignment horizontal="center" vertical="center"/>
    </xf>
    <xf numFmtId="168" fontId="3" fillId="2" borderId="3" xfId="0" applyNumberFormat="1" applyFont="1" applyFill="1" applyBorder="1" applyAlignment="1">
      <alignment horizontal="center" vertical="center"/>
    </xf>
    <xf numFmtId="167" fontId="4" fillId="2" borderId="3" xfId="0" applyNumberFormat="1" applyFont="1" applyFill="1" applyBorder="1" applyAlignment="1">
      <alignment horizontal="center" vertical="center"/>
    </xf>
    <xf numFmtId="2" fontId="4" fillId="2" borderId="3"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168" fontId="4" fillId="2" borderId="3"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3" fontId="3" fillId="7" borderId="3"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3" fillId="2" borderId="0" xfId="0" applyFont="1" applyFill="1" applyAlignment="1">
      <alignment vertical="center"/>
    </xf>
    <xf numFmtId="0" fontId="4" fillId="2" borderId="0" xfId="0" applyFont="1" applyFill="1" applyAlignment="1">
      <alignment horizontal="fill" vertical="center"/>
    </xf>
    <xf numFmtId="1" fontId="4" fillId="2" borderId="14" xfId="0" applyNumberFormat="1" applyFont="1" applyFill="1" applyBorder="1" applyAlignment="1">
      <alignment horizontal="center" vertical="center"/>
    </xf>
    <xf numFmtId="37" fontId="4" fillId="2" borderId="14" xfId="0" applyNumberFormat="1" applyFont="1" applyFill="1" applyBorder="1" applyAlignment="1">
      <alignment horizontal="center" vertical="center"/>
    </xf>
    <xf numFmtId="0" fontId="4" fillId="2" borderId="9" xfId="0" applyFont="1" applyFill="1" applyBorder="1" applyAlignment="1">
      <alignment horizontal="left" vertical="center"/>
    </xf>
    <xf numFmtId="37" fontId="4" fillId="6" borderId="9" xfId="0" applyNumberFormat="1" applyFont="1" applyFill="1" applyBorder="1" applyAlignment="1" applyProtection="1">
      <alignment vertical="center"/>
      <protection locked="0"/>
    </xf>
    <xf numFmtId="37" fontId="4" fillId="6" borderId="7" xfId="0" applyNumberFormat="1" applyFont="1" applyFill="1" applyBorder="1" applyAlignment="1" applyProtection="1">
      <alignment vertical="center"/>
      <protection locked="0"/>
    </xf>
    <xf numFmtId="3" fontId="4" fillId="2" borderId="9" xfId="0" applyNumberFormat="1" applyFont="1" applyFill="1" applyBorder="1" applyAlignment="1">
      <alignment vertical="center"/>
    </xf>
    <xf numFmtId="0" fontId="4" fillId="2" borderId="15" xfId="0" applyFont="1" applyFill="1" applyBorder="1" applyAlignment="1">
      <alignment horizontal="left" vertical="center"/>
    </xf>
    <xf numFmtId="3" fontId="4" fillId="6" borderId="9" xfId="0" applyNumberFormat="1" applyFont="1" applyFill="1" applyBorder="1" applyAlignment="1" applyProtection="1">
      <alignment vertical="center"/>
      <protection locked="0"/>
    </xf>
    <xf numFmtId="3" fontId="4" fillId="6" borderId="7" xfId="0" applyNumberFormat="1" applyFont="1" applyFill="1" applyBorder="1" applyAlignment="1" applyProtection="1">
      <alignment vertical="center"/>
      <protection locked="0"/>
    </xf>
    <xf numFmtId="37" fontId="4" fillId="2" borderId="3" xfId="0" applyNumberFormat="1" applyFont="1" applyFill="1" applyBorder="1" applyAlignment="1">
      <alignment horizontal="fill" vertical="center"/>
    </xf>
    <xf numFmtId="37" fontId="4" fillId="6" borderId="3" xfId="0" applyNumberFormat="1" applyFont="1" applyFill="1" applyBorder="1" applyAlignment="1" applyProtection="1">
      <alignment vertical="center"/>
      <protection locked="0"/>
    </xf>
    <xf numFmtId="0" fontId="4" fillId="6" borderId="9" xfId="0" applyFont="1" applyFill="1" applyBorder="1" applyAlignment="1" applyProtection="1">
      <alignment horizontal="left" vertical="center"/>
      <protection locked="0"/>
    </xf>
    <xf numFmtId="37" fontId="14" fillId="9" borderId="9" xfId="0" applyNumberFormat="1" applyFont="1" applyFill="1" applyBorder="1" applyAlignment="1">
      <alignment horizontal="center" vertical="center"/>
    </xf>
    <xf numFmtId="37" fontId="14" fillId="9" borderId="7" xfId="0" applyNumberFormat="1" applyFont="1" applyFill="1" applyBorder="1" applyAlignment="1">
      <alignment horizontal="center" vertical="center"/>
    </xf>
    <xf numFmtId="37" fontId="3" fillId="2" borderId="9" xfId="0" applyNumberFormat="1" applyFont="1" applyFill="1" applyBorder="1" applyAlignment="1">
      <alignment horizontal="left" vertical="center"/>
    </xf>
    <xf numFmtId="37" fontId="3" fillId="7" borderId="3" xfId="0" applyNumberFormat="1" applyFont="1" applyFill="1" applyBorder="1" applyAlignment="1">
      <alignment vertical="center"/>
    </xf>
    <xf numFmtId="3" fontId="3" fillId="7" borderId="9" xfId="0" applyNumberFormat="1" applyFont="1" applyFill="1" applyBorder="1" applyAlignment="1">
      <alignment vertical="center"/>
    </xf>
    <xf numFmtId="3" fontId="3" fillId="7" borderId="3" xfId="0" applyNumberFormat="1" applyFont="1" applyFill="1" applyBorder="1" applyAlignment="1">
      <alignment vertical="center"/>
    </xf>
    <xf numFmtId="0" fontId="3" fillId="2" borderId="0" xfId="0" applyFont="1" applyFill="1" applyAlignment="1">
      <alignment horizontal="left" vertical="center"/>
    </xf>
    <xf numFmtId="0" fontId="3" fillId="2" borderId="9" xfId="0" applyFont="1" applyFill="1" applyBorder="1" applyAlignment="1">
      <alignment horizontal="left" vertical="center"/>
    </xf>
    <xf numFmtId="3" fontId="4" fillId="7" borderId="9" xfId="0" applyNumberFormat="1" applyFont="1" applyFill="1" applyBorder="1" applyAlignment="1">
      <alignment vertical="center"/>
    </xf>
    <xf numFmtId="3" fontId="4" fillId="0" borderId="0" xfId="0" applyNumberFormat="1" applyFont="1" applyAlignment="1" applyProtection="1">
      <alignment vertical="center"/>
      <protection locked="0"/>
    </xf>
    <xf numFmtId="0" fontId="4" fillId="7" borderId="9" xfId="0" applyFont="1" applyFill="1" applyBorder="1" applyAlignment="1">
      <alignment vertical="center"/>
    </xf>
    <xf numFmtId="0" fontId="4" fillId="6" borderId="9" xfId="0" applyFont="1" applyFill="1" applyBorder="1" applyAlignment="1" applyProtection="1">
      <alignment vertical="center"/>
      <protection locked="0"/>
    </xf>
    <xf numFmtId="0" fontId="4" fillId="2" borderId="9" xfId="0" applyFont="1" applyFill="1" applyBorder="1" applyAlignment="1">
      <alignment vertical="center"/>
    </xf>
    <xf numFmtId="0" fontId="14" fillId="0" borderId="0" xfId="0" applyFont="1" applyAlignment="1">
      <alignment vertical="center"/>
    </xf>
    <xf numFmtId="0" fontId="12" fillId="2" borderId="0" xfId="0" applyFont="1" applyFill="1" applyAlignment="1">
      <alignment horizontal="center" vertical="center"/>
    </xf>
    <xf numFmtId="1" fontId="4" fillId="2" borderId="2" xfId="0" applyNumberFormat="1" applyFont="1" applyFill="1" applyBorder="1" applyAlignment="1">
      <alignment horizontal="center" vertical="center"/>
    </xf>
    <xf numFmtId="0" fontId="4" fillId="4" borderId="3" xfId="0" applyFont="1" applyFill="1" applyBorder="1" applyAlignment="1" applyProtection="1">
      <alignment horizontal="left" vertical="center"/>
      <protection locked="0"/>
    </xf>
    <xf numFmtId="0" fontId="4" fillId="6" borderId="3" xfId="0" applyFont="1" applyFill="1" applyBorder="1" applyAlignment="1" applyProtection="1">
      <alignment horizontal="left" vertical="center"/>
      <protection locked="0"/>
    </xf>
    <xf numFmtId="0" fontId="4" fillId="4" borderId="0" xfId="0" applyFont="1" applyFill="1" applyAlignment="1" applyProtection="1">
      <alignment horizontal="left" vertical="center"/>
      <protection locked="0"/>
    </xf>
    <xf numFmtId="37" fontId="3" fillId="7" borderId="13" xfId="0" applyNumberFormat="1" applyFont="1" applyFill="1" applyBorder="1" applyAlignment="1">
      <alignment vertical="center"/>
    </xf>
    <xf numFmtId="37" fontId="4" fillId="2" borderId="15" xfId="0" applyNumberFormat="1" applyFont="1" applyFill="1" applyBorder="1" applyAlignment="1">
      <alignment horizontal="left" vertical="center"/>
    </xf>
    <xf numFmtId="3" fontId="4" fillId="2" borderId="3" xfId="0" applyNumberFormat="1" applyFont="1" applyFill="1" applyBorder="1" applyAlignment="1">
      <alignment horizontal="fill" vertical="center"/>
    </xf>
    <xf numFmtId="3" fontId="4" fillId="10" borderId="3" xfId="0" applyNumberFormat="1" applyFont="1" applyFill="1" applyBorder="1" applyAlignment="1">
      <alignment vertical="center"/>
    </xf>
    <xf numFmtId="37" fontId="4" fillId="2" borderId="0" xfId="0" applyNumberFormat="1" applyFont="1" applyFill="1" applyAlignment="1">
      <alignment horizontal="fill" vertical="center"/>
    </xf>
    <xf numFmtId="3" fontId="4" fillId="9" borderId="3" xfId="0" applyNumberFormat="1" applyFont="1" applyFill="1" applyBorder="1" applyAlignment="1">
      <alignment vertical="center"/>
    </xf>
    <xf numFmtId="3" fontId="4" fillId="0" borderId="0" xfId="0" applyNumberFormat="1" applyFont="1" applyAlignment="1" applyProtection="1">
      <alignment horizontal="fill" vertical="center"/>
      <protection locked="0"/>
    </xf>
    <xf numFmtId="0" fontId="4" fillId="4" borderId="9" xfId="0" applyFont="1" applyFill="1" applyBorder="1" applyAlignment="1" applyProtection="1">
      <alignment vertical="center"/>
      <protection locked="0"/>
    </xf>
    <xf numFmtId="3" fontId="4" fillId="2" borderId="3" xfId="0" applyNumberFormat="1" applyFont="1" applyFill="1" applyBorder="1" applyAlignment="1" applyProtection="1">
      <alignment vertical="center"/>
      <protection locked="0"/>
    </xf>
    <xf numFmtId="0" fontId="4" fillId="2" borderId="9" xfId="0" applyFont="1" applyFill="1" applyBorder="1" applyAlignment="1" applyProtection="1">
      <alignment vertical="center"/>
      <protection locked="0"/>
    </xf>
    <xf numFmtId="3" fontId="4" fillId="2" borderId="1" xfId="0" applyNumberFormat="1" applyFont="1" applyFill="1" applyBorder="1" applyAlignment="1">
      <alignment horizontal="fill" vertical="center"/>
    </xf>
    <xf numFmtId="0" fontId="4" fillId="2" borderId="14" xfId="0" applyFont="1" applyFill="1" applyBorder="1" applyAlignment="1">
      <alignment vertical="center"/>
    </xf>
    <xf numFmtId="166" fontId="4" fillId="2" borderId="1" xfId="0" applyNumberFormat="1" applyFont="1" applyFill="1" applyBorder="1" applyAlignment="1">
      <alignment vertical="center"/>
    </xf>
    <xf numFmtId="37" fontId="4" fillId="2" borderId="1" xfId="0" quotePrefix="1" applyNumberFormat="1" applyFont="1" applyFill="1" applyBorder="1" applyAlignment="1">
      <alignment horizontal="right" vertical="center"/>
    </xf>
    <xf numFmtId="37" fontId="4" fillId="6" borderId="9" xfId="0" applyNumberFormat="1" applyFont="1" applyFill="1" applyBorder="1" applyAlignment="1" applyProtection="1">
      <alignment horizontal="left" vertical="center"/>
      <protection locked="0"/>
    </xf>
    <xf numFmtId="37" fontId="14" fillId="9" borderId="3" xfId="0" applyNumberFormat="1" applyFont="1" applyFill="1" applyBorder="1" applyAlignment="1">
      <alignment horizontal="center" vertical="center"/>
    </xf>
    <xf numFmtId="0" fontId="10" fillId="2" borderId="2" xfId="0" applyFont="1" applyFill="1" applyBorder="1" applyAlignment="1">
      <alignment vertical="center"/>
    </xf>
    <xf numFmtId="0" fontId="10" fillId="2" borderId="7" xfId="0" applyFont="1" applyFill="1" applyBorder="1" applyAlignment="1">
      <alignment horizontal="center" vertical="center"/>
    </xf>
    <xf numFmtId="0" fontId="10" fillId="2" borderId="12" xfId="0" applyFont="1" applyFill="1" applyBorder="1" applyAlignment="1">
      <alignment vertical="center"/>
    </xf>
    <xf numFmtId="0" fontId="10" fillId="2" borderId="3" xfId="0" applyFont="1" applyFill="1" applyBorder="1" applyAlignment="1">
      <alignment horizontal="center" vertical="center"/>
    </xf>
    <xf numFmtId="0" fontId="10" fillId="2" borderId="15" xfId="0" applyFont="1" applyFill="1" applyBorder="1" applyAlignment="1">
      <alignment vertical="center"/>
    </xf>
    <xf numFmtId="3" fontId="10" fillId="4" borderId="3" xfId="0" applyNumberFormat="1" applyFont="1" applyFill="1" applyBorder="1" applyAlignment="1" applyProtection="1">
      <alignment horizontal="center" vertical="center"/>
      <protection locked="0"/>
    </xf>
    <xf numFmtId="0" fontId="10" fillId="2" borderId="1" xfId="0" applyFont="1" applyFill="1" applyBorder="1" applyAlignment="1">
      <alignment vertical="center"/>
    </xf>
    <xf numFmtId="3" fontId="10" fillId="7" borderId="3" xfId="0" applyNumberFormat="1" applyFont="1" applyFill="1" applyBorder="1" applyAlignment="1">
      <alignment horizontal="center" vertical="center"/>
    </xf>
    <xf numFmtId="0" fontId="10" fillId="2" borderId="0" xfId="0" applyFont="1" applyFill="1" applyAlignment="1">
      <alignment vertical="center"/>
    </xf>
    <xf numFmtId="3" fontId="10" fillId="2" borderId="0" xfId="0" applyNumberFormat="1" applyFont="1" applyFill="1" applyAlignment="1">
      <alignment horizontal="center" vertical="center"/>
    </xf>
    <xf numFmtId="0" fontId="10" fillId="2" borderId="0" xfId="0" applyFont="1" applyFill="1" applyAlignment="1">
      <alignment horizontal="center" vertical="center"/>
    </xf>
    <xf numFmtId="0" fontId="10" fillId="4" borderId="3" xfId="0" applyFont="1" applyFill="1" applyBorder="1" applyAlignment="1" applyProtection="1">
      <alignment vertical="center"/>
      <protection locked="0"/>
    </xf>
    <xf numFmtId="0" fontId="10" fillId="4" borderId="12" xfId="0" applyFont="1" applyFill="1" applyBorder="1" applyAlignment="1" applyProtection="1">
      <alignment vertical="center"/>
      <protection locked="0"/>
    </xf>
    <xf numFmtId="0" fontId="10" fillId="4" borderId="0" xfId="0" applyFont="1" applyFill="1" applyAlignment="1" applyProtection="1">
      <alignment vertical="center"/>
      <protection locked="0"/>
    </xf>
    <xf numFmtId="0" fontId="10" fillId="4" borderId="7" xfId="0" applyFont="1" applyFill="1" applyBorder="1" applyAlignment="1" applyProtection="1">
      <alignment vertical="center"/>
      <protection locked="0"/>
    </xf>
    <xf numFmtId="0" fontId="10" fillId="4" borderId="5" xfId="0" applyFont="1" applyFill="1" applyBorder="1" applyAlignment="1" applyProtection="1">
      <alignment vertical="center"/>
      <protection locked="0"/>
    </xf>
    <xf numFmtId="0" fontId="10" fillId="4" borderId="11" xfId="0" applyFont="1" applyFill="1" applyBorder="1" applyAlignment="1" applyProtection="1">
      <alignment vertical="center"/>
      <protection locked="0"/>
    </xf>
    <xf numFmtId="3" fontId="15" fillId="9" borderId="3" xfId="0" applyNumberFormat="1" applyFont="1" applyFill="1" applyBorder="1" applyAlignment="1">
      <alignment horizontal="center"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2" borderId="9" xfId="0" applyNumberFormat="1" applyFont="1" applyFill="1" applyBorder="1" applyAlignment="1">
      <alignment horizontal="centerContinuous" vertical="center"/>
    </xf>
    <xf numFmtId="164" fontId="4" fillId="2" borderId="3" xfId="0" applyNumberFormat="1" applyFont="1" applyFill="1" applyBorder="1" applyAlignment="1">
      <alignment vertical="center"/>
    </xf>
    <xf numFmtId="37" fontId="4" fillId="2" borderId="5" xfId="0" applyNumberFormat="1" applyFont="1" applyFill="1" applyBorder="1" applyAlignment="1">
      <alignment horizontal="fill" vertical="center"/>
    </xf>
    <xf numFmtId="1" fontId="5" fillId="2" borderId="0" xfId="0" applyNumberFormat="1" applyFont="1" applyFill="1" applyAlignment="1">
      <alignment horizontal="center" vertical="center"/>
    </xf>
    <xf numFmtId="3" fontId="4" fillId="2" borderId="1"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 xfId="0" applyFont="1" applyFill="1" applyBorder="1" applyAlignment="1">
      <alignment horizontal="center" vertical="center" wrapText="1"/>
    </xf>
    <xf numFmtId="3" fontId="4" fillId="4" borderId="3" xfId="0" applyNumberFormat="1" applyFont="1" applyFill="1" applyBorder="1" applyAlignment="1" applyProtection="1">
      <alignment horizontal="center" vertical="center"/>
      <protection locked="0"/>
    </xf>
    <xf numFmtId="171" fontId="4" fillId="2" borderId="3" xfId="0" applyNumberFormat="1" applyFont="1" applyFill="1" applyBorder="1" applyAlignment="1">
      <alignment horizontal="center" vertical="center"/>
    </xf>
    <xf numFmtId="3" fontId="4" fillId="4" borderId="2" xfId="0" applyNumberFormat="1" applyFont="1" applyFill="1" applyBorder="1" applyAlignment="1" applyProtection="1">
      <alignment horizontal="center" vertical="center"/>
      <protection locked="0"/>
    </xf>
    <xf numFmtId="3" fontId="4" fillId="2" borderId="13" xfId="0" applyNumberFormat="1" applyFont="1" applyFill="1" applyBorder="1" applyAlignment="1">
      <alignment horizontal="center" vertical="center"/>
    </xf>
    <xf numFmtId="171" fontId="4" fillId="2" borderId="13" xfId="0" applyNumberFormat="1" applyFont="1" applyFill="1" applyBorder="1" applyAlignment="1">
      <alignment horizontal="center" vertical="center"/>
    </xf>
    <xf numFmtId="171" fontId="4" fillId="2" borderId="1" xfId="0" applyNumberFormat="1" applyFont="1" applyFill="1" applyBorder="1" applyAlignment="1">
      <alignment horizontal="center" vertical="center"/>
    </xf>
    <xf numFmtId="171" fontId="4" fillId="2" borderId="0" xfId="0" applyNumberFormat="1" applyFont="1" applyFill="1" applyAlignment="1">
      <alignment horizontal="center" vertical="center"/>
    </xf>
    <xf numFmtId="0" fontId="0" fillId="2" borderId="0" xfId="0" applyFill="1" applyAlignment="1">
      <alignment horizontal="center" vertical="center"/>
    </xf>
    <xf numFmtId="170" fontId="4" fillId="2" borderId="0" xfId="0" applyNumberFormat="1" applyFont="1" applyFill="1" applyAlignment="1">
      <alignment vertical="center"/>
    </xf>
    <xf numFmtId="3" fontId="25" fillId="9" borderId="0" xfId="0" applyNumberFormat="1" applyFont="1" applyFill="1" applyAlignment="1">
      <alignment horizontal="center" vertical="center"/>
    </xf>
    <xf numFmtId="37" fontId="3" fillId="12" borderId="3" xfId="0" applyNumberFormat="1" applyFont="1" applyFill="1" applyBorder="1" applyAlignment="1">
      <alignment vertical="center"/>
    </xf>
    <xf numFmtId="37" fontId="4" fillId="12" borderId="3" xfId="0" applyNumberFormat="1" applyFont="1" applyFill="1" applyBorder="1" applyAlignment="1">
      <alignment vertical="center"/>
    </xf>
    <xf numFmtId="0" fontId="4" fillId="4" borderId="1"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27" fillId="0" borderId="0" xfId="484"/>
    <xf numFmtId="0" fontId="4" fillId="0" borderId="0" xfId="484" applyFont="1" applyAlignment="1">
      <alignment horizontal="left" vertical="center"/>
    </xf>
    <xf numFmtId="0" fontId="28" fillId="0" borderId="0" xfId="0" applyFont="1"/>
    <xf numFmtId="0" fontId="42" fillId="2" borderId="0" xfId="0" applyFont="1" applyFill="1" applyAlignment="1" applyProtection="1">
      <alignment horizontal="right" vertical="center"/>
      <protection locked="0"/>
    </xf>
    <xf numFmtId="0" fontId="6" fillId="2" borderId="0" xfId="0" applyFont="1" applyFill="1" applyAlignment="1" applyProtection="1">
      <alignment horizontal="left" vertical="center"/>
      <protection locked="0"/>
    </xf>
    <xf numFmtId="14" fontId="4" fillId="6" borderId="3" xfId="0" applyNumberFormat="1" applyFont="1" applyFill="1" applyBorder="1" applyAlignment="1" applyProtection="1">
      <alignment horizontal="center" vertical="center"/>
      <protection locked="0"/>
    </xf>
    <xf numFmtId="3" fontId="10" fillId="7" borderId="5" xfId="0" applyNumberFormat="1" applyFont="1" applyFill="1" applyBorder="1" applyAlignment="1">
      <alignment horizontal="center" vertical="center"/>
    </xf>
    <xf numFmtId="0" fontId="4" fillId="2" borderId="15" xfId="0" applyFont="1" applyFill="1" applyBorder="1" applyAlignment="1">
      <alignment horizontal="center" vertical="center"/>
    </xf>
    <xf numFmtId="3" fontId="4" fillId="10" borderId="9" xfId="0" applyNumberFormat="1" applyFont="1" applyFill="1" applyBorder="1" applyAlignment="1">
      <alignment vertical="center"/>
    </xf>
    <xf numFmtId="3" fontId="4" fillId="2" borderId="0" xfId="0" applyNumberFormat="1" applyFont="1" applyFill="1" applyAlignment="1">
      <alignment horizontal="fill" vertical="center"/>
    </xf>
    <xf numFmtId="49" fontId="4" fillId="12" borderId="3" xfId="65" applyNumberFormat="1" applyFont="1" applyFill="1" applyBorder="1" applyAlignment="1">
      <alignment horizontal="center" vertical="center"/>
    </xf>
    <xf numFmtId="37" fontId="14" fillId="4" borderId="3" xfId="0" applyNumberFormat="1" applyFont="1" applyFill="1" applyBorder="1" applyAlignment="1">
      <alignment horizontal="center" vertical="center"/>
    </xf>
    <xf numFmtId="49" fontId="4" fillId="6" borderId="3" xfId="0" applyNumberFormat="1" applyFont="1" applyFill="1" applyBorder="1" applyAlignment="1" applyProtection="1">
      <alignment horizontal="center" vertical="center"/>
      <protection locked="0"/>
    </xf>
    <xf numFmtId="0" fontId="4" fillId="2" borderId="0" xfId="65" applyFont="1" applyFill="1" applyAlignment="1">
      <alignment horizontal="right" vertical="center"/>
    </xf>
    <xf numFmtId="171" fontId="4" fillId="2" borderId="0" xfId="504" applyNumberFormat="1" applyFont="1" applyFill="1" applyAlignment="1">
      <alignment horizontal="center" vertical="center"/>
    </xf>
    <xf numFmtId="0" fontId="2" fillId="0" borderId="0" xfId="60"/>
    <xf numFmtId="0" fontId="4" fillId="2" borderId="0" xfId="60" applyFont="1" applyFill="1" applyAlignment="1">
      <alignment vertical="center"/>
    </xf>
    <xf numFmtId="0" fontId="4" fillId="0" borderId="0" xfId="60" applyFont="1" applyAlignment="1" applyProtection="1">
      <alignment vertical="center"/>
      <protection locked="0"/>
    </xf>
    <xf numFmtId="37" fontId="4" fillId="2" borderId="0" xfId="60" applyNumberFormat="1" applyFont="1" applyFill="1" applyAlignment="1">
      <alignment horizontal="left" vertical="center"/>
    </xf>
    <xf numFmtId="0" fontId="3" fillId="2" borderId="0" xfId="60" applyFont="1" applyFill="1" applyAlignment="1">
      <alignment vertical="center"/>
    </xf>
    <xf numFmtId="3" fontId="4" fillId="6" borderId="3" xfId="60" applyNumberFormat="1" applyFont="1" applyFill="1" applyBorder="1" applyAlignment="1" applyProtection="1">
      <alignment vertical="center"/>
      <protection locked="0"/>
    </xf>
    <xf numFmtId="3" fontId="4" fillId="7" borderId="3" xfId="60" applyNumberFormat="1" applyFont="1" applyFill="1" applyBorder="1" applyAlignment="1">
      <alignment vertical="center"/>
    </xf>
    <xf numFmtId="0" fontId="4" fillId="2" borderId="0" xfId="60" applyFont="1" applyFill="1" applyAlignment="1" applyProtection="1">
      <alignment vertical="center"/>
      <protection locked="0"/>
    </xf>
    <xf numFmtId="0" fontId="2" fillId="0" borderId="0" xfId="60" applyAlignment="1">
      <alignment vertical="center"/>
    </xf>
    <xf numFmtId="1" fontId="4" fillId="2" borderId="0" xfId="60" applyNumberFormat="1" applyFont="1" applyFill="1" applyAlignment="1">
      <alignment horizontal="right" vertical="center"/>
    </xf>
    <xf numFmtId="37" fontId="4" fillId="2" borderId="0" xfId="60" quotePrefix="1" applyNumberFormat="1" applyFont="1" applyFill="1" applyAlignment="1">
      <alignment horizontal="right" vertical="center"/>
    </xf>
    <xf numFmtId="37" fontId="4" fillId="2" borderId="2" xfId="60" applyNumberFormat="1" applyFont="1" applyFill="1" applyBorder="1" applyAlignment="1">
      <alignment horizontal="center" vertical="center"/>
    </xf>
    <xf numFmtId="37" fontId="4" fillId="2" borderId="9" xfId="60" applyNumberFormat="1" applyFont="1" applyFill="1" applyBorder="1" applyAlignment="1">
      <alignment horizontal="left" vertical="center"/>
    </xf>
    <xf numFmtId="3" fontId="4" fillId="2" borderId="3" xfId="60" applyNumberFormat="1" applyFont="1" applyFill="1" applyBorder="1" applyAlignment="1">
      <alignment vertical="center"/>
    </xf>
    <xf numFmtId="37" fontId="4" fillId="2" borderId="9" xfId="60" applyNumberFormat="1" applyFont="1" applyFill="1" applyBorder="1" applyAlignment="1">
      <alignment vertical="center"/>
    </xf>
    <xf numFmtId="0" fontId="4" fillId="2" borderId="9" xfId="60" applyFont="1" applyFill="1" applyBorder="1" applyAlignment="1">
      <alignment vertical="center"/>
    </xf>
    <xf numFmtId="37" fontId="4" fillId="2" borderId="0" xfId="60" applyNumberFormat="1" applyFont="1" applyFill="1" applyAlignment="1">
      <alignment vertical="center"/>
    </xf>
    <xf numFmtId="0" fontId="4" fillId="2" borderId="0" xfId="60" applyFont="1" applyFill="1" applyAlignment="1">
      <alignment horizontal="right" vertical="center"/>
    </xf>
    <xf numFmtId="37" fontId="4" fillId="2" borderId="0" xfId="60" applyNumberFormat="1" applyFont="1" applyFill="1" applyAlignment="1">
      <alignment horizontal="right" vertical="center"/>
    </xf>
    <xf numFmtId="1" fontId="4" fillId="2" borderId="5" xfId="60" applyNumberFormat="1" applyFont="1" applyFill="1" applyBorder="1" applyAlignment="1">
      <alignment horizontal="center" vertical="center"/>
    </xf>
    <xf numFmtId="37" fontId="4" fillId="2" borderId="0" xfId="60" applyNumberFormat="1" applyFont="1" applyFill="1" applyAlignment="1">
      <alignment horizontal="fill" vertical="center"/>
    </xf>
    <xf numFmtId="37" fontId="4" fillId="2" borderId="15" xfId="60" applyNumberFormat="1" applyFont="1" applyFill="1" applyBorder="1" applyAlignment="1">
      <alignment horizontal="left" vertical="center"/>
    </xf>
    <xf numFmtId="37" fontId="3" fillId="2" borderId="9" xfId="60" applyNumberFormat="1" applyFont="1" applyFill="1" applyBorder="1" applyAlignment="1">
      <alignment horizontal="left" vertical="center"/>
    </xf>
    <xf numFmtId="0" fontId="14" fillId="0" borderId="0" xfId="60" applyFont="1" applyAlignment="1">
      <alignment vertical="center"/>
    </xf>
    <xf numFmtId="0" fontId="12" fillId="2" borderId="0" xfId="60" applyFont="1" applyFill="1" applyAlignment="1">
      <alignment horizontal="center" vertical="center"/>
    </xf>
    <xf numFmtId="37" fontId="4" fillId="6" borderId="9" xfId="60" applyNumberFormat="1" applyFont="1" applyFill="1" applyBorder="1" applyAlignment="1" applyProtection="1">
      <alignment horizontal="left" vertical="center"/>
      <protection locked="0"/>
    </xf>
    <xf numFmtId="3" fontId="3" fillId="7" borderId="3" xfId="60" applyNumberFormat="1" applyFont="1" applyFill="1" applyBorder="1" applyAlignment="1">
      <alignment vertical="center"/>
    </xf>
    <xf numFmtId="0" fontId="4" fillId="2" borderId="9" xfId="60" applyFont="1" applyFill="1" applyBorder="1" applyAlignment="1" applyProtection="1">
      <alignment vertical="center"/>
      <protection locked="0"/>
    </xf>
    <xf numFmtId="3" fontId="4" fillId="2" borderId="3" xfId="60" applyNumberFormat="1" applyFont="1" applyFill="1" applyBorder="1" applyAlignment="1">
      <alignment horizontal="fill" vertical="center"/>
    </xf>
    <xf numFmtId="0" fontId="4" fillId="6" borderId="9" xfId="60" applyFont="1" applyFill="1" applyBorder="1" applyAlignment="1" applyProtection="1">
      <alignment horizontal="left" vertical="center"/>
      <protection locked="0"/>
    </xf>
    <xf numFmtId="3" fontId="3" fillId="2" borderId="3" xfId="60" applyNumberFormat="1" applyFont="1" applyFill="1" applyBorder="1" applyAlignment="1">
      <alignment vertical="center"/>
    </xf>
    <xf numFmtId="37" fontId="4" fillId="2" borderId="14" xfId="60" applyNumberFormat="1" applyFont="1" applyFill="1" applyBorder="1" applyAlignment="1">
      <alignment horizontal="center" vertical="center"/>
    </xf>
    <xf numFmtId="1" fontId="4" fillId="2" borderId="14" xfId="60" applyNumberFormat="1" applyFont="1" applyFill="1" applyBorder="1" applyAlignment="1">
      <alignment horizontal="center" vertical="center"/>
    </xf>
    <xf numFmtId="1" fontId="4" fillId="2" borderId="15" xfId="60" applyNumberFormat="1" applyFont="1" applyFill="1" applyBorder="1" applyAlignment="1">
      <alignment horizontal="center" vertical="center"/>
    </xf>
    <xf numFmtId="37" fontId="4" fillId="4" borderId="9" xfId="60" applyNumberFormat="1" applyFont="1" applyFill="1" applyBorder="1" applyAlignment="1" applyProtection="1">
      <alignment horizontal="right" vertical="center"/>
      <protection locked="0"/>
    </xf>
    <xf numFmtId="3" fontId="3" fillId="7" borderId="9" xfId="60" applyNumberFormat="1" applyFont="1" applyFill="1" applyBorder="1" applyAlignment="1">
      <alignment vertical="center"/>
    </xf>
    <xf numFmtId="3" fontId="4" fillId="2" borderId="9" xfId="60" applyNumberFormat="1" applyFont="1" applyFill="1" applyBorder="1" applyAlignment="1">
      <alignment vertical="center"/>
    </xf>
    <xf numFmtId="37" fontId="4" fillId="4" borderId="9" xfId="60" applyNumberFormat="1" applyFont="1" applyFill="1" applyBorder="1" applyAlignment="1" applyProtection="1">
      <alignment vertical="center"/>
      <protection locked="0"/>
    </xf>
    <xf numFmtId="3" fontId="4" fillId="6" borderId="9" xfId="60" applyNumberFormat="1" applyFont="1" applyFill="1" applyBorder="1" applyAlignment="1" applyProtection="1">
      <alignment vertical="center"/>
      <protection locked="0"/>
    </xf>
    <xf numFmtId="3" fontId="3" fillId="2" borderId="9" xfId="60" applyNumberFormat="1" applyFont="1" applyFill="1" applyBorder="1" applyAlignment="1">
      <alignment vertical="center"/>
    </xf>
    <xf numFmtId="3" fontId="4" fillId="7" borderId="9" xfId="60" applyNumberFormat="1" applyFont="1" applyFill="1" applyBorder="1" applyAlignment="1">
      <alignment vertical="center"/>
    </xf>
    <xf numFmtId="37" fontId="3" fillId="2" borderId="1" xfId="60" applyNumberFormat="1" applyFont="1" applyFill="1" applyBorder="1" applyAlignment="1">
      <alignment vertical="center"/>
    </xf>
    <xf numFmtId="37" fontId="3" fillId="2" borderId="0" xfId="60" applyNumberFormat="1" applyFont="1" applyFill="1" applyAlignment="1">
      <alignment vertical="center"/>
    </xf>
    <xf numFmtId="37" fontId="4" fillId="2" borderId="0" xfId="65" applyNumberFormat="1" applyFont="1" applyFill="1" applyAlignment="1">
      <alignment horizontal="left" vertical="center"/>
    </xf>
    <xf numFmtId="37" fontId="4" fillId="2" borderId="3" xfId="65" applyNumberFormat="1" applyFont="1" applyFill="1" applyBorder="1" applyAlignment="1">
      <alignment horizontal="left" vertical="center"/>
    </xf>
    <xf numFmtId="3" fontId="4" fillId="6" borderId="3" xfId="65" applyNumberFormat="1" applyFont="1" applyFill="1" applyBorder="1" applyAlignment="1" applyProtection="1">
      <alignment vertical="center"/>
      <protection locked="0"/>
    </xf>
    <xf numFmtId="49" fontId="4" fillId="2" borderId="3" xfId="65" applyNumberFormat="1" applyFont="1" applyFill="1" applyBorder="1" applyAlignment="1">
      <alignment horizontal="center" vertical="center"/>
    </xf>
    <xf numFmtId="37" fontId="3" fillId="2" borderId="14" xfId="60" applyNumberFormat="1" applyFont="1" applyFill="1" applyBorder="1" applyAlignment="1">
      <alignment horizontal="left" vertical="center"/>
    </xf>
    <xf numFmtId="49" fontId="4" fillId="2" borderId="0" xfId="65" applyNumberFormat="1" applyFont="1" applyFill="1" applyAlignment="1">
      <alignment horizontal="center" vertical="center"/>
    </xf>
    <xf numFmtId="37" fontId="12" fillId="2" borderId="0" xfId="60" applyNumberFormat="1" applyFont="1" applyFill="1" applyAlignment="1">
      <alignment horizontal="center" vertical="center"/>
    </xf>
    <xf numFmtId="37" fontId="4" fillId="2" borderId="3" xfId="60" applyNumberFormat="1" applyFont="1" applyFill="1" applyBorder="1" applyAlignment="1">
      <alignment horizontal="center" vertical="center"/>
    </xf>
    <xf numFmtId="37" fontId="12" fillId="2" borderId="0" xfId="60" applyNumberFormat="1" applyFont="1" applyFill="1" applyAlignment="1">
      <alignment horizontal="right" vertical="center"/>
    </xf>
    <xf numFmtId="37" fontId="11" fillId="2" borderId="0" xfId="60" applyNumberFormat="1" applyFont="1" applyFill="1" applyAlignment="1">
      <alignment horizontal="center" vertical="center"/>
    </xf>
    <xf numFmtId="37" fontId="43" fillId="2" borderId="0" xfId="60" applyNumberFormat="1" applyFont="1" applyFill="1" applyAlignment="1">
      <alignment horizontal="center" vertical="center"/>
    </xf>
    <xf numFmtId="37" fontId="4" fillId="2" borderId="10" xfId="60" applyNumberFormat="1" applyFont="1" applyFill="1" applyBorder="1" applyAlignment="1">
      <alignment horizontal="center" vertical="center"/>
    </xf>
    <xf numFmtId="37" fontId="4" fillId="2" borderId="5" xfId="60" applyNumberFormat="1" applyFont="1" applyFill="1" applyBorder="1" applyAlignment="1">
      <alignment horizontal="center" vertical="center"/>
    </xf>
    <xf numFmtId="0" fontId="31" fillId="0" borderId="0" xfId="0" applyFont="1" applyAlignment="1">
      <alignment vertical="center"/>
    </xf>
    <xf numFmtId="0" fontId="4" fillId="0" borderId="0" xfId="0" applyFont="1" applyAlignment="1">
      <alignment wrapText="1"/>
    </xf>
    <xf numFmtId="3" fontId="4" fillId="2" borderId="5" xfId="0" applyNumberFormat="1" applyFont="1" applyFill="1" applyBorder="1" applyAlignment="1">
      <alignment horizontal="center" vertical="center"/>
    </xf>
    <xf numFmtId="171" fontId="4" fillId="14" borderId="3" xfId="60" applyNumberFormat="1" applyFont="1" applyFill="1" applyBorder="1" applyAlignment="1" applyProtection="1">
      <alignment horizontal="center" vertical="center"/>
      <protection locked="0"/>
    </xf>
    <xf numFmtId="3" fontId="4" fillId="4" borderId="9" xfId="60" applyNumberFormat="1" applyFont="1" applyFill="1" applyBorder="1" applyAlignment="1" applyProtection="1">
      <alignment horizontal="right" vertical="center"/>
      <protection locked="0"/>
    </xf>
    <xf numFmtId="0" fontId="4" fillId="0" borderId="0" xfId="65" applyFont="1" applyAlignment="1">
      <alignment vertical="center" wrapText="1"/>
    </xf>
    <xf numFmtId="37" fontId="4" fillId="2" borderId="3" xfId="0" applyNumberFormat="1" applyFont="1" applyFill="1" applyBorder="1" applyAlignment="1">
      <alignment horizontal="left"/>
    </xf>
    <xf numFmtId="37" fontId="4" fillId="2" borderId="3" xfId="0" applyNumberFormat="1" applyFont="1" applyFill="1" applyBorder="1"/>
    <xf numFmtId="0" fontId="18" fillId="0" borderId="0" xfId="0" applyFont="1"/>
    <xf numFmtId="0" fontId="19" fillId="0" borderId="0" xfId="0" applyFont="1" applyAlignment="1">
      <alignment horizontal="center"/>
    </xf>
    <xf numFmtId="0" fontId="3" fillId="0" borderId="0" xfId="0" applyFont="1" applyAlignment="1">
      <alignment wrapText="1"/>
    </xf>
    <xf numFmtId="0" fontId="19" fillId="0" borderId="0" xfId="0" applyFont="1" applyAlignment="1">
      <alignment horizontal="center" vertical="center"/>
    </xf>
    <xf numFmtId="0" fontId="3" fillId="0" borderId="0" xfId="0" applyFont="1" applyAlignment="1">
      <alignment vertical="center" wrapText="1"/>
    </xf>
    <xf numFmtId="0" fontId="18" fillId="0" borderId="0" xfId="0" applyFont="1" applyAlignment="1">
      <alignment vertical="center"/>
    </xf>
    <xf numFmtId="0" fontId="21" fillId="0" borderId="0" xfId="0" applyFont="1" applyAlignment="1">
      <alignment vertical="center" wrapText="1"/>
    </xf>
    <xf numFmtId="0" fontId="6" fillId="0" borderId="0" xfId="0" applyFont="1" applyAlignment="1">
      <alignment vertical="center"/>
    </xf>
    <xf numFmtId="0" fontId="20" fillId="0" borderId="0" xfId="0" applyFont="1" applyAlignment="1">
      <alignment vertical="center" wrapText="1"/>
    </xf>
    <xf numFmtId="0" fontId="22" fillId="0" borderId="0" xfId="0" applyFont="1" applyAlignment="1">
      <alignment vertical="center"/>
    </xf>
    <xf numFmtId="0" fontId="44" fillId="0" borderId="0" xfId="0" applyFont="1" applyAlignment="1">
      <alignment wrapText="1"/>
    </xf>
    <xf numFmtId="0" fontId="21" fillId="0" borderId="0" xfId="0" applyFont="1" applyAlignment="1">
      <alignment wrapText="1"/>
    </xf>
    <xf numFmtId="171" fontId="4" fillId="14" borderId="11" xfId="60" applyNumberFormat="1" applyFont="1" applyFill="1" applyBorder="1" applyAlignment="1" applyProtection="1">
      <alignment horizontal="center"/>
      <protection locked="0"/>
    </xf>
    <xf numFmtId="0" fontId="34" fillId="13" borderId="16" xfId="60" applyFont="1" applyFill="1" applyBorder="1"/>
    <xf numFmtId="0" fontId="4" fillId="13" borderId="0" xfId="60" applyFont="1" applyFill="1"/>
    <xf numFmtId="172" fontId="4" fillId="13" borderId="11" xfId="60" applyNumberFormat="1" applyFont="1" applyFill="1" applyBorder="1" applyAlignment="1">
      <alignment horizontal="center"/>
    </xf>
    <xf numFmtId="0" fontId="4" fillId="13" borderId="15" xfId="60" applyFont="1" applyFill="1" applyBorder="1"/>
    <xf numFmtId="0" fontId="4" fillId="13" borderId="1" xfId="60" applyFont="1" applyFill="1" applyBorder="1"/>
    <xf numFmtId="172" fontId="4" fillId="16" borderId="4" xfId="60" applyNumberFormat="1" applyFont="1" applyFill="1" applyBorder="1" applyAlignment="1">
      <alignment horizontal="center"/>
    </xf>
    <xf numFmtId="0" fontId="4" fillId="0" borderId="0" xfId="60" applyFont="1"/>
    <xf numFmtId="0" fontId="4" fillId="13" borderId="16" xfId="60" applyFont="1" applyFill="1" applyBorder="1"/>
    <xf numFmtId="0" fontId="4" fillId="13" borderId="11" xfId="60" applyFont="1" applyFill="1" applyBorder="1"/>
    <xf numFmtId="170" fontId="4" fillId="13" borderId="11" xfId="60" applyNumberFormat="1" applyFont="1" applyFill="1" applyBorder="1" applyAlignment="1">
      <alignment horizontal="center"/>
    </xf>
    <xf numFmtId="0" fontId="4" fillId="16" borderId="16" xfId="60" applyFont="1" applyFill="1" applyBorder="1"/>
    <xf numFmtId="0" fontId="4" fillId="16" borderId="0" xfId="60" applyFont="1" applyFill="1"/>
    <xf numFmtId="0" fontId="4" fillId="16" borderId="15" xfId="60" applyFont="1" applyFill="1" applyBorder="1"/>
    <xf numFmtId="0" fontId="4" fillId="16" borderId="1" xfId="60" applyFont="1" applyFill="1" applyBorder="1"/>
    <xf numFmtId="172" fontId="4" fillId="13" borderId="4" xfId="60" applyNumberFormat="1" applyFont="1" applyFill="1" applyBorder="1" applyAlignment="1">
      <alignment horizontal="center"/>
    </xf>
    <xf numFmtId="0" fontId="45" fillId="0" borderId="0" xfId="0" applyFont="1" applyAlignment="1">
      <alignment vertical="center"/>
    </xf>
    <xf numFmtId="0" fontId="46" fillId="0" borderId="0" xfId="0" applyFont="1" applyAlignment="1" applyProtection="1">
      <alignment horizontal="center" vertical="center"/>
      <protection locked="0"/>
    </xf>
    <xf numFmtId="0" fontId="47" fillId="2" borderId="0" xfId="0" applyFont="1" applyFill="1" applyAlignment="1">
      <alignment horizontal="center" vertical="center"/>
    </xf>
    <xf numFmtId="37" fontId="4" fillId="2" borderId="17" xfId="0" applyNumberFormat="1" applyFont="1" applyFill="1" applyBorder="1" applyAlignment="1">
      <alignment vertical="center"/>
    </xf>
    <xf numFmtId="0" fontId="4" fillId="2" borderId="17" xfId="0" applyFont="1" applyFill="1" applyBorder="1" applyAlignment="1">
      <alignment vertical="center"/>
    </xf>
    <xf numFmtId="37" fontId="3" fillId="2" borderId="0" xfId="0" applyNumberFormat="1" applyFont="1" applyFill="1" applyAlignment="1">
      <alignment vertical="center"/>
    </xf>
    <xf numFmtId="0" fontId="4" fillId="6" borderId="9" xfId="41" applyFont="1" applyFill="1" applyBorder="1" applyAlignment="1" applyProtection="1">
      <alignment horizontal="left" vertical="center"/>
      <protection locked="0"/>
    </xf>
    <xf numFmtId="0" fontId="4" fillId="6" borderId="9" xfId="65" applyFont="1" applyFill="1" applyBorder="1" applyAlignment="1" applyProtection="1">
      <alignment horizontal="left" vertical="center"/>
      <protection locked="0"/>
    </xf>
    <xf numFmtId="37" fontId="4" fillId="2" borderId="2" xfId="41" applyNumberFormat="1" applyFont="1" applyFill="1" applyBorder="1" applyAlignment="1">
      <alignment horizontal="center"/>
    </xf>
    <xf numFmtId="37" fontId="4" fillId="2" borderId="5" xfId="41" applyNumberFormat="1" applyFont="1" applyFill="1" applyBorder="1" applyAlignment="1">
      <alignment horizontal="center"/>
    </xf>
    <xf numFmtId="172" fontId="4" fillId="16" borderId="11" xfId="60" applyNumberFormat="1" applyFont="1" applyFill="1" applyBorder="1" applyAlignment="1">
      <alignment horizontal="center"/>
    </xf>
    <xf numFmtId="0" fontId="4" fillId="16" borderId="15" xfId="0" applyFont="1" applyFill="1" applyBorder="1" applyAlignment="1">
      <alignment vertical="center"/>
    </xf>
    <xf numFmtId="0" fontId="4" fillId="16" borderId="1" xfId="0" applyFont="1" applyFill="1" applyBorder="1" applyAlignment="1">
      <alignment vertical="center"/>
    </xf>
    <xf numFmtId="172" fontId="4" fillId="16" borderId="4" xfId="0" applyNumberFormat="1" applyFont="1" applyFill="1" applyBorder="1" applyAlignment="1">
      <alignment horizontal="center" vertical="center"/>
    </xf>
    <xf numFmtId="0" fontId="4" fillId="2" borderId="0" xfId="14" applyNumberFormat="1" applyFont="1" applyFill="1" applyBorder="1" applyAlignment="1" applyProtection="1">
      <alignment horizontal="right" vertical="center"/>
    </xf>
    <xf numFmtId="49" fontId="4" fillId="0" borderId="0" xfId="484" applyNumberFormat="1" applyFont="1" applyAlignment="1" applyProtection="1">
      <alignment horizontal="left" vertical="center"/>
      <protection locked="0"/>
    </xf>
    <xf numFmtId="37" fontId="4" fillId="2" borderId="0" xfId="41" applyNumberFormat="1" applyFont="1" applyFill="1" applyAlignment="1">
      <alignment vertical="center"/>
    </xf>
    <xf numFmtId="0" fontId="4" fillId="2" borderId="0" xfId="41" applyFont="1" applyFill="1" applyAlignment="1">
      <alignment vertical="center"/>
    </xf>
    <xf numFmtId="1" fontId="4" fillId="2" borderId="0" xfId="41" applyNumberFormat="1" applyFont="1" applyFill="1" applyAlignment="1">
      <alignment horizontal="right" vertical="center"/>
    </xf>
    <xf numFmtId="0" fontId="4" fillId="0" borderId="0" xfId="41" applyFont="1" applyAlignment="1" applyProtection="1">
      <alignment vertical="center"/>
      <protection locked="0"/>
    </xf>
    <xf numFmtId="37" fontId="4" fillId="2" borderId="0" xfId="41" applyNumberFormat="1" applyFont="1" applyFill="1" applyAlignment="1">
      <alignment horizontal="right" vertical="center"/>
    </xf>
    <xf numFmtId="0" fontId="3" fillId="2" borderId="0" xfId="41" applyFont="1" applyFill="1" applyAlignment="1">
      <alignment vertical="center"/>
    </xf>
    <xf numFmtId="37" fontId="4" fillId="2" borderId="0" xfId="41" applyNumberFormat="1" applyFont="1" applyFill="1" applyAlignment="1">
      <alignment horizontal="fill" vertical="center"/>
    </xf>
    <xf numFmtId="37" fontId="4" fillId="2" borderId="0" xfId="41" applyNumberFormat="1" applyFont="1" applyFill="1" applyAlignment="1">
      <alignment horizontal="left" vertical="center"/>
    </xf>
    <xf numFmtId="1" fontId="4" fillId="2" borderId="14" xfId="41" applyNumberFormat="1" applyFont="1" applyFill="1" applyBorder="1" applyAlignment="1">
      <alignment horizontal="center" vertical="center"/>
    </xf>
    <xf numFmtId="37" fontId="4" fillId="2" borderId="14" xfId="41" applyNumberFormat="1" applyFont="1" applyFill="1" applyBorder="1" applyAlignment="1">
      <alignment horizontal="center" vertical="center"/>
    </xf>
    <xf numFmtId="37" fontId="4" fillId="2" borderId="2" xfId="41" applyNumberFormat="1" applyFont="1" applyFill="1" applyBorder="1" applyAlignment="1">
      <alignment horizontal="center" vertical="center"/>
    </xf>
    <xf numFmtId="37" fontId="3" fillId="2" borderId="0" xfId="41" applyNumberFormat="1" applyFont="1" applyFill="1" applyAlignment="1">
      <alignment vertical="center"/>
    </xf>
    <xf numFmtId="0" fontId="4" fillId="2" borderId="15" xfId="41" applyFont="1" applyFill="1" applyBorder="1" applyAlignment="1">
      <alignment horizontal="center" vertical="center"/>
    </xf>
    <xf numFmtId="1" fontId="4" fillId="2" borderId="5" xfId="41" applyNumberFormat="1" applyFont="1" applyFill="1" applyBorder="1" applyAlignment="1">
      <alignment horizontal="center" vertical="center"/>
    </xf>
    <xf numFmtId="37" fontId="4" fillId="2" borderId="9" xfId="41" applyNumberFormat="1" applyFont="1" applyFill="1" applyBorder="1" applyAlignment="1">
      <alignment horizontal="left" vertical="center"/>
    </xf>
    <xf numFmtId="3" fontId="4" fillId="6" borderId="14" xfId="41" applyNumberFormat="1" applyFont="1" applyFill="1" applyBorder="1" applyAlignment="1" applyProtection="1">
      <alignment horizontal="right" vertical="center"/>
      <protection locked="0"/>
    </xf>
    <xf numFmtId="3" fontId="4" fillId="2" borderId="3" xfId="1" applyNumberFormat="1" applyFont="1" applyFill="1" applyBorder="1" applyAlignment="1" applyProtection="1">
      <alignment horizontal="right" vertical="center"/>
    </xf>
    <xf numFmtId="3" fontId="4" fillId="2" borderId="4" xfId="1" applyNumberFormat="1" applyFont="1" applyFill="1" applyBorder="1" applyAlignment="1" applyProtection="1">
      <alignment horizontal="right" vertical="center"/>
    </xf>
    <xf numFmtId="37" fontId="4" fillId="2" borderId="15" xfId="41" applyNumberFormat="1" applyFont="1" applyFill="1" applyBorder="1" applyAlignment="1">
      <alignment horizontal="left" vertical="center"/>
    </xf>
    <xf numFmtId="3" fontId="4" fillId="2" borderId="14" xfId="41" applyNumberFormat="1" applyFont="1" applyFill="1" applyBorder="1" applyAlignment="1" applyProtection="1">
      <alignment horizontal="right" vertical="center"/>
      <protection locked="0"/>
    </xf>
    <xf numFmtId="3" fontId="4" fillId="2" borderId="7" xfId="1" applyNumberFormat="1" applyFont="1" applyFill="1" applyBorder="1" applyAlignment="1" applyProtection="1">
      <alignment horizontal="right" vertical="center"/>
    </xf>
    <xf numFmtId="3" fontId="4" fillId="2" borderId="7" xfId="41" applyNumberFormat="1" applyFont="1" applyFill="1" applyBorder="1" applyAlignment="1">
      <alignment horizontal="fill" vertical="center"/>
    </xf>
    <xf numFmtId="3" fontId="4" fillId="6" borderId="3" xfId="41" applyNumberFormat="1" applyFont="1" applyFill="1" applyBorder="1" applyAlignment="1" applyProtection="1">
      <alignment horizontal="right" vertical="center"/>
      <protection locked="0"/>
    </xf>
    <xf numFmtId="3" fontId="4" fillId="6" borderId="7" xfId="41" applyNumberFormat="1" applyFont="1" applyFill="1" applyBorder="1" applyAlignment="1" applyProtection="1">
      <alignment horizontal="right" vertical="center"/>
      <protection locked="0"/>
    </xf>
    <xf numFmtId="3" fontId="4" fillId="2" borderId="7" xfId="41" applyNumberFormat="1" applyFont="1" applyFill="1" applyBorder="1" applyAlignment="1">
      <alignment horizontal="right" vertical="center"/>
    </xf>
    <xf numFmtId="0" fontId="4" fillId="2" borderId="9" xfId="41" applyFont="1" applyFill="1" applyBorder="1" applyAlignment="1">
      <alignment horizontal="left" vertical="center"/>
    </xf>
    <xf numFmtId="0" fontId="4" fillId="6" borderId="9" xfId="41" applyFont="1" applyFill="1" applyBorder="1" applyAlignment="1" applyProtection="1">
      <alignment horizontal="left"/>
      <protection locked="0"/>
    </xf>
    <xf numFmtId="3" fontId="4" fillId="6" borderId="9" xfId="41" applyNumberFormat="1" applyFont="1" applyFill="1" applyBorder="1" applyAlignment="1" applyProtection="1">
      <alignment horizontal="right" vertical="center"/>
      <protection locked="0"/>
    </xf>
    <xf numFmtId="0" fontId="4" fillId="6" borderId="14" xfId="41" applyFont="1" applyFill="1" applyBorder="1" applyAlignment="1" applyProtection="1">
      <alignment horizontal="left" vertical="center"/>
      <protection locked="0"/>
    </xf>
    <xf numFmtId="0" fontId="4" fillId="2" borderId="9" xfId="41" applyFont="1" applyFill="1" applyBorder="1" applyAlignment="1">
      <alignment vertical="center"/>
    </xf>
    <xf numFmtId="3" fontId="4" fillId="6" borderId="4" xfId="41" applyNumberFormat="1" applyFont="1" applyFill="1" applyBorder="1" applyAlignment="1" applyProtection="1">
      <alignment horizontal="right" vertical="center"/>
      <protection locked="0"/>
    </xf>
    <xf numFmtId="3" fontId="14" fillId="10" borderId="9" xfId="41" applyNumberFormat="1" applyFont="1" applyFill="1" applyBorder="1" applyAlignment="1">
      <alignment horizontal="center" vertical="center"/>
    </xf>
    <xf numFmtId="3" fontId="14" fillId="10" borderId="3" xfId="41" applyNumberFormat="1" applyFont="1" applyFill="1" applyBorder="1" applyAlignment="1">
      <alignment horizontal="center" vertical="center"/>
    </xf>
    <xf numFmtId="3" fontId="14" fillId="10" borderId="7" xfId="41" applyNumberFormat="1" applyFont="1" applyFill="1" applyBorder="1" applyAlignment="1">
      <alignment horizontal="center" vertical="center"/>
    </xf>
    <xf numFmtId="37" fontId="3" fillId="2" borderId="9" xfId="41" applyNumberFormat="1" applyFont="1" applyFill="1" applyBorder="1" applyAlignment="1">
      <alignment horizontal="left" vertical="center"/>
    </xf>
    <xf numFmtId="3" fontId="3" fillId="7" borderId="9" xfId="41" applyNumberFormat="1" applyFont="1" applyFill="1" applyBorder="1" applyAlignment="1">
      <alignment horizontal="right" vertical="center"/>
    </xf>
    <xf numFmtId="3" fontId="3" fillId="7" borderId="3" xfId="41" applyNumberFormat="1" applyFont="1" applyFill="1" applyBorder="1" applyAlignment="1">
      <alignment horizontal="right" vertical="center"/>
    </xf>
    <xf numFmtId="3" fontId="3" fillId="7" borderId="4" xfId="41" applyNumberFormat="1" applyFont="1" applyFill="1" applyBorder="1" applyAlignment="1">
      <alignment horizontal="right" vertical="center"/>
    </xf>
    <xf numFmtId="3" fontId="3" fillId="7" borderId="7" xfId="41" applyNumberFormat="1" applyFont="1" applyFill="1" applyBorder="1" applyAlignment="1">
      <alignment horizontal="right" vertical="center"/>
    </xf>
    <xf numFmtId="3" fontId="4" fillId="2" borderId="9" xfId="41" applyNumberFormat="1" applyFont="1" applyFill="1" applyBorder="1" applyAlignment="1">
      <alignment horizontal="right" vertical="center"/>
    </xf>
    <xf numFmtId="3" fontId="4" fillId="2" borderId="3" xfId="41" applyNumberFormat="1" applyFont="1" applyFill="1" applyBorder="1" applyAlignment="1">
      <alignment horizontal="right" vertical="center"/>
    </xf>
    <xf numFmtId="0" fontId="4" fillId="6" borderId="9" xfId="41" applyFont="1" applyFill="1" applyBorder="1" applyAlignment="1" applyProtection="1">
      <alignment vertical="center"/>
      <protection locked="0"/>
    </xf>
    <xf numFmtId="3" fontId="4" fillId="6" borderId="7" xfId="41" applyNumberFormat="1" applyFont="1" applyFill="1" applyBorder="1" applyAlignment="1" applyProtection="1">
      <alignment horizontal="right"/>
      <protection locked="0"/>
    </xf>
    <xf numFmtId="0" fontId="4" fillId="6" borderId="9" xfId="41" applyFont="1" applyFill="1" applyBorder="1" applyProtection="1">
      <protection locked="0"/>
    </xf>
    <xf numFmtId="0" fontId="4" fillId="6" borderId="9" xfId="112" applyFont="1" applyFill="1" applyBorder="1" applyProtection="1">
      <protection locked="0"/>
    </xf>
    <xf numFmtId="0" fontId="4" fillId="0" borderId="0" xfId="41" applyFont="1" applyAlignment="1" applyProtection="1">
      <alignment horizontal="center" vertical="center"/>
      <protection locked="0"/>
    </xf>
    <xf numFmtId="0" fontId="2" fillId="0" borderId="0" xfId="41" applyAlignment="1">
      <alignment vertical="center"/>
    </xf>
    <xf numFmtId="3" fontId="4" fillId="0" borderId="0" xfId="41" applyNumberFormat="1" applyFont="1" applyAlignment="1" applyProtection="1">
      <alignment horizontal="center" vertical="center"/>
      <protection locked="0"/>
    </xf>
    <xf numFmtId="3" fontId="4" fillId="14" borderId="7" xfId="41" applyNumberFormat="1" applyFont="1" applyFill="1" applyBorder="1" applyAlignment="1" applyProtection="1">
      <alignment horizontal="right" vertical="center"/>
      <protection locked="0"/>
    </xf>
    <xf numFmtId="0" fontId="34" fillId="13" borderId="16" xfId="41" applyFont="1" applyFill="1" applyBorder="1" applyAlignment="1">
      <alignment vertical="center"/>
    </xf>
    <xf numFmtId="0" fontId="4" fillId="13" borderId="0" xfId="41" applyFont="1" applyFill="1" applyAlignment="1">
      <alignment vertical="center"/>
    </xf>
    <xf numFmtId="0" fontId="34" fillId="13" borderId="0" xfId="41" applyFont="1" applyFill="1" applyAlignment="1">
      <alignment vertical="center"/>
    </xf>
    <xf numFmtId="172" fontId="34" fillId="13" borderId="11" xfId="41" applyNumberFormat="1" applyFont="1" applyFill="1" applyBorder="1" applyAlignment="1">
      <alignment horizontal="center" vertical="center"/>
    </xf>
    <xf numFmtId="0" fontId="34" fillId="13" borderId="16" xfId="41" applyFont="1" applyFill="1" applyBorder="1" applyAlignment="1">
      <alignment horizontal="left" vertical="center"/>
    </xf>
    <xf numFmtId="172" fontId="34" fillId="14" borderId="3" xfId="41" applyNumberFormat="1" applyFont="1" applyFill="1" applyBorder="1" applyAlignment="1" applyProtection="1">
      <alignment horizontal="center" vertical="center"/>
      <protection locked="0"/>
    </xf>
    <xf numFmtId="0" fontId="36" fillId="13" borderId="7" xfId="41" applyFont="1" applyFill="1" applyBorder="1" applyAlignment="1">
      <alignment horizontal="center" vertical="center"/>
    </xf>
    <xf numFmtId="0" fontId="36" fillId="16" borderId="16" xfId="41" applyFont="1" applyFill="1" applyBorder="1" applyAlignment="1">
      <alignment vertical="center"/>
    </xf>
    <xf numFmtId="0" fontId="4" fillId="16" borderId="0" xfId="41" applyFont="1" applyFill="1" applyAlignment="1">
      <alignment vertical="center"/>
    </xf>
    <xf numFmtId="0" fontId="34" fillId="16" borderId="0" xfId="41" applyFont="1" applyFill="1" applyAlignment="1">
      <alignment vertical="center"/>
    </xf>
    <xf numFmtId="172" fontId="36" fillId="16" borderId="7" xfId="41" applyNumberFormat="1" applyFont="1" applyFill="1" applyBorder="1" applyAlignment="1">
      <alignment horizontal="center" vertical="center"/>
    </xf>
    <xf numFmtId="37" fontId="34" fillId="2" borderId="15" xfId="41" applyNumberFormat="1" applyFont="1" applyFill="1" applyBorder="1" applyAlignment="1">
      <alignment horizontal="left" vertical="center"/>
    </xf>
    <xf numFmtId="0" fontId="37" fillId="13" borderId="1" xfId="41" applyFont="1" applyFill="1" applyBorder="1" applyAlignment="1">
      <alignment horizontal="left" vertical="center"/>
    </xf>
    <xf numFmtId="172" fontId="36" fillId="16" borderId="4" xfId="41" applyNumberFormat="1" applyFont="1" applyFill="1" applyBorder="1" applyAlignment="1" applyProtection="1">
      <alignment horizontal="center" vertical="center"/>
      <protection locked="0"/>
    </xf>
    <xf numFmtId="0" fontId="4" fillId="13" borderId="16" xfId="41" applyFont="1" applyFill="1" applyBorder="1" applyAlignment="1">
      <alignment vertical="center"/>
    </xf>
    <xf numFmtId="0" fontId="4" fillId="13" borderId="11" xfId="41" applyFont="1" applyFill="1" applyBorder="1" applyAlignment="1">
      <alignment vertical="center"/>
    </xf>
    <xf numFmtId="172" fontId="34" fillId="13" borderId="16" xfId="41" applyNumberFormat="1" applyFont="1" applyFill="1" applyBorder="1" applyAlignment="1">
      <alignment horizontal="center" vertical="center"/>
    </xf>
    <xf numFmtId="0" fontId="34" fillId="13" borderId="0" xfId="41" applyFont="1" applyFill="1" applyAlignment="1">
      <alignment horizontal="left" vertical="center"/>
    </xf>
    <xf numFmtId="0" fontId="34" fillId="13" borderId="11" xfId="41" applyFont="1" applyFill="1" applyBorder="1" applyAlignment="1">
      <alignment vertical="center"/>
    </xf>
    <xf numFmtId="3" fontId="4" fillId="7" borderId="9" xfId="41" applyNumberFormat="1" applyFont="1" applyFill="1" applyBorder="1" applyAlignment="1">
      <alignment horizontal="right" vertical="center"/>
    </xf>
    <xf numFmtId="3" fontId="4" fillId="7" borderId="3" xfId="41" applyNumberFormat="1" applyFont="1" applyFill="1" applyBorder="1" applyAlignment="1">
      <alignment horizontal="right" vertical="center"/>
    </xf>
    <xf numFmtId="0" fontId="4" fillId="2" borderId="0" xfId="41" applyFont="1" applyFill="1" applyAlignment="1">
      <alignment horizontal="right" vertical="center"/>
    </xf>
    <xf numFmtId="0" fontId="14" fillId="0" borderId="0" xfId="41" applyFont="1" applyAlignment="1">
      <alignment vertical="center"/>
    </xf>
    <xf numFmtId="172" fontId="34" fillId="13" borderId="15" xfId="41" applyNumberFormat="1" applyFont="1" applyFill="1" applyBorder="1" applyAlignment="1">
      <alignment horizontal="center" vertical="center"/>
    </xf>
    <xf numFmtId="0" fontId="45" fillId="0" borderId="0" xfId="41" applyFont="1" applyProtection="1">
      <protection locked="0"/>
    </xf>
    <xf numFmtId="3" fontId="4" fillId="6" borderId="3" xfId="41" applyNumberFormat="1" applyFont="1" applyFill="1" applyBorder="1" applyAlignment="1" applyProtection="1">
      <alignment vertical="center"/>
      <protection locked="0"/>
    </xf>
    <xf numFmtId="0" fontId="38" fillId="0" borderId="0" xfId="41" applyFont="1" applyAlignment="1">
      <alignment vertical="center"/>
    </xf>
    <xf numFmtId="0" fontId="47" fillId="2" borderId="0" xfId="41" applyFont="1" applyFill="1" applyAlignment="1">
      <alignment horizontal="center" vertical="center"/>
    </xf>
    <xf numFmtId="3" fontId="4" fillId="2" borderId="3" xfId="41" applyNumberFormat="1" applyFont="1" applyFill="1" applyBorder="1" applyAlignment="1">
      <alignment vertical="center"/>
    </xf>
    <xf numFmtId="172" fontId="34" fillId="13" borderId="16" xfId="41" applyNumberFormat="1" applyFont="1" applyFill="1" applyBorder="1" applyAlignment="1">
      <alignment vertical="center"/>
    </xf>
    <xf numFmtId="0" fontId="12" fillId="2" borderId="0" xfId="41" applyFont="1" applyFill="1" applyAlignment="1">
      <alignment horizontal="center" vertical="center"/>
    </xf>
    <xf numFmtId="3" fontId="4" fillId="7" borderId="3" xfId="41" applyNumberFormat="1" applyFont="1" applyFill="1" applyBorder="1" applyAlignment="1">
      <alignment vertical="center"/>
    </xf>
    <xf numFmtId="2" fontId="4" fillId="2" borderId="0" xfId="41" applyNumberFormat="1" applyFont="1" applyFill="1" applyAlignment="1" applyProtection="1">
      <alignment horizontal="right" vertical="center"/>
      <protection locked="0"/>
    </xf>
    <xf numFmtId="175" fontId="4" fillId="13" borderId="0" xfId="65" applyNumberFormat="1" applyFont="1" applyFill="1" applyAlignment="1">
      <alignment horizontal="center" vertical="center"/>
    </xf>
    <xf numFmtId="172" fontId="36" fillId="16" borderId="15" xfId="41" applyNumberFormat="1" applyFont="1" applyFill="1" applyBorder="1" applyAlignment="1">
      <alignment horizontal="center" vertical="center"/>
    </xf>
    <xf numFmtId="0" fontId="36" fillId="16" borderId="1" xfId="41" applyFont="1" applyFill="1" applyBorder="1" applyAlignment="1">
      <alignment vertical="center"/>
    </xf>
    <xf numFmtId="0" fontId="34" fillId="16" borderId="4" xfId="41" applyFont="1" applyFill="1" applyBorder="1" applyAlignment="1">
      <alignment vertical="center"/>
    </xf>
    <xf numFmtId="0" fontId="4" fillId="16" borderId="4" xfId="41" applyFont="1" applyFill="1" applyBorder="1" applyAlignment="1">
      <alignment vertical="center"/>
    </xf>
    <xf numFmtId="3" fontId="3" fillId="9" borderId="13" xfId="41" applyNumberFormat="1" applyFont="1" applyFill="1" applyBorder="1" applyAlignment="1">
      <alignment vertical="center"/>
    </xf>
    <xf numFmtId="172" fontId="4" fillId="0" borderId="0" xfId="41" applyNumberFormat="1" applyFont="1" applyAlignment="1" applyProtection="1">
      <alignment vertical="center"/>
      <protection locked="0"/>
    </xf>
    <xf numFmtId="0" fontId="34" fillId="0" borderId="0" xfId="41" applyFont="1" applyAlignment="1">
      <alignment horizontal="left" vertical="center"/>
    </xf>
    <xf numFmtId="0" fontId="34" fillId="0" borderId="0" xfId="41" applyFont="1" applyAlignment="1">
      <alignment vertical="center"/>
    </xf>
    <xf numFmtId="172" fontId="34" fillId="0" borderId="0" xfId="41" applyNumberFormat="1" applyFont="1" applyAlignment="1" applyProtection="1">
      <alignment horizontal="center" vertical="center"/>
      <protection locked="0"/>
    </xf>
    <xf numFmtId="0" fontId="34" fillId="0" borderId="0" xfId="41" applyFont="1" applyAlignment="1" applyProtection="1">
      <alignment vertical="center"/>
      <protection locked="0"/>
    </xf>
    <xf numFmtId="3" fontId="4" fillId="0" borderId="0" xfId="41" applyNumberFormat="1" applyFont="1" applyAlignment="1" applyProtection="1">
      <alignment horizontal="left" vertical="center"/>
      <protection locked="0"/>
    </xf>
    <xf numFmtId="6" fontId="4" fillId="0" borderId="0" xfId="41" applyNumberFormat="1" applyFont="1" applyAlignment="1" applyProtection="1">
      <alignment horizontal="left" vertical="center"/>
      <protection locked="0"/>
    </xf>
    <xf numFmtId="171" fontId="34" fillId="0" borderId="0" xfId="41" applyNumberFormat="1" applyFont="1" applyAlignment="1" applyProtection="1">
      <alignment horizontal="center" vertical="center"/>
      <protection locked="0"/>
    </xf>
    <xf numFmtId="3" fontId="47" fillId="0" borderId="0" xfId="41" applyNumberFormat="1" applyFont="1" applyAlignment="1" applyProtection="1">
      <alignment horizontal="center" vertical="center"/>
      <protection locked="0"/>
    </xf>
    <xf numFmtId="0" fontId="47" fillId="0" borderId="0" xfId="41" applyFont="1" applyAlignment="1" applyProtection="1">
      <alignment horizontal="center" vertical="center"/>
      <protection locked="0"/>
    </xf>
    <xf numFmtId="0" fontId="4" fillId="13" borderId="0" xfId="41" applyFont="1" applyFill="1"/>
    <xf numFmtId="0" fontId="2" fillId="0" borderId="0" xfId="41"/>
    <xf numFmtId="37" fontId="4" fillId="13" borderId="0" xfId="41" applyNumberFormat="1" applyFont="1" applyFill="1" applyAlignment="1">
      <alignment vertical="center"/>
    </xf>
    <xf numFmtId="0" fontId="4" fillId="13" borderId="1" xfId="41" applyFont="1" applyFill="1" applyBorder="1" applyAlignment="1">
      <alignment vertical="center"/>
    </xf>
    <xf numFmtId="0" fontId="4" fillId="13" borderId="0" xfId="41" applyFont="1" applyFill="1" applyAlignment="1">
      <alignment horizontal="center" vertical="center"/>
    </xf>
    <xf numFmtId="0" fontId="5" fillId="13" borderId="0" xfId="41" applyFont="1" applyFill="1" applyAlignment="1">
      <alignment horizontal="center" vertical="center"/>
    </xf>
    <xf numFmtId="172" fontId="4" fillId="13" borderId="0" xfId="41" applyNumberFormat="1" applyFont="1" applyFill="1" applyAlignment="1">
      <alignment vertical="center"/>
    </xf>
    <xf numFmtId="172" fontId="4" fillId="13" borderId="8" xfId="41" applyNumberFormat="1" applyFont="1" applyFill="1" applyBorder="1" applyAlignment="1">
      <alignment vertical="center"/>
    </xf>
    <xf numFmtId="6" fontId="4" fillId="13" borderId="0" xfId="41" applyNumberFormat="1" applyFont="1" applyFill="1" applyAlignment="1">
      <alignment vertical="center"/>
    </xf>
    <xf numFmtId="0" fontId="46" fillId="16" borderId="0" xfId="41" applyFont="1" applyFill="1" applyAlignment="1">
      <alignment vertical="center"/>
    </xf>
    <xf numFmtId="0" fontId="46" fillId="13" borderId="0" xfId="41" applyFont="1" applyFill="1" applyAlignment="1">
      <alignment horizontal="center" vertical="center"/>
    </xf>
    <xf numFmtId="171" fontId="4" fillId="13" borderId="0" xfId="41" applyNumberFormat="1" applyFont="1" applyFill="1" applyAlignment="1">
      <alignment horizontal="center" vertical="center"/>
    </xf>
    <xf numFmtId="176" fontId="46" fillId="13" borderId="0" xfId="41" applyNumberFormat="1" applyFont="1" applyFill="1" applyAlignment="1">
      <alignment horizontal="center" vertical="center"/>
    </xf>
    <xf numFmtId="0" fontId="46" fillId="16" borderId="0" xfId="41" applyFont="1" applyFill="1" applyAlignment="1">
      <alignment horizontal="center" vertical="center"/>
    </xf>
    <xf numFmtId="0" fontId="48" fillId="16" borderId="0" xfId="41" applyFont="1" applyFill="1" applyAlignment="1">
      <alignment horizontal="center" vertical="center"/>
    </xf>
    <xf numFmtId="0" fontId="4" fillId="13" borderId="0" xfId="41" applyFont="1" applyFill="1" applyAlignment="1">
      <alignment horizontal="right" vertical="center"/>
    </xf>
    <xf numFmtId="0" fontId="4" fillId="13" borderId="0" xfId="41" applyFont="1" applyFill="1" applyAlignment="1">
      <alignment horizontal="left" vertical="center"/>
    </xf>
    <xf numFmtId="0" fontId="4" fillId="13" borderId="0" xfId="31" applyFont="1" applyFill="1"/>
    <xf numFmtId="0" fontId="2" fillId="13" borderId="0" xfId="41" applyFill="1"/>
    <xf numFmtId="0" fontId="3" fillId="13" borderId="0" xfId="31" applyFont="1" applyFill="1"/>
    <xf numFmtId="0" fontId="2" fillId="13" borderId="0" xfId="31" applyFill="1"/>
    <xf numFmtId="0" fontId="9" fillId="0" borderId="0" xfId="14" applyAlignment="1" applyProtection="1"/>
    <xf numFmtId="0" fontId="4" fillId="2" borderId="10" xfId="0" applyFont="1" applyFill="1" applyBorder="1"/>
    <xf numFmtId="0" fontId="6" fillId="2" borderId="5" xfId="0" applyFont="1" applyFill="1" applyBorder="1" applyAlignment="1">
      <alignment horizontal="center" vertical="center"/>
    </xf>
    <xf numFmtId="14" fontId="4" fillId="2" borderId="5" xfId="0" quotePrefix="1" applyNumberFormat="1" applyFont="1" applyFill="1" applyBorder="1" applyAlignment="1">
      <alignment horizontal="center" vertical="center"/>
    </xf>
    <xf numFmtId="3" fontId="3" fillId="7" borderId="13" xfId="0" applyNumberFormat="1" applyFont="1" applyFill="1" applyBorder="1" applyAlignment="1">
      <alignment horizontal="center" vertical="center"/>
    </xf>
    <xf numFmtId="1" fontId="4" fillId="6" borderId="3" xfId="0" applyNumberFormat="1" applyFont="1" applyFill="1" applyBorder="1" applyAlignment="1" applyProtection="1">
      <alignment horizontal="center" vertical="center"/>
      <protection locked="0"/>
    </xf>
    <xf numFmtId="175" fontId="4" fillId="2" borderId="0" xfId="504" applyNumberFormat="1" applyFont="1" applyFill="1" applyAlignment="1">
      <alignment horizontal="center" vertical="center"/>
    </xf>
    <xf numFmtId="3" fontId="4" fillId="10" borderId="13" xfId="0" applyNumberFormat="1" applyFont="1" applyFill="1" applyBorder="1" applyAlignment="1">
      <alignment vertical="center"/>
    </xf>
    <xf numFmtId="3" fontId="4" fillId="9" borderId="13" xfId="60" applyNumberFormat="1" applyFont="1" applyFill="1" applyBorder="1" applyAlignment="1">
      <alignment vertical="center"/>
    </xf>
    <xf numFmtId="3" fontId="4" fillId="9" borderId="13" xfId="0" applyNumberFormat="1" applyFont="1" applyFill="1" applyBorder="1" applyAlignment="1">
      <alignment vertical="center"/>
    </xf>
    <xf numFmtId="37" fontId="4" fillId="2" borderId="0" xfId="0" applyNumberFormat="1" applyFont="1" applyFill="1" applyAlignment="1" applyProtection="1">
      <alignment horizontal="fill" vertical="center"/>
      <protection locked="0"/>
    </xf>
    <xf numFmtId="0" fontId="4" fillId="2" borderId="15" xfId="0" applyFont="1" applyFill="1" applyBorder="1" applyAlignment="1">
      <alignment vertical="center"/>
    </xf>
    <xf numFmtId="0" fontId="4" fillId="2" borderId="0" xfId="0" applyFont="1" applyFill="1" applyProtection="1">
      <protection locked="0"/>
    </xf>
    <xf numFmtId="175" fontId="4" fillId="6" borderId="3" xfId="0" applyNumberFormat="1" applyFont="1" applyFill="1" applyBorder="1" applyAlignment="1" applyProtection="1">
      <alignment vertical="center"/>
      <protection locked="0"/>
    </xf>
    <xf numFmtId="0" fontId="4" fillId="13" borderId="16" xfId="60" applyFont="1" applyFill="1" applyBorder="1" applyAlignment="1">
      <alignment vertical="center"/>
    </xf>
    <xf numFmtId="0" fontId="4" fillId="13" borderId="0" xfId="60" applyFont="1" applyFill="1" applyAlignment="1">
      <alignment vertical="center"/>
    </xf>
    <xf numFmtId="0" fontId="4" fillId="13" borderId="11" xfId="60" applyFont="1" applyFill="1" applyBorder="1" applyAlignment="1">
      <alignment vertical="center"/>
    </xf>
    <xf numFmtId="0" fontId="34" fillId="13" borderId="16" xfId="60" applyFont="1" applyFill="1" applyBorder="1" applyAlignment="1">
      <alignment horizontal="left" vertical="center"/>
    </xf>
    <xf numFmtId="0" fontId="34" fillId="13" borderId="0" xfId="60" applyFont="1" applyFill="1" applyAlignment="1">
      <alignment vertical="center"/>
    </xf>
    <xf numFmtId="172" fontId="34" fillId="14" borderId="3" xfId="60" applyNumberFormat="1" applyFont="1" applyFill="1" applyBorder="1" applyAlignment="1" applyProtection="1">
      <alignment horizontal="center" vertical="center"/>
      <protection locked="0"/>
    </xf>
    <xf numFmtId="0" fontId="34" fillId="13" borderId="16" xfId="60" applyFont="1" applyFill="1" applyBorder="1" applyAlignment="1">
      <alignment vertical="center"/>
    </xf>
    <xf numFmtId="0" fontId="4" fillId="13" borderId="0" xfId="60" applyFont="1" applyFill="1" applyAlignment="1" applyProtection="1">
      <alignment vertical="center"/>
      <protection locked="0"/>
    </xf>
    <xf numFmtId="0" fontId="34" fillId="13" borderId="0" xfId="60" applyFont="1" applyFill="1" applyAlignment="1" applyProtection="1">
      <alignment vertical="center"/>
      <protection locked="0"/>
    </xf>
    <xf numFmtId="171" fontId="34" fillId="13" borderId="7" xfId="60" applyNumberFormat="1" applyFont="1" applyFill="1" applyBorder="1" applyAlignment="1" applyProtection="1">
      <alignment horizontal="center" vertical="center"/>
      <protection locked="0"/>
    </xf>
    <xf numFmtId="0" fontId="36" fillId="16" borderId="16" xfId="60" applyFont="1" applyFill="1" applyBorder="1" applyAlignment="1" applyProtection="1">
      <alignment vertical="center"/>
      <protection locked="0"/>
    </xf>
    <xf numFmtId="0" fontId="4" fillId="16" borderId="0" xfId="60" applyFont="1" applyFill="1" applyAlignment="1" applyProtection="1">
      <alignment vertical="center"/>
      <protection locked="0"/>
    </xf>
    <xf numFmtId="0" fontId="34" fillId="16" borderId="0" xfId="60" applyFont="1" applyFill="1" applyAlignment="1" applyProtection="1">
      <alignment vertical="center"/>
      <protection locked="0"/>
    </xf>
    <xf numFmtId="172" fontId="36" fillId="16" borderId="4" xfId="60" applyNumberFormat="1" applyFont="1" applyFill="1" applyBorder="1" applyAlignment="1" applyProtection="1">
      <alignment horizontal="center" vertical="center"/>
      <protection locked="0"/>
    </xf>
    <xf numFmtId="0" fontId="34" fillId="13" borderId="15" xfId="0" applyFont="1" applyFill="1" applyBorder="1" applyAlignment="1" applyProtection="1">
      <alignment vertical="center"/>
      <protection locked="0"/>
    </xf>
    <xf numFmtId="0" fontId="34" fillId="13" borderId="1" xfId="0" applyFont="1" applyFill="1" applyBorder="1" applyAlignment="1" applyProtection="1">
      <alignment vertical="center"/>
      <protection locked="0"/>
    </xf>
    <xf numFmtId="0" fontId="4" fillId="13" borderId="1" xfId="0" applyFont="1" applyFill="1" applyBorder="1" applyAlignment="1" applyProtection="1">
      <alignment vertical="center"/>
      <protection locked="0"/>
    </xf>
    <xf numFmtId="172" fontId="36" fillId="16" borderId="4" xfId="0" applyNumberFormat="1" applyFont="1" applyFill="1" applyBorder="1" applyAlignment="1" applyProtection="1">
      <alignment horizontal="center" vertical="center"/>
      <protection locked="0"/>
    </xf>
    <xf numFmtId="172" fontId="34" fillId="13" borderId="16" xfId="60" applyNumberFormat="1" applyFont="1" applyFill="1" applyBorder="1" applyAlignment="1">
      <alignment horizontal="center" vertical="center"/>
    </xf>
    <xf numFmtId="0" fontId="34" fillId="13" borderId="0" xfId="60" applyFont="1" applyFill="1" applyAlignment="1">
      <alignment horizontal="left" vertical="center"/>
    </xf>
    <xf numFmtId="0" fontId="34" fillId="13" borderId="11" xfId="60" applyFont="1" applyFill="1" applyBorder="1" applyAlignment="1">
      <alignment vertical="center"/>
    </xf>
    <xf numFmtId="172" fontId="34" fillId="13" borderId="15" xfId="60" applyNumberFormat="1" applyFont="1" applyFill="1" applyBorder="1" applyAlignment="1">
      <alignment horizontal="center" vertical="center"/>
    </xf>
    <xf numFmtId="0" fontId="45" fillId="0" borderId="0" xfId="0" applyFont="1" applyProtection="1">
      <protection locked="0"/>
    </xf>
    <xf numFmtId="172" fontId="34" fillId="13" borderId="16" xfId="60" applyNumberFormat="1" applyFont="1" applyFill="1" applyBorder="1" applyAlignment="1">
      <alignment vertical="center"/>
    </xf>
    <xf numFmtId="172" fontId="36" fillId="16" borderId="15" xfId="60" applyNumberFormat="1" applyFont="1" applyFill="1" applyBorder="1" applyAlignment="1">
      <alignment horizontal="center" vertical="center"/>
    </xf>
    <xf numFmtId="0" fontId="36" fillId="16" borderId="1" xfId="60" applyFont="1" applyFill="1" applyBorder="1" applyAlignment="1">
      <alignment vertical="center"/>
    </xf>
    <xf numFmtId="0" fontId="34" fillId="16" borderId="4" xfId="60" applyFont="1" applyFill="1" applyBorder="1" applyAlignment="1">
      <alignment vertical="center"/>
    </xf>
    <xf numFmtId="0" fontId="4" fillId="16" borderId="4" xfId="60" applyFont="1" applyFill="1" applyBorder="1" applyAlignment="1">
      <alignment vertical="center"/>
    </xf>
    <xf numFmtId="171" fontId="34" fillId="13" borderId="16" xfId="0" applyNumberFormat="1" applyFont="1" applyFill="1" applyBorder="1" applyAlignment="1">
      <alignment horizontal="center" vertical="center"/>
    </xf>
    <xf numFmtId="0" fontId="34" fillId="13" borderId="0" xfId="0" applyFont="1" applyFill="1" applyAlignment="1">
      <alignment horizontal="left" vertical="center"/>
    </xf>
    <xf numFmtId="0" fontId="35" fillId="13" borderId="0" xfId="0" applyFont="1" applyFill="1" applyAlignment="1">
      <alignment horizontal="center" vertical="center"/>
    </xf>
    <xf numFmtId="0" fontId="0" fillId="13" borderId="11" xfId="0" applyFill="1" applyBorder="1" applyAlignment="1">
      <alignment vertical="center"/>
    </xf>
    <xf numFmtId="171" fontId="34" fillId="16" borderId="15" xfId="0" applyNumberFormat="1" applyFont="1" applyFill="1" applyBorder="1" applyAlignment="1">
      <alignment horizontal="center" vertical="center"/>
    </xf>
    <xf numFmtId="171" fontId="34" fillId="13" borderId="9" xfId="0" applyNumberFormat="1" applyFont="1" applyFill="1" applyBorder="1" applyAlignment="1">
      <alignment horizontal="center" vertical="center"/>
    </xf>
    <xf numFmtId="0" fontId="34" fillId="13" borderId="1" xfId="0" applyFont="1" applyFill="1" applyBorder="1" applyAlignment="1">
      <alignment horizontal="left" vertical="center"/>
    </xf>
    <xf numFmtId="0" fontId="35" fillId="13" borderId="1" xfId="0" applyFont="1" applyFill="1" applyBorder="1" applyAlignment="1">
      <alignment horizontal="center" vertical="center"/>
    </xf>
    <xf numFmtId="0" fontId="0" fillId="13" borderId="4" xfId="0" applyFill="1" applyBorder="1" applyAlignment="1">
      <alignment vertical="center"/>
    </xf>
    <xf numFmtId="0" fontId="34" fillId="13" borderId="16" xfId="0" applyFont="1" applyFill="1" applyBorder="1" applyAlignment="1">
      <alignment vertical="center"/>
    </xf>
    <xf numFmtId="0" fontId="4" fillId="13" borderId="0" xfId="0" applyFont="1" applyFill="1" applyAlignment="1">
      <alignment vertical="center"/>
    </xf>
    <xf numFmtId="0" fontId="34" fillId="13" borderId="0" xfId="0" applyFont="1" applyFill="1" applyAlignment="1">
      <alignment vertical="center"/>
    </xf>
    <xf numFmtId="172" fontId="34" fillId="13" borderId="11" xfId="0" applyNumberFormat="1" applyFont="1" applyFill="1" applyBorder="1" applyAlignment="1">
      <alignment horizontal="center" vertical="center"/>
    </xf>
    <xf numFmtId="0" fontId="34" fillId="13" borderId="16" xfId="0" applyFont="1" applyFill="1" applyBorder="1" applyAlignment="1">
      <alignment horizontal="left" vertical="center"/>
    </xf>
    <xf numFmtId="172" fontId="34" fillId="14" borderId="3" xfId="0" applyNumberFormat="1" applyFont="1" applyFill="1" applyBorder="1" applyAlignment="1" applyProtection="1">
      <alignment horizontal="center" vertical="center"/>
      <protection locked="0"/>
    </xf>
    <xf numFmtId="171" fontId="36" fillId="13" borderId="7" xfId="0" applyNumberFormat="1" applyFont="1" applyFill="1" applyBorder="1" applyAlignment="1">
      <alignment horizontal="center" vertical="center"/>
    </xf>
    <xf numFmtId="0" fontId="36" fillId="16" borderId="16" xfId="0" applyFont="1" applyFill="1" applyBorder="1" applyAlignment="1">
      <alignment vertical="center"/>
    </xf>
    <xf numFmtId="0" fontId="4" fillId="16" borderId="0" xfId="0" applyFont="1" applyFill="1" applyAlignment="1">
      <alignment vertical="center"/>
    </xf>
    <xf numFmtId="0" fontId="34" fillId="16" borderId="0" xfId="0" applyFont="1" applyFill="1" applyAlignment="1">
      <alignment vertical="center"/>
    </xf>
    <xf numFmtId="172" fontId="36" fillId="16" borderId="7" xfId="0" applyNumberFormat="1" applyFont="1" applyFill="1" applyBorder="1" applyAlignment="1">
      <alignment horizontal="center" vertical="center"/>
    </xf>
    <xf numFmtId="37" fontId="34" fillId="2" borderId="15" xfId="0" applyNumberFormat="1" applyFont="1" applyFill="1" applyBorder="1" applyAlignment="1">
      <alignment horizontal="left" vertical="center"/>
    </xf>
    <xf numFmtId="0" fontId="37" fillId="13" borderId="1" xfId="0" applyFont="1" applyFill="1" applyBorder="1" applyAlignment="1">
      <alignment horizontal="left" vertical="center"/>
    </xf>
    <xf numFmtId="0" fontId="4" fillId="13" borderId="16" xfId="60" applyFont="1" applyFill="1" applyBorder="1" applyAlignment="1" applyProtection="1">
      <alignment vertical="center"/>
      <protection locked="0"/>
    </xf>
    <xf numFmtId="0" fontId="4" fillId="13" borderId="11" xfId="0" applyFont="1" applyFill="1" applyBorder="1" applyAlignment="1" applyProtection="1">
      <alignment vertical="center"/>
      <protection locked="0"/>
    </xf>
    <xf numFmtId="172" fontId="10" fillId="13" borderId="16" xfId="60" applyNumberFormat="1" applyFont="1" applyFill="1" applyBorder="1" applyAlignment="1" applyProtection="1">
      <alignment horizontal="center" vertical="center"/>
      <protection locked="0"/>
    </xf>
    <xf numFmtId="0" fontId="10" fillId="13" borderId="0" xfId="60" applyFont="1" applyFill="1" applyAlignment="1" applyProtection="1">
      <alignment horizontal="left" vertical="center"/>
      <protection locked="0"/>
    </xf>
    <xf numFmtId="0" fontId="4" fillId="13" borderId="11" xfId="60" applyFont="1" applyFill="1" applyBorder="1" applyAlignment="1" applyProtection="1">
      <alignment vertical="center"/>
      <protection locked="0"/>
    </xf>
    <xf numFmtId="0" fontId="10" fillId="13" borderId="0" xfId="60" applyFont="1" applyFill="1" applyAlignment="1" applyProtection="1">
      <alignment vertical="center"/>
      <protection locked="0"/>
    </xf>
    <xf numFmtId="172" fontId="10" fillId="13" borderId="15" xfId="60" applyNumberFormat="1" applyFont="1" applyFill="1" applyBorder="1" applyAlignment="1" applyProtection="1">
      <alignment horizontal="center" vertical="center"/>
      <protection locked="0"/>
    </xf>
    <xf numFmtId="172" fontId="10" fillId="13" borderId="16" xfId="60" applyNumberFormat="1" applyFont="1" applyFill="1" applyBorder="1" applyAlignment="1" applyProtection="1">
      <alignment vertical="center"/>
      <protection locked="0"/>
    </xf>
    <xf numFmtId="172" fontId="10" fillId="16" borderId="15" xfId="60" applyNumberFormat="1" applyFont="1" applyFill="1" applyBorder="1" applyAlignment="1" applyProtection="1">
      <alignment horizontal="center" vertical="center"/>
      <protection locked="0"/>
    </xf>
    <xf numFmtId="0" fontId="10" fillId="16" borderId="1" xfId="60" applyFont="1" applyFill="1" applyBorder="1" applyAlignment="1" applyProtection="1">
      <alignment vertical="center"/>
      <protection locked="0"/>
    </xf>
    <xf numFmtId="0" fontId="4" fillId="16" borderId="4" xfId="60" applyFont="1" applyFill="1" applyBorder="1" applyAlignment="1" applyProtection="1">
      <alignment vertical="center"/>
      <protection locked="0"/>
    </xf>
    <xf numFmtId="0" fontId="4" fillId="16" borderId="4" xfId="0" applyFont="1" applyFill="1" applyBorder="1" applyAlignment="1" applyProtection="1">
      <alignment vertical="center"/>
      <protection locked="0"/>
    </xf>
    <xf numFmtId="0" fontId="4" fillId="13" borderId="16" xfId="0" applyFont="1" applyFill="1" applyBorder="1" applyAlignment="1">
      <alignment vertical="center"/>
    </xf>
    <xf numFmtId="0" fontId="4" fillId="13" borderId="11" xfId="0" applyFont="1" applyFill="1" applyBorder="1" applyProtection="1">
      <protection locked="0"/>
    </xf>
    <xf numFmtId="172" fontId="34" fillId="13" borderId="16" xfId="0" applyNumberFormat="1" applyFont="1" applyFill="1" applyBorder="1" applyAlignment="1">
      <alignment horizontal="center" vertical="center"/>
    </xf>
    <xf numFmtId="0" fontId="34" fillId="13" borderId="11" xfId="0" applyFont="1" applyFill="1" applyBorder="1" applyAlignment="1">
      <alignment vertical="center"/>
    </xf>
    <xf numFmtId="172" fontId="34" fillId="13" borderId="15" xfId="0" applyNumberFormat="1" applyFont="1" applyFill="1" applyBorder="1" applyAlignment="1">
      <alignment horizontal="center" vertical="center"/>
    </xf>
    <xf numFmtId="0" fontId="40" fillId="0" borderId="0" xfId="0" applyFont="1" applyAlignment="1">
      <alignment horizontal="right" vertical="center"/>
    </xf>
    <xf numFmtId="172" fontId="10" fillId="13" borderId="16" xfId="0" applyNumberFormat="1" applyFont="1" applyFill="1" applyBorder="1" applyAlignment="1">
      <alignment horizontal="center" vertical="center"/>
    </xf>
    <xf numFmtId="0" fontId="4" fillId="13" borderId="11" xfId="0" applyFont="1" applyFill="1" applyBorder="1" applyAlignment="1">
      <alignment vertical="center"/>
    </xf>
    <xf numFmtId="172" fontId="10" fillId="13" borderId="16" xfId="0" applyNumberFormat="1" applyFont="1" applyFill="1" applyBorder="1" applyAlignment="1">
      <alignment vertical="center"/>
    </xf>
    <xf numFmtId="0" fontId="10" fillId="13" borderId="0" xfId="0" applyFont="1" applyFill="1" applyAlignment="1">
      <alignment vertical="center"/>
    </xf>
    <xf numFmtId="172" fontId="10" fillId="13" borderId="15" xfId="0" applyNumberFormat="1" applyFont="1" applyFill="1" applyBorder="1" applyAlignment="1">
      <alignment horizontal="center" vertical="center"/>
    </xf>
    <xf numFmtId="172" fontId="10" fillId="16" borderId="15" xfId="0" applyNumberFormat="1" applyFont="1" applyFill="1" applyBorder="1" applyAlignment="1">
      <alignment horizontal="center" vertical="center"/>
    </xf>
    <xf numFmtId="0" fontId="10" fillId="16" borderId="1" xfId="0" applyFont="1" applyFill="1" applyBorder="1" applyAlignment="1">
      <alignment vertical="center"/>
    </xf>
    <xf numFmtId="0" fontId="4" fillId="16" borderId="4" xfId="0" applyFont="1" applyFill="1" applyBorder="1" applyAlignment="1">
      <alignment vertical="center"/>
    </xf>
    <xf numFmtId="0" fontId="4" fillId="16" borderId="4" xfId="0" applyFont="1" applyFill="1" applyBorder="1" applyProtection="1">
      <protection locked="0"/>
    </xf>
    <xf numFmtId="0" fontId="45" fillId="0" borderId="0" xfId="0" applyFont="1"/>
    <xf numFmtId="172" fontId="34" fillId="13" borderId="16" xfId="0" applyNumberFormat="1" applyFont="1" applyFill="1" applyBorder="1" applyAlignment="1">
      <alignment vertical="center"/>
    </xf>
    <xf numFmtId="172" fontId="34" fillId="16" borderId="15" xfId="0" applyNumberFormat="1" applyFont="1" applyFill="1" applyBorder="1" applyAlignment="1">
      <alignment horizontal="center" vertical="center"/>
    </xf>
    <xf numFmtId="0" fontId="34" fillId="16" borderId="1" xfId="0" applyFont="1" applyFill="1" applyBorder="1" applyAlignment="1">
      <alignment vertical="center"/>
    </xf>
    <xf numFmtId="0" fontId="34" fillId="16" borderId="4" xfId="0" applyFont="1" applyFill="1" applyBorder="1" applyAlignment="1">
      <alignment vertical="center"/>
    </xf>
    <xf numFmtId="3" fontId="4" fillId="2" borderId="3" xfId="0" applyNumberFormat="1" applyFont="1" applyFill="1" applyBorder="1" applyAlignment="1">
      <alignment horizontal="right"/>
    </xf>
    <xf numFmtId="3" fontId="4" fillId="2" borderId="3" xfId="0" applyNumberFormat="1" applyFont="1" applyFill="1" applyBorder="1" applyAlignment="1">
      <alignment horizontal="right" vertical="center"/>
    </xf>
    <xf numFmtId="171" fontId="4" fillId="2" borderId="3" xfId="0" applyNumberFormat="1" applyFont="1" applyFill="1" applyBorder="1" applyAlignment="1">
      <alignment horizontal="right" vertical="center"/>
    </xf>
    <xf numFmtId="170" fontId="4" fillId="2" borderId="3" xfId="0" applyNumberFormat="1" applyFont="1" applyFill="1" applyBorder="1" applyAlignment="1">
      <alignment horizontal="right" vertical="center"/>
    </xf>
    <xf numFmtId="38" fontId="4" fillId="2" borderId="3" xfId="0" applyNumberFormat="1" applyFont="1" applyFill="1" applyBorder="1" applyAlignment="1">
      <alignment horizontal="right"/>
    </xf>
    <xf numFmtId="38" fontId="4" fillId="2" borderId="3" xfId="0" applyNumberFormat="1" applyFont="1" applyFill="1" applyBorder="1" applyAlignment="1">
      <alignment horizontal="right" vertical="center"/>
    </xf>
    <xf numFmtId="177" fontId="4" fillId="2" borderId="3"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7" borderId="3" xfId="0" applyNumberFormat="1" applyFont="1" applyFill="1" applyBorder="1" applyAlignment="1">
      <alignment horizontal="right"/>
    </xf>
    <xf numFmtId="170" fontId="4" fillId="12" borderId="3" xfId="0" applyNumberFormat="1" applyFont="1" applyFill="1" applyBorder="1" applyAlignment="1">
      <alignment horizontal="right"/>
    </xf>
    <xf numFmtId="3" fontId="4" fillId="2" borderId="13" xfId="0" applyNumberFormat="1" applyFont="1" applyFill="1" applyBorder="1" applyAlignment="1">
      <alignment horizontal="right" vertical="center"/>
    </xf>
    <xf numFmtId="0" fontId="4" fillId="2" borderId="2" xfId="0" applyFont="1" applyFill="1" applyBorder="1" applyAlignment="1">
      <alignment horizontal="right" vertical="center"/>
    </xf>
    <xf numFmtId="3" fontId="4" fillId="2" borderId="2" xfId="0" applyNumberFormat="1" applyFont="1" applyFill="1" applyBorder="1" applyAlignment="1">
      <alignment horizontal="right" vertical="center"/>
    </xf>
    <xf numFmtId="174" fontId="4" fillId="2" borderId="3" xfId="0" applyNumberFormat="1" applyFont="1" applyFill="1" applyBorder="1" applyAlignment="1">
      <alignment horizontal="right" vertical="center"/>
    </xf>
    <xf numFmtId="0" fontId="4" fillId="2" borderId="3" xfId="0" applyFont="1" applyFill="1" applyBorder="1" applyAlignment="1">
      <alignment horizontal="right" vertical="center"/>
    </xf>
    <xf numFmtId="3" fontId="4" fillId="2" borderId="17" xfId="0" applyNumberFormat="1" applyFont="1" applyFill="1" applyBorder="1" applyAlignment="1">
      <alignment horizontal="right" vertical="center"/>
    </xf>
    <xf numFmtId="0" fontId="4" fillId="2" borderId="17" xfId="0" applyFont="1" applyFill="1" applyBorder="1" applyAlignment="1">
      <alignment horizontal="right" vertical="center"/>
    </xf>
    <xf numFmtId="10" fontId="4" fillId="6" borderId="3" xfId="0" applyNumberFormat="1" applyFont="1" applyFill="1" applyBorder="1" applyAlignment="1" applyProtection="1">
      <alignment vertical="center"/>
      <protection locked="0"/>
    </xf>
    <xf numFmtId="0" fontId="45" fillId="13" borderId="11" xfId="0" applyFont="1" applyFill="1" applyBorder="1" applyAlignment="1">
      <alignment vertical="center"/>
    </xf>
    <xf numFmtId="0" fontId="46" fillId="0" borderId="0" xfId="0" applyFont="1" applyAlignment="1">
      <alignment horizontal="center"/>
    </xf>
    <xf numFmtId="178" fontId="46" fillId="0" borderId="0" xfId="0" applyNumberFormat="1" applyFont="1" applyAlignment="1" applyProtection="1">
      <alignment horizontal="center" vertical="center"/>
      <protection locked="0"/>
    </xf>
    <xf numFmtId="0" fontId="40" fillId="0" borderId="0" xfId="0" applyFont="1" applyAlignment="1">
      <alignment vertical="center"/>
    </xf>
    <xf numFmtId="0" fontId="9" fillId="17" borderId="0" xfId="14" applyFill="1" applyAlignment="1" applyProtection="1"/>
    <xf numFmtId="0" fontId="41" fillId="17" borderId="0" xfId="388" applyFill="1"/>
    <xf numFmtId="3" fontId="4" fillId="2" borderId="7" xfId="41" applyNumberFormat="1" applyFont="1" applyFill="1" applyBorder="1" applyAlignment="1">
      <alignment vertical="center"/>
    </xf>
    <xf numFmtId="0" fontId="4" fillId="2" borderId="0" xfId="41" applyFont="1" applyFill="1" applyAlignment="1">
      <alignment horizontal="left" vertical="center"/>
    </xf>
    <xf numFmtId="3" fontId="4" fillId="2" borderId="0" xfId="60" applyNumberFormat="1" applyFont="1" applyFill="1" applyAlignment="1">
      <alignment horizontal="right" vertical="center"/>
    </xf>
    <xf numFmtId="3" fontId="4" fillId="2" borderId="3" xfId="60" applyNumberFormat="1" applyFont="1" applyFill="1" applyBorder="1" applyAlignment="1">
      <alignment horizontal="right" vertical="center"/>
    </xf>
    <xf numFmtId="0" fontId="4" fillId="2" borderId="0" xfId="60" applyFont="1" applyFill="1" applyAlignment="1">
      <alignment horizontal="left" vertical="center"/>
    </xf>
    <xf numFmtId="3" fontId="4" fillId="2" borderId="9" xfId="0" applyNumberFormat="1" applyFont="1" applyFill="1" applyBorder="1" applyAlignment="1">
      <alignment horizontal="right" vertical="center"/>
    </xf>
    <xf numFmtId="3" fontId="4" fillId="2" borderId="2" xfId="0" applyNumberFormat="1" applyFont="1" applyFill="1" applyBorder="1" applyAlignment="1">
      <alignment vertical="center"/>
    </xf>
    <xf numFmtId="37" fontId="12" fillId="2" borderId="8" xfId="0" applyNumberFormat="1" applyFont="1" applyFill="1" applyBorder="1" applyAlignment="1">
      <alignment horizontal="center" vertical="center"/>
    </xf>
    <xf numFmtId="170" fontId="4" fillId="4" borderId="3" xfId="0" applyNumberFormat="1" applyFont="1" applyFill="1" applyBorder="1" applyAlignment="1" applyProtection="1">
      <alignment vertical="center"/>
      <protection locked="0"/>
    </xf>
    <xf numFmtId="170" fontId="4" fillId="4" borderId="2" xfId="0" applyNumberFormat="1" applyFont="1" applyFill="1" applyBorder="1" applyAlignment="1" applyProtection="1">
      <alignment vertical="center"/>
      <protection locked="0"/>
    </xf>
    <xf numFmtId="37" fontId="3" fillId="8" borderId="9" xfId="0" applyNumberFormat="1" applyFont="1" applyFill="1" applyBorder="1" applyAlignment="1">
      <alignment horizontal="left" vertical="center"/>
    </xf>
    <xf numFmtId="0" fontId="4" fillId="11" borderId="4" xfId="0" applyFont="1" applyFill="1" applyBorder="1" applyAlignment="1">
      <alignment vertical="center"/>
    </xf>
    <xf numFmtId="164" fontId="4" fillId="6" borderId="5" xfId="0" applyNumberFormat="1" applyFont="1" applyFill="1" applyBorder="1" applyAlignment="1" applyProtection="1">
      <alignment vertical="center"/>
      <protection locked="0"/>
    </xf>
    <xf numFmtId="164" fontId="4" fillId="2" borderId="6" xfId="0" applyNumberFormat="1" applyFont="1" applyFill="1" applyBorder="1" applyAlignment="1" applyProtection="1">
      <alignment vertical="center"/>
      <protection locked="0"/>
    </xf>
    <xf numFmtId="37" fontId="4" fillId="2" borderId="5" xfId="0" applyNumberFormat="1" applyFont="1" applyFill="1" applyBorder="1" applyAlignment="1">
      <alignment vertical="center"/>
    </xf>
    <xf numFmtId="37" fontId="3" fillId="11" borderId="9" xfId="0" applyNumberFormat="1" applyFont="1" applyFill="1" applyBorder="1" applyAlignment="1">
      <alignment horizontal="left" vertical="center"/>
    </xf>
    <xf numFmtId="0" fontId="4" fillId="11" borderId="7" xfId="0" applyFont="1" applyFill="1" applyBorder="1" applyAlignment="1">
      <alignment vertical="center"/>
    </xf>
    <xf numFmtId="37" fontId="4" fillId="8" borderId="2" xfId="0" applyNumberFormat="1" applyFont="1" applyFill="1" applyBorder="1" applyAlignment="1">
      <alignment horizontal="center" vertical="center"/>
    </xf>
    <xf numFmtId="0" fontId="4" fillId="8" borderId="5" xfId="0" applyFont="1" applyFill="1" applyBorder="1" applyAlignment="1">
      <alignment horizontal="center" vertical="center"/>
    </xf>
    <xf numFmtId="37" fontId="4" fillId="5" borderId="9" xfId="0" applyNumberFormat="1" applyFont="1" applyFill="1" applyBorder="1" applyAlignment="1">
      <alignment horizontal="left" vertical="center"/>
    </xf>
    <xf numFmtId="0" fontId="4" fillId="5" borderId="7" xfId="0" applyFont="1" applyFill="1" applyBorder="1" applyAlignment="1">
      <alignment vertical="center"/>
    </xf>
    <xf numFmtId="37" fontId="11" fillId="8" borderId="14" xfId="0" applyNumberFormat="1" applyFont="1" applyFill="1" applyBorder="1" applyAlignment="1">
      <alignment horizontal="left" vertical="center"/>
    </xf>
    <xf numFmtId="0" fontId="5" fillId="5" borderId="12" xfId="0" applyFont="1" applyFill="1" applyBorder="1" applyAlignment="1">
      <alignment vertical="center"/>
    </xf>
    <xf numFmtId="0" fontId="4" fillId="8" borderId="16" xfId="0" applyFont="1" applyFill="1" applyBorder="1" applyAlignment="1">
      <alignment vertical="center"/>
    </xf>
    <xf numFmtId="0" fontId="4" fillId="8" borderId="11" xfId="0" applyFont="1" applyFill="1" applyBorder="1" applyAlignment="1">
      <alignment vertical="center"/>
    </xf>
    <xf numFmtId="0" fontId="4" fillId="8" borderId="15" xfId="0" applyFont="1" applyFill="1" applyBorder="1" applyAlignment="1">
      <alignment vertical="center"/>
    </xf>
    <xf numFmtId="0" fontId="4" fillId="8" borderId="9" xfId="0" applyFont="1" applyFill="1" applyBorder="1" applyAlignment="1">
      <alignment vertical="center"/>
    </xf>
    <xf numFmtId="0" fontId="4" fillId="8" borderId="7" xfId="0" applyFont="1" applyFill="1" applyBorder="1" applyAlignment="1">
      <alignment vertical="center"/>
    </xf>
    <xf numFmtId="49" fontId="12" fillId="14" borderId="5" xfId="60" applyNumberFormat="1" applyFont="1" applyFill="1" applyBorder="1" applyAlignment="1" applyProtection="1">
      <alignment horizontal="center" vertical="center"/>
      <protection locked="0"/>
    </xf>
    <xf numFmtId="3" fontId="4" fillId="8" borderId="7" xfId="0" applyNumberFormat="1" applyFont="1" applyFill="1" applyBorder="1" applyAlignment="1">
      <alignment vertical="center"/>
    </xf>
    <xf numFmtId="3" fontId="4" fillId="4" borderId="5" xfId="0" applyNumberFormat="1" applyFont="1" applyFill="1" applyBorder="1" applyAlignment="1" applyProtection="1">
      <alignment vertical="center"/>
      <protection locked="0"/>
    </xf>
    <xf numFmtId="173" fontId="4" fillId="16" borderId="4" xfId="60" applyNumberFormat="1" applyFont="1" applyFill="1" applyBorder="1" applyAlignment="1">
      <alignment horizontal="center"/>
    </xf>
    <xf numFmtId="37" fontId="3" fillId="2" borderId="0" xfId="31" applyNumberFormat="1" applyFont="1" applyFill="1" applyAlignment="1">
      <alignment horizontal="left" vertical="center"/>
    </xf>
    <xf numFmtId="37" fontId="4" fillId="2" borderId="0" xfId="31" applyNumberFormat="1" applyFont="1" applyFill="1" applyAlignment="1">
      <alignment horizontal="left" vertical="center"/>
    </xf>
    <xf numFmtId="37" fontId="3" fillId="11" borderId="15" xfId="0" applyNumberFormat="1" applyFont="1" applyFill="1" applyBorder="1" applyAlignment="1">
      <alignment horizontal="left" vertical="center"/>
    </xf>
    <xf numFmtId="0" fontId="4" fillId="11" borderId="11" xfId="0" applyFont="1" applyFill="1" applyBorder="1" applyAlignment="1">
      <alignment vertical="center"/>
    </xf>
    <xf numFmtId="37" fontId="3" fillId="11" borderId="16" xfId="0" applyNumberFormat="1" applyFont="1" applyFill="1" applyBorder="1" applyAlignment="1">
      <alignment horizontal="left" vertical="center"/>
    </xf>
    <xf numFmtId="0" fontId="4" fillId="8" borderId="12" xfId="0" applyFont="1" applyFill="1" applyBorder="1" applyAlignment="1">
      <alignment vertical="center"/>
    </xf>
    <xf numFmtId="0" fontId="3" fillId="8" borderId="14" xfId="0" applyFont="1" applyFill="1" applyBorder="1" applyAlignment="1">
      <alignment vertical="center"/>
    </xf>
    <xf numFmtId="0" fontId="4" fillId="8" borderId="4" xfId="0" applyFont="1" applyFill="1" applyBorder="1" applyAlignment="1">
      <alignment vertical="center"/>
    </xf>
    <xf numFmtId="0" fontId="4" fillId="2" borderId="0" xfId="31" applyFont="1" applyFill="1" applyAlignment="1">
      <alignment vertical="center"/>
    </xf>
    <xf numFmtId="0" fontId="4" fillId="13" borderId="0" xfId="31" applyFont="1" applyFill="1" applyAlignment="1">
      <alignment vertical="center"/>
    </xf>
    <xf numFmtId="0" fontId="4" fillId="6" borderId="3" xfId="31" applyFont="1" applyFill="1" applyBorder="1" applyAlignment="1" applyProtection="1">
      <alignment vertical="center"/>
      <protection locked="0"/>
    </xf>
    <xf numFmtId="0" fontId="4" fillId="4" borderId="3" xfId="31" applyFont="1" applyFill="1" applyBorder="1" applyAlignment="1" applyProtection="1">
      <alignment vertical="center"/>
      <protection locked="0"/>
    </xf>
    <xf numFmtId="3" fontId="4" fillId="6" borderId="3" xfId="31" applyNumberFormat="1" applyFont="1" applyFill="1" applyBorder="1" applyAlignment="1" applyProtection="1">
      <alignment vertical="center"/>
      <protection locked="0"/>
    </xf>
    <xf numFmtId="170" fontId="4" fillId="2" borderId="0" xfId="31" applyNumberFormat="1" applyFont="1" applyFill="1" applyAlignment="1">
      <alignment vertical="center"/>
    </xf>
    <xf numFmtId="37" fontId="4" fillId="2" borderId="6" xfId="31" applyNumberFormat="1" applyFont="1" applyFill="1" applyBorder="1" applyAlignment="1">
      <alignment horizontal="left" vertical="center"/>
    </xf>
    <xf numFmtId="165" fontId="4" fillId="13" borderId="0" xfId="0" applyNumberFormat="1" applyFont="1" applyFill="1" applyAlignment="1">
      <alignment vertical="center"/>
    </xf>
    <xf numFmtId="165" fontId="4" fillId="13" borderId="1" xfId="0" applyNumberFormat="1" applyFont="1" applyFill="1" applyBorder="1" applyAlignment="1">
      <alignment vertical="center"/>
    </xf>
    <xf numFmtId="3" fontId="4" fillId="13" borderId="0" xfId="0" applyNumberFormat="1" applyFont="1" applyFill="1" applyAlignment="1">
      <alignment vertical="center"/>
    </xf>
    <xf numFmtId="37" fontId="4" fillId="13" borderId="0" xfId="0" applyNumberFormat="1" applyFont="1" applyFill="1" applyAlignment="1">
      <alignment horizontal="left" vertical="center"/>
    </xf>
    <xf numFmtId="37" fontId="4" fillId="13" borderId="1" xfId="0" applyNumberFormat="1" applyFont="1" applyFill="1" applyBorder="1" applyAlignment="1">
      <alignment vertical="center"/>
    </xf>
    <xf numFmtId="166" fontId="4" fillId="13" borderId="0" xfId="0" applyNumberFormat="1" applyFont="1" applyFill="1" applyAlignment="1">
      <alignment vertical="center"/>
    </xf>
    <xf numFmtId="37" fontId="4" fillId="13" borderId="0" xfId="0" applyNumberFormat="1" applyFont="1" applyFill="1" applyAlignment="1">
      <alignment vertical="center"/>
    </xf>
    <xf numFmtId="37" fontId="4" fillId="2" borderId="8" xfId="31" applyNumberFormat="1" applyFont="1" applyFill="1" applyBorder="1" applyAlignment="1">
      <alignment horizontal="center" vertical="center"/>
    </xf>
    <xf numFmtId="37" fontId="4" fillId="2" borderId="5" xfId="31" applyNumberFormat="1" applyFont="1" applyFill="1" applyBorder="1" applyAlignment="1">
      <alignment horizontal="center" vertical="center"/>
    </xf>
    <xf numFmtId="165" fontId="4" fillId="13" borderId="0" xfId="31" applyNumberFormat="1" applyFont="1" applyFill="1" applyAlignment="1">
      <alignment vertical="center"/>
    </xf>
    <xf numFmtId="0" fontId="4" fillId="13" borderId="0" xfId="31" applyFont="1" applyFill="1" applyAlignment="1" applyProtection="1">
      <alignment vertical="center"/>
      <protection locked="0"/>
    </xf>
    <xf numFmtId="37" fontId="4" fillId="13" borderId="0" xfId="31" applyNumberFormat="1" applyFont="1" applyFill="1" applyAlignment="1">
      <alignment horizontal="left" vertical="center"/>
    </xf>
    <xf numFmtId="3" fontId="4" fillId="7" borderId="3" xfId="0" applyNumberFormat="1" applyFont="1" applyFill="1" applyBorder="1" applyAlignment="1">
      <alignment horizontal="right" vertical="center"/>
    </xf>
    <xf numFmtId="170" fontId="0" fillId="0" borderId="0" xfId="0" applyNumberFormat="1" applyAlignment="1">
      <alignment vertical="center"/>
    </xf>
    <xf numFmtId="0" fontId="4" fillId="2" borderId="8" xfId="0" applyFont="1" applyFill="1" applyBorder="1" applyAlignment="1">
      <alignment horizontal="right" vertical="center"/>
    </xf>
    <xf numFmtId="37" fontId="4" fillId="2" borderId="8" xfId="0" applyNumberFormat="1" applyFont="1" applyFill="1" applyBorder="1" applyAlignment="1" applyProtection="1">
      <alignment horizontal="fill" vertical="center"/>
      <protection locked="0"/>
    </xf>
    <xf numFmtId="37" fontId="4" fillId="2" borderId="12" xfId="0" applyNumberFormat="1" applyFont="1" applyFill="1" applyBorder="1" applyAlignment="1" applyProtection="1">
      <alignment horizontal="fill" vertical="center"/>
      <protection locked="0"/>
    </xf>
    <xf numFmtId="37" fontId="4" fillId="2" borderId="16" xfId="0" applyNumberFormat="1" applyFont="1" applyFill="1" applyBorder="1" applyAlignment="1">
      <alignment horizontal="fill" vertical="center"/>
    </xf>
    <xf numFmtId="37" fontId="4" fillId="2" borderId="11" xfId="0" applyNumberFormat="1" applyFont="1" applyFill="1" applyBorder="1" applyAlignment="1" applyProtection="1">
      <alignment horizontal="fill" vertical="center"/>
      <protection locked="0"/>
    </xf>
    <xf numFmtId="37" fontId="4" fillId="2" borderId="15" xfId="0" applyNumberFormat="1" applyFont="1" applyFill="1" applyBorder="1" applyAlignment="1">
      <alignment horizontal="fill" vertical="center"/>
    </xf>
    <xf numFmtId="0" fontId="4" fillId="2" borderId="1" xfId="0" applyFont="1" applyFill="1" applyBorder="1" applyAlignment="1">
      <alignment horizontal="right" vertical="center"/>
    </xf>
    <xf numFmtId="37" fontId="4" fillId="2" borderId="1" xfId="0" applyNumberFormat="1" applyFont="1" applyFill="1" applyBorder="1" applyAlignment="1" applyProtection="1">
      <alignment horizontal="fill" vertical="center"/>
      <protection locked="0"/>
    </xf>
    <xf numFmtId="37" fontId="4" fillId="2" borderId="4" xfId="0" applyNumberFormat="1" applyFont="1" applyFill="1" applyBorder="1" applyAlignment="1" applyProtection="1">
      <alignment horizontal="fill" vertical="center"/>
      <protection locked="0"/>
    </xf>
    <xf numFmtId="0" fontId="4" fillId="2" borderId="12" xfId="0" applyFont="1" applyFill="1" applyBorder="1" applyAlignment="1">
      <alignment vertical="center"/>
    </xf>
    <xf numFmtId="0" fontId="4" fillId="2" borderId="8" xfId="41" applyFont="1" applyFill="1" applyBorder="1" applyAlignment="1">
      <alignment vertical="center"/>
    </xf>
    <xf numFmtId="0" fontId="4" fillId="2" borderId="12" xfId="41" applyFont="1" applyFill="1" applyBorder="1" applyAlignment="1">
      <alignment vertical="center"/>
    </xf>
    <xf numFmtId="37" fontId="4" fillId="2" borderId="16" xfId="41" applyNumberFormat="1" applyFont="1" applyFill="1" applyBorder="1" applyAlignment="1">
      <alignment horizontal="right" vertical="center"/>
    </xf>
    <xf numFmtId="37" fontId="4" fillId="2" borderId="15" xfId="41" applyNumberFormat="1" applyFont="1" applyFill="1" applyBorder="1" applyAlignment="1">
      <alignment horizontal="right" vertical="center"/>
    </xf>
    <xf numFmtId="0" fontId="4" fillId="2" borderId="1" xfId="41" applyFont="1" applyFill="1" applyBorder="1" applyAlignment="1">
      <alignment vertical="center"/>
    </xf>
    <xf numFmtId="0" fontId="4" fillId="2" borderId="4" xfId="41" applyFont="1" applyFill="1" applyBorder="1" applyAlignment="1">
      <alignment vertical="center"/>
    </xf>
    <xf numFmtId="0" fontId="4" fillId="2" borderId="8" xfId="14" applyNumberFormat="1" applyFont="1" applyFill="1" applyBorder="1" applyAlignment="1" applyProtection="1">
      <alignment horizontal="right" vertical="center"/>
    </xf>
    <xf numFmtId="0" fontId="4" fillId="2" borderId="8" xfId="60" applyFont="1" applyFill="1" applyBorder="1" applyAlignment="1">
      <alignment vertical="center"/>
    </xf>
    <xf numFmtId="0" fontId="4" fillId="2" borderId="12" xfId="60" applyFont="1" applyFill="1" applyBorder="1" applyAlignment="1">
      <alignment vertical="center"/>
    </xf>
    <xf numFmtId="0" fontId="4" fillId="2" borderId="15" xfId="60" applyFont="1" applyFill="1" applyBorder="1" applyAlignment="1">
      <alignment vertical="center"/>
    </xf>
    <xf numFmtId="0" fontId="4" fillId="2" borderId="1" xfId="14" applyNumberFormat="1" applyFont="1" applyFill="1" applyBorder="1" applyAlignment="1" applyProtection="1">
      <alignment horizontal="right" vertical="center"/>
    </xf>
    <xf numFmtId="0" fontId="4" fillId="2" borderId="1" xfId="60" applyFont="1" applyFill="1" applyBorder="1" applyAlignment="1">
      <alignment vertical="center"/>
    </xf>
    <xf numFmtId="0" fontId="4" fillId="2" borderId="4" xfId="60" applyFont="1" applyFill="1" applyBorder="1" applyAlignment="1">
      <alignment vertical="center"/>
    </xf>
    <xf numFmtId="0" fontId="12" fillId="2" borderId="8" xfId="0" applyFont="1" applyFill="1" applyBorder="1" applyAlignment="1">
      <alignment horizontal="center" vertical="center"/>
    </xf>
    <xf numFmtId="0" fontId="0" fillId="2" borderId="12" xfId="0" applyFill="1" applyBorder="1" applyAlignment="1">
      <alignment vertical="center"/>
    </xf>
    <xf numFmtId="0" fontId="0" fillId="2" borderId="16" xfId="0" applyFill="1" applyBorder="1" applyAlignment="1">
      <alignment vertical="center"/>
    </xf>
    <xf numFmtId="0" fontId="0" fillId="2" borderId="11" xfId="0" applyFill="1" applyBorder="1" applyAlignment="1">
      <alignment vertical="center"/>
    </xf>
    <xf numFmtId="0" fontId="0" fillId="2" borderId="15" xfId="0" applyFill="1" applyBorder="1" applyAlignment="1">
      <alignment vertical="center"/>
    </xf>
    <xf numFmtId="0" fontId="4" fillId="2" borderId="16" xfId="0" applyFont="1" applyFill="1" applyBorder="1" applyAlignment="1">
      <alignment horizontal="right" vertical="center"/>
    </xf>
    <xf numFmtId="37" fontId="3" fillId="2" borderId="14" xfId="0" applyNumberFormat="1" applyFont="1" applyFill="1" applyBorder="1" applyAlignment="1">
      <alignment horizontal="left" vertical="center"/>
    </xf>
    <xf numFmtId="0" fontId="3" fillId="2" borderId="14" xfId="0" applyFont="1" applyFill="1" applyBorder="1" applyAlignment="1">
      <alignment vertical="center"/>
    </xf>
    <xf numFmtId="37" fontId="3" fillId="2" borderId="14" xfId="41" applyNumberFormat="1" applyFont="1" applyFill="1" applyBorder="1" applyAlignment="1">
      <alignment horizontal="left" vertical="center"/>
    </xf>
    <xf numFmtId="0" fontId="3" fillId="2" borderId="14" xfId="60" applyFont="1" applyFill="1" applyBorder="1" applyAlignment="1">
      <alignment vertical="center"/>
    </xf>
    <xf numFmtId="0" fontId="3" fillId="6" borderId="9" xfId="0" applyFont="1" applyFill="1" applyBorder="1" applyAlignment="1" applyProtection="1">
      <alignment vertical="center"/>
      <protection locked="0"/>
    </xf>
    <xf numFmtId="3" fontId="3" fillId="6" borderId="9" xfId="0" applyNumberFormat="1" applyFont="1" applyFill="1" applyBorder="1" applyAlignment="1" applyProtection="1">
      <alignment vertical="center"/>
      <protection locked="0"/>
    </xf>
    <xf numFmtId="3" fontId="3" fillId="6" borderId="3" xfId="0" applyNumberFormat="1" applyFont="1" applyFill="1" applyBorder="1" applyAlignment="1" applyProtection="1">
      <alignment vertical="center"/>
      <protection locked="0"/>
    </xf>
    <xf numFmtId="0" fontId="3" fillId="2" borderId="14" xfId="0" applyFont="1" applyFill="1" applyBorder="1" applyAlignment="1">
      <alignment horizontal="left" vertical="center"/>
    </xf>
    <xf numFmtId="0" fontId="3" fillId="0" borderId="0" xfId="0" applyFont="1" applyAlignment="1" applyProtection="1">
      <alignment vertical="center"/>
      <protection locked="0"/>
    </xf>
    <xf numFmtId="0" fontId="4" fillId="2" borderId="8" xfId="0" applyFont="1" applyFill="1" applyBorder="1" applyAlignment="1">
      <alignment horizontal="center" vertical="center"/>
    </xf>
    <xf numFmtId="0" fontId="4" fillId="2" borderId="16" xfId="0" applyFont="1" applyFill="1" applyBorder="1" applyAlignment="1">
      <alignment vertical="center"/>
    </xf>
    <xf numFmtId="0" fontId="4" fillId="2" borderId="11" xfId="0" applyFont="1" applyFill="1" applyBorder="1" applyAlignment="1">
      <alignment vertical="center"/>
    </xf>
    <xf numFmtId="171" fontId="17" fillId="2" borderId="5" xfId="0" applyNumberFormat="1" applyFont="1" applyFill="1" applyBorder="1" applyAlignment="1">
      <alignment horizontal="right" vertical="center"/>
    </xf>
    <xf numFmtId="37" fontId="17" fillId="2" borderId="0" xfId="0" applyNumberFormat="1" applyFont="1" applyFill="1" applyAlignment="1">
      <alignment horizontal="left" vertical="center"/>
    </xf>
    <xf numFmtId="0" fontId="19" fillId="0" borderId="0" xfId="0" applyFont="1" applyAlignment="1">
      <alignment horizontal="center" vertical="center" wrapText="1"/>
    </xf>
    <xf numFmtId="0" fontId="32" fillId="0" borderId="0" xfId="0" applyFont="1" applyAlignment="1">
      <alignment horizontal="center" vertical="center" wrapText="1"/>
    </xf>
    <xf numFmtId="0" fontId="47" fillId="0" borderId="0" xfId="0" applyFont="1" applyAlignment="1">
      <alignment vertical="center" wrapText="1"/>
    </xf>
    <xf numFmtId="0" fontId="50"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left" vertical="center" wrapText="1" indent="2"/>
    </xf>
    <xf numFmtId="0" fontId="4" fillId="0" borderId="0" xfId="0" applyFont="1" applyAlignment="1">
      <alignment horizontal="left" vertical="center" wrapText="1"/>
    </xf>
    <xf numFmtId="0" fontId="4" fillId="0" borderId="0" xfId="0" applyFont="1" applyAlignment="1">
      <alignment horizontal="left" vertical="center" indent="2"/>
    </xf>
    <xf numFmtId="0" fontId="51" fillId="0" borderId="0" xfId="0" applyFont="1" applyAlignment="1">
      <alignment horizontal="left" vertical="center" wrapText="1" indent="4"/>
    </xf>
    <xf numFmtId="0" fontId="11" fillId="0" borderId="0" xfId="0" applyFont="1" applyAlignment="1">
      <alignment vertical="center" wrapText="1"/>
    </xf>
    <xf numFmtId="170" fontId="4" fillId="4" borderId="3" xfId="0" applyNumberFormat="1" applyFont="1" applyFill="1" applyBorder="1" applyAlignment="1" applyProtection="1">
      <alignment horizontal="center" vertical="center"/>
      <protection locked="0"/>
    </xf>
    <xf numFmtId="0" fontId="53" fillId="15" borderId="0" xfId="484" applyFont="1" applyFill="1" applyAlignment="1">
      <alignment wrapText="1"/>
    </xf>
    <xf numFmtId="0" fontId="4" fillId="0" borderId="0" xfId="0" applyFont="1" applyAlignment="1">
      <alignment horizontal="right"/>
    </xf>
    <xf numFmtId="0" fontId="0" fillId="0" borderId="0" xfId="0" applyAlignment="1">
      <alignment horizontal="left"/>
    </xf>
    <xf numFmtId="0" fontId="27" fillId="0" borderId="0" xfId="484" applyAlignment="1">
      <alignment horizontal="right"/>
    </xf>
    <xf numFmtId="0" fontId="27" fillId="0" borderId="0" xfId="484" applyAlignment="1">
      <alignment horizontal="left"/>
    </xf>
    <xf numFmtId="0" fontId="4" fillId="0" borderId="0" xfId="484" applyFont="1" applyAlignment="1">
      <alignment horizontal="right" vertical="center"/>
    </xf>
    <xf numFmtId="0" fontId="17" fillId="0" borderId="0" xfId="484" applyFont="1" applyAlignment="1">
      <alignment horizontal="left" vertical="center"/>
    </xf>
    <xf numFmtId="171" fontId="34" fillId="13" borderId="15" xfId="0" applyNumberFormat="1" applyFont="1" applyFill="1" applyBorder="1" applyAlignment="1">
      <alignment horizontal="center" vertical="center"/>
    </xf>
    <xf numFmtId="171" fontId="36" fillId="13" borderId="15" xfId="0" applyNumberFormat="1" applyFont="1" applyFill="1" applyBorder="1" applyAlignment="1">
      <alignment horizontal="center" vertical="center"/>
    </xf>
    <xf numFmtId="0" fontId="36" fillId="13" borderId="0" xfId="0" applyFont="1" applyFill="1" applyAlignment="1">
      <alignment horizontal="left" vertical="center"/>
    </xf>
    <xf numFmtId="0" fontId="35" fillId="0" borderId="0" xfId="41" applyFont="1" applyAlignment="1">
      <alignment vertical="center"/>
    </xf>
    <xf numFmtId="37" fontId="4" fillId="2" borderId="13" xfId="0" applyNumberFormat="1" applyFont="1" applyFill="1" applyBorder="1" applyAlignment="1">
      <alignment horizontal="left" vertical="center"/>
    </xf>
    <xf numFmtId="3" fontId="4" fillId="2" borderId="18" xfId="0" applyNumberFormat="1" applyFont="1" applyFill="1" applyBorder="1" applyAlignment="1">
      <alignment horizontal="right" vertical="center"/>
    </xf>
    <xf numFmtId="171" fontId="4" fillId="2" borderId="18" xfId="0" applyNumberFormat="1" applyFont="1" applyFill="1" applyBorder="1" applyAlignment="1">
      <alignment horizontal="right" vertical="center"/>
    </xf>
    <xf numFmtId="37" fontId="4" fillId="2" borderId="2" xfId="0" applyNumberFormat="1" applyFont="1" applyFill="1" applyBorder="1" applyAlignment="1">
      <alignment horizontal="center"/>
    </xf>
    <xf numFmtId="170" fontId="4" fillId="2" borderId="3" xfId="0" applyNumberFormat="1" applyFont="1" applyFill="1" applyBorder="1" applyAlignment="1">
      <alignment horizontal="centerContinuous" vertical="center"/>
    </xf>
    <xf numFmtId="170" fontId="4" fillId="2" borderId="3" xfId="0" applyNumberFormat="1" applyFont="1" applyFill="1" applyBorder="1" applyAlignment="1">
      <alignment horizontal="center" vertical="center"/>
    </xf>
    <xf numFmtId="49" fontId="4" fillId="2" borderId="0" xfId="0" applyNumberFormat="1" applyFont="1" applyFill="1" applyAlignment="1" applyProtection="1">
      <alignment horizontal="left" vertical="center"/>
      <protection locked="0"/>
    </xf>
    <xf numFmtId="0" fontId="4" fillId="4" borderId="0" xfId="0" applyFont="1" applyFill="1" applyAlignment="1" applyProtection="1">
      <alignment horizontal="center" vertical="center"/>
      <protection locked="0"/>
    </xf>
    <xf numFmtId="0" fontId="11" fillId="0" borderId="0" xfId="0" applyFont="1" applyAlignment="1">
      <alignment horizontal="center"/>
    </xf>
    <xf numFmtId="0" fontId="3" fillId="0" borderId="0" xfId="0" applyFont="1"/>
    <xf numFmtId="0" fontId="4" fillId="0" borderId="0" xfId="0" quotePrefix="1" applyFont="1"/>
    <xf numFmtId="0" fontId="5" fillId="0" borderId="0" xfId="0" applyFont="1" applyAlignment="1">
      <alignment vertical="center" wrapText="1"/>
    </xf>
    <xf numFmtId="0" fontId="7" fillId="5" borderId="3" xfId="0" applyFont="1" applyFill="1" applyBorder="1" applyAlignment="1">
      <alignment horizontal="center" vertical="center" shrinkToFit="1"/>
    </xf>
    <xf numFmtId="0" fontId="4" fillId="4" borderId="0" xfId="41" applyFont="1" applyFill="1" applyAlignment="1" applyProtection="1">
      <alignment horizontal="center" vertical="center"/>
      <protection locked="0"/>
    </xf>
    <xf numFmtId="37" fontId="4" fillId="4" borderId="0" xfId="60" applyNumberFormat="1" applyFont="1" applyFill="1" applyAlignment="1" applyProtection="1">
      <alignment horizontal="center" vertical="center"/>
      <protection locked="0"/>
    </xf>
    <xf numFmtId="37" fontId="4" fillId="2" borderId="14" xfId="0" applyNumberFormat="1" applyFont="1" applyFill="1" applyBorder="1" applyAlignment="1">
      <alignment vertical="center"/>
    </xf>
    <xf numFmtId="0" fontId="4" fillId="0" borderId="1" xfId="0" applyFont="1" applyBorder="1"/>
    <xf numFmtId="3" fontId="4" fillId="12" borderId="5" xfId="0" applyNumberFormat="1" applyFont="1" applyFill="1" applyBorder="1" applyAlignment="1">
      <alignment horizontal="center" vertical="center"/>
    </xf>
    <xf numFmtId="171" fontId="4" fillId="12" borderId="5" xfId="0" applyNumberFormat="1" applyFont="1" applyFill="1" applyBorder="1" applyAlignment="1">
      <alignment horizontal="center" vertical="center"/>
    </xf>
    <xf numFmtId="174" fontId="4" fillId="2" borderId="3" xfId="0" applyNumberFormat="1" applyFont="1" applyFill="1" applyBorder="1" applyAlignment="1">
      <alignment horizontal="center" vertical="center"/>
    </xf>
    <xf numFmtId="3" fontId="4" fillId="7" borderId="3" xfId="60" applyNumberFormat="1" applyFont="1" applyFill="1" applyBorder="1" applyAlignment="1">
      <alignment horizontal="center" vertical="center"/>
    </xf>
    <xf numFmtId="171" fontId="4" fillId="7" borderId="2" xfId="60" applyNumberFormat="1" applyFont="1" applyFill="1" applyBorder="1" applyAlignment="1">
      <alignment horizontal="center" vertical="center"/>
    </xf>
    <xf numFmtId="0" fontId="56" fillId="0" borderId="0" xfId="521" applyFont="1"/>
    <xf numFmtId="0" fontId="56" fillId="0" borderId="0" xfId="521" applyFont="1" applyAlignment="1">
      <alignment horizontal="left" wrapText="1"/>
    </xf>
    <xf numFmtId="0" fontId="56" fillId="0" borderId="0" xfId="521" applyFont="1" applyAlignment="1">
      <alignment horizontal="center" wrapText="1"/>
    </xf>
    <xf numFmtId="0" fontId="56" fillId="0" borderId="0" xfId="521" applyFont="1" applyAlignment="1">
      <alignment horizontal="center"/>
    </xf>
    <xf numFmtId="0" fontId="58" fillId="20" borderId="3" xfId="521" applyFont="1" applyFill="1" applyBorder="1" applyAlignment="1">
      <alignment horizontal="center" vertical="center"/>
    </xf>
    <xf numFmtId="0" fontId="56" fillId="0" borderId="3" xfId="521" applyFont="1" applyBorder="1" applyAlignment="1">
      <alignment horizontal="center"/>
    </xf>
    <xf numFmtId="0" fontId="56" fillId="0" borderId="13" xfId="521" applyFont="1" applyBorder="1" applyAlignment="1">
      <alignment horizontal="center"/>
    </xf>
    <xf numFmtId="0" fontId="59" fillId="0" borderId="5" xfId="521" applyFont="1" applyBorder="1" applyAlignment="1">
      <alignment horizontal="center" vertical="center"/>
    </xf>
    <xf numFmtId="0" fontId="56" fillId="0" borderId="0" xfId="521" applyFont="1" applyAlignment="1">
      <alignment horizontal="right" wrapText="1"/>
    </xf>
    <xf numFmtId="0" fontId="56" fillId="0" borderId="0" xfId="521" applyFont="1" applyAlignment="1">
      <alignment wrapText="1"/>
    </xf>
    <xf numFmtId="0" fontId="13" fillId="0" borderId="0" xfId="0" applyFont="1" applyAlignment="1">
      <alignment horizontal="center"/>
    </xf>
    <xf numFmtId="0" fontId="2" fillId="0" borderId="0" xfId="0" applyFont="1"/>
    <xf numFmtId="0" fontId="4" fillId="0" borderId="0" xfId="215" applyFont="1"/>
    <xf numFmtId="0" fontId="62" fillId="0" borderId="0" xfId="0" applyFont="1"/>
    <xf numFmtId="0" fontId="63" fillId="0" borderId="0" xfId="0" applyFont="1"/>
    <xf numFmtId="0" fontId="64" fillId="0" borderId="0" xfId="0" applyFont="1" applyAlignment="1">
      <alignment horizontal="left" vertical="center" readingOrder="1"/>
    </xf>
    <xf numFmtId="0" fontId="65" fillId="0" borderId="0" xfId="0" applyFont="1" applyAlignment="1">
      <alignment horizontal="left" vertical="center" indent="2" readingOrder="1"/>
    </xf>
    <xf numFmtId="0" fontId="65" fillId="0" borderId="1" xfId="0" applyFont="1" applyBorder="1" applyAlignment="1">
      <alignment horizontal="center" vertical="center" readingOrder="1"/>
    </xf>
    <xf numFmtId="0" fontId="66" fillId="0" borderId="0" xfId="0" applyFont="1" applyAlignment="1">
      <alignment horizontal="left" vertical="center" readingOrder="1"/>
    </xf>
    <xf numFmtId="0" fontId="0" fillId="21" borderId="0" xfId="0" applyFill="1"/>
    <xf numFmtId="0" fontId="64" fillId="21" borderId="0" xfId="0" applyFont="1" applyFill="1" applyAlignment="1">
      <alignment horizontal="left" vertical="center" readingOrder="1"/>
    </xf>
    <xf numFmtId="0" fontId="68" fillId="0" borderId="0" xfId="0" applyFont="1" applyAlignment="1">
      <alignment wrapText="1"/>
    </xf>
    <xf numFmtId="0" fontId="1" fillId="0" borderId="0" xfId="0" applyFont="1"/>
    <xf numFmtId="0" fontId="69" fillId="0" borderId="0" xfId="0" applyFont="1" applyAlignment="1">
      <alignment horizontal="left"/>
    </xf>
    <xf numFmtId="0" fontId="56" fillId="0" borderId="0" xfId="0" applyFont="1"/>
    <xf numFmtId="0" fontId="33" fillId="0" borderId="0" xfId="14" applyFont="1" applyAlignment="1" applyProtection="1"/>
    <xf numFmtId="0" fontId="5" fillId="0" borderId="0" xfId="31" applyFont="1" applyAlignment="1">
      <alignment wrapText="1"/>
    </xf>
    <xf numFmtId="0" fontId="4" fillId="0" borderId="0" xfId="31" applyFont="1" applyAlignment="1">
      <alignment vertical="center" wrapText="1"/>
    </xf>
    <xf numFmtId="0" fontId="5" fillId="0" borderId="0" xfId="0" applyFont="1" applyAlignment="1">
      <alignment wrapText="1"/>
    </xf>
    <xf numFmtId="0" fontId="5" fillId="0" borderId="0" xfId="101" applyFont="1" applyAlignment="1">
      <alignment vertical="center" wrapText="1"/>
    </xf>
    <xf numFmtId="0" fontId="4" fillId="0" borderId="0" xfId="101" applyFont="1" applyAlignment="1">
      <alignment vertical="center" wrapText="1"/>
    </xf>
    <xf numFmtId="0" fontId="4" fillId="0" borderId="0" xfId="135" applyFont="1" applyAlignment="1">
      <alignment vertical="center" wrapText="1"/>
    </xf>
    <xf numFmtId="0" fontId="4" fillId="0" borderId="0" xfId="106" applyFont="1" applyAlignment="1">
      <alignment vertical="center" wrapText="1"/>
    </xf>
    <xf numFmtId="0" fontId="4" fillId="0" borderId="0" xfId="479" applyFont="1" applyAlignment="1">
      <alignment vertical="center" wrapText="1"/>
    </xf>
    <xf numFmtId="0" fontId="4" fillId="0" borderId="0" xfId="0" applyFont="1" applyAlignment="1">
      <alignment vertical="top" wrapText="1"/>
    </xf>
    <xf numFmtId="0" fontId="4" fillId="13" borderId="0" xfId="0" applyFont="1" applyFill="1" applyAlignment="1">
      <alignment horizontal="right" vertical="center"/>
    </xf>
    <xf numFmtId="170" fontId="4" fillId="2" borderId="0" xfId="0" applyNumberFormat="1" applyFont="1" applyFill="1" applyAlignment="1">
      <alignment horizontal="center" vertical="center"/>
    </xf>
    <xf numFmtId="37" fontId="12" fillId="2" borderId="0" xfId="0" applyNumberFormat="1" applyFont="1" applyFill="1" applyAlignment="1">
      <alignment horizontal="center" vertical="center"/>
    </xf>
    <xf numFmtId="0" fontId="13" fillId="0" borderId="0" xfId="0" applyFont="1" applyAlignment="1">
      <alignment horizontal="center" vertical="center"/>
    </xf>
    <xf numFmtId="37" fontId="11" fillId="2" borderId="0" xfId="0" applyNumberFormat="1" applyFont="1" applyFill="1" applyAlignment="1">
      <alignment horizontal="center" vertical="center"/>
    </xf>
    <xf numFmtId="0" fontId="0" fillId="0" borderId="0" xfId="0" applyAlignment="1">
      <alignment horizontal="center" vertical="center"/>
    </xf>
    <xf numFmtId="37" fontId="3" fillId="2" borderId="0" xfId="31" applyNumberFormat="1" applyFont="1" applyFill="1" applyAlignment="1">
      <alignment vertical="center" wrapText="1"/>
    </xf>
    <xf numFmtId="0" fontId="4" fillId="2" borderId="14" xfId="31" applyFont="1" applyFill="1" applyBorder="1" applyAlignment="1">
      <alignment vertical="center" wrapText="1"/>
    </xf>
    <xf numFmtId="0" fontId="2" fillId="0" borderId="12" xfId="31" applyBorder="1" applyAlignment="1">
      <alignment vertical="center" wrapText="1"/>
    </xf>
    <xf numFmtId="0" fontId="2" fillId="0" borderId="16" xfId="31" applyBorder="1" applyAlignment="1">
      <alignment vertical="center" wrapText="1"/>
    </xf>
    <xf numFmtId="0" fontId="2" fillId="0" borderId="11" xfId="31" applyBorder="1" applyAlignment="1">
      <alignment vertical="center" wrapText="1"/>
    </xf>
    <xf numFmtId="0" fontId="2" fillId="0" borderId="15" xfId="31" applyBorder="1" applyAlignment="1">
      <alignment vertical="center" wrapText="1"/>
    </xf>
    <xf numFmtId="0" fontId="2" fillId="0" borderId="4" xfId="31" applyBorder="1" applyAlignment="1">
      <alignment vertical="center" wrapText="1"/>
    </xf>
    <xf numFmtId="37" fontId="4" fillId="4" borderId="9" xfId="0" applyNumberFormat="1" applyFont="1" applyFill="1" applyBorder="1" applyAlignment="1" applyProtection="1">
      <alignment horizontal="center" vertical="center"/>
      <protection locked="0"/>
    </xf>
    <xf numFmtId="37" fontId="4" fillId="4" borderId="7" xfId="0" applyNumberFormat="1" applyFont="1" applyFill="1" applyBorder="1" applyAlignment="1" applyProtection="1">
      <alignment horizontal="center" vertical="center"/>
      <protection locked="0"/>
    </xf>
    <xf numFmtId="0" fontId="47" fillId="0" borderId="0" xfId="0" applyFont="1" applyAlignment="1">
      <alignment horizontal="center" vertical="center" wrapText="1"/>
    </xf>
    <xf numFmtId="0" fontId="3" fillId="8" borderId="9"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7" xfId="0" applyFont="1" applyFill="1" applyBorder="1" applyAlignment="1">
      <alignment horizontal="center" vertical="center"/>
    </xf>
    <xf numFmtId="0" fontId="14" fillId="2" borderId="0" xfId="0" applyFont="1" applyFill="1" applyAlignment="1">
      <alignment vertical="center"/>
    </xf>
    <xf numFmtId="0" fontId="16" fillId="0" borderId="0" xfId="0" applyFont="1" applyAlignment="1">
      <alignment vertical="center"/>
    </xf>
    <xf numFmtId="0" fontId="4" fillId="3" borderId="8" xfId="0" applyFont="1" applyFill="1" applyBorder="1" applyAlignment="1">
      <alignment vertical="center" wrapText="1"/>
    </xf>
    <xf numFmtId="0" fontId="0" fillId="0" borderId="8" xfId="0" applyBorder="1" applyAlignment="1">
      <alignment vertical="center" wrapText="1"/>
    </xf>
    <xf numFmtId="0" fontId="3" fillId="5" borderId="9" xfId="0" applyFont="1" applyFill="1" applyBorder="1" applyAlignment="1">
      <alignment horizontal="center" vertical="center"/>
    </xf>
    <xf numFmtId="0" fontId="1" fillId="5" borderId="7" xfId="0" applyFont="1" applyFill="1" applyBorder="1" applyAlignment="1">
      <alignment horizontal="center" vertical="center"/>
    </xf>
    <xf numFmtId="37" fontId="3" fillId="18" borderId="9" xfId="60" applyNumberFormat="1" applyFont="1" applyFill="1" applyBorder="1" applyAlignment="1">
      <alignment horizontal="center" vertical="center"/>
    </xf>
    <xf numFmtId="0" fontId="2" fillId="0" borderId="7" xfId="60" applyBorder="1" applyAlignment="1">
      <alignment horizontal="center" vertical="center"/>
    </xf>
    <xf numFmtId="0" fontId="52" fillId="19" borderId="0" xfId="0" applyFont="1" applyFill="1" applyAlignment="1">
      <alignment horizontal="center" vertical="center"/>
    </xf>
    <xf numFmtId="0" fontId="53" fillId="19" borderId="0" xfId="484" applyFont="1" applyFill="1" applyAlignment="1">
      <alignment horizontal="center" vertical="center" wrapText="1"/>
    </xf>
    <xf numFmtId="0" fontId="4" fillId="0" borderId="0" xfId="484" applyFont="1" applyAlignment="1">
      <alignment horizontal="center" vertical="center" wrapText="1"/>
    </xf>
    <xf numFmtId="49" fontId="4" fillId="4" borderId="9" xfId="484" applyNumberFormat="1" applyFont="1" applyFill="1" applyBorder="1" applyAlignment="1" applyProtection="1">
      <alignment horizontal="left" vertical="center"/>
      <protection locked="0"/>
    </xf>
    <xf numFmtId="49" fontId="4" fillId="4" borderId="6" xfId="484" applyNumberFormat="1" applyFont="1" applyFill="1" applyBorder="1" applyAlignment="1" applyProtection="1">
      <alignment horizontal="left" vertical="center"/>
      <protection locked="0"/>
    </xf>
    <xf numFmtId="49" fontId="4" fillId="4" borderId="7" xfId="484" applyNumberFormat="1" applyFont="1" applyFill="1" applyBorder="1" applyAlignment="1" applyProtection="1">
      <alignment horizontal="left" vertical="center"/>
      <protection locked="0"/>
    </xf>
    <xf numFmtId="0" fontId="17" fillId="0" borderId="0" xfId="0" applyFont="1" applyAlignment="1">
      <alignment horizontal="center" vertical="top" wrapText="1"/>
    </xf>
    <xf numFmtId="0" fontId="4" fillId="4" borderId="9" xfId="484" applyFont="1" applyFill="1" applyBorder="1" applyAlignment="1" applyProtection="1">
      <alignment horizontal="left" vertical="center"/>
      <protection locked="0"/>
    </xf>
    <xf numFmtId="0" fontId="4" fillId="4" borderId="6" xfId="484" applyFont="1" applyFill="1" applyBorder="1" applyAlignment="1" applyProtection="1">
      <alignment horizontal="left" vertical="center"/>
      <protection locked="0"/>
    </xf>
    <xf numFmtId="0" fontId="4" fillId="4" borderId="7" xfId="484" applyFont="1" applyFill="1" applyBorder="1" applyAlignment="1" applyProtection="1">
      <alignment horizontal="left" vertical="center"/>
      <protection locked="0"/>
    </xf>
    <xf numFmtId="0" fontId="3" fillId="17" borderId="0" xfId="0" applyFont="1" applyFill="1" applyAlignment="1">
      <alignment horizontal="left" vertical="top" wrapText="1"/>
    </xf>
    <xf numFmtId="0" fontId="28" fillId="2" borderId="0" xfId="0" applyFont="1" applyFill="1" applyAlignment="1">
      <alignment horizontal="center" vertical="center"/>
    </xf>
    <xf numFmtId="37"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0" fillId="0" borderId="0" xfId="0" applyAlignment="1">
      <alignment vertical="center"/>
    </xf>
    <xf numFmtId="37" fontId="4" fillId="2" borderId="2" xfId="0" applyNumberFormat="1" applyFont="1" applyFill="1" applyBorder="1" applyAlignment="1">
      <alignment horizontal="center" vertical="center" wrapText="1"/>
    </xf>
    <xf numFmtId="37" fontId="4" fillId="2" borderId="10" xfId="0" applyNumberFormat="1" applyFont="1" applyFill="1" applyBorder="1" applyAlignment="1">
      <alignment horizontal="center" vertical="center" wrapText="1"/>
    </xf>
    <xf numFmtId="37" fontId="4" fillId="2" borderId="5" xfId="0" applyNumberFormat="1" applyFont="1" applyFill="1" applyBorder="1" applyAlignment="1">
      <alignment horizontal="center" vertical="center" wrapText="1"/>
    </xf>
    <xf numFmtId="37" fontId="4" fillId="2" borderId="9" xfId="0" applyNumberFormat="1" applyFont="1" applyFill="1" applyBorder="1" applyAlignment="1">
      <alignment horizontal="left" vertical="center"/>
    </xf>
    <xf numFmtId="37" fontId="4" fillId="2" borderId="7" xfId="0" applyNumberFormat="1" applyFont="1" applyFill="1" applyBorder="1" applyAlignment="1">
      <alignment horizontal="left" vertical="center"/>
    </xf>
    <xf numFmtId="0" fontId="4" fillId="14" borderId="2" xfId="0" applyFont="1" applyFill="1" applyBorder="1" applyAlignment="1">
      <alignment horizontal="center" vertical="center"/>
    </xf>
    <xf numFmtId="0" fontId="4" fillId="14" borderId="5" xfId="0" applyFont="1" applyFill="1" applyBorder="1" applyAlignment="1">
      <alignment horizontal="center" vertical="center"/>
    </xf>
    <xf numFmtId="0" fontId="7" fillId="5" borderId="3" xfId="0" applyFont="1" applyFill="1" applyBorder="1" applyAlignment="1">
      <alignment horizontal="center" vertical="center" wrapText="1" shrinkToFit="1"/>
    </xf>
    <xf numFmtId="0" fontId="4" fillId="13" borderId="0" xfId="0" applyFont="1" applyFill="1" applyAlignment="1">
      <alignment horizontal="right" vertical="center"/>
    </xf>
    <xf numFmtId="0" fontId="4" fillId="13" borderId="11" xfId="0" applyFont="1" applyFill="1" applyBorder="1" applyAlignment="1">
      <alignment horizontal="right" vertical="center"/>
    </xf>
    <xf numFmtId="37" fontId="4" fillId="2" borderId="3" xfId="0" applyNumberFormat="1" applyFont="1" applyFill="1" applyBorder="1" applyAlignment="1">
      <alignment horizontal="left" vertical="center"/>
    </xf>
    <xf numFmtId="37" fontId="3" fillId="2" borderId="0" xfId="0" applyNumberFormat="1" applyFont="1" applyFill="1" applyAlignment="1">
      <alignment horizontal="right" vertical="center"/>
    </xf>
    <xf numFmtId="37" fontId="4" fillId="2" borderId="0" xfId="0" applyNumberFormat="1" applyFont="1" applyFill="1" applyAlignment="1">
      <alignment horizontal="right" vertical="center"/>
    </xf>
    <xf numFmtId="37" fontId="4" fillId="2" borderId="9" xfId="0" applyNumberFormat="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17" borderId="0" xfId="0" applyFont="1" applyFill="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0" fillId="0" borderId="4" xfId="0" applyBorder="1" applyAlignment="1">
      <alignment vertical="center"/>
    </xf>
    <xf numFmtId="1" fontId="4" fillId="2" borderId="15" xfId="0" applyNumberFormat="1" applyFont="1" applyFill="1" applyBorder="1" applyAlignment="1">
      <alignment horizontal="center" vertical="center"/>
    </xf>
    <xf numFmtId="0" fontId="0" fillId="0" borderId="4" xfId="0" applyBorder="1" applyAlignment="1">
      <alignment horizontal="center" vertical="center"/>
    </xf>
    <xf numFmtId="0" fontId="11" fillId="13" borderId="0" xfId="505" applyFont="1" applyFill="1" applyAlignment="1">
      <alignment horizontal="center"/>
    </xf>
    <xf numFmtId="0" fontId="2" fillId="13" borderId="0" xfId="41" applyFill="1" applyAlignment="1">
      <alignment horizontal="center"/>
    </xf>
    <xf numFmtId="0" fontId="3" fillId="13" borderId="0" xfId="41" applyFont="1" applyFill="1" applyAlignment="1">
      <alignment horizontal="center" vertical="center"/>
    </xf>
    <xf numFmtId="0" fontId="11" fillId="13" borderId="0" xfId="41" applyFont="1" applyFill="1" applyAlignment="1">
      <alignment horizontal="center" vertical="center"/>
    </xf>
    <xf numFmtId="0" fontId="4" fillId="13" borderId="0" xfId="41" applyFont="1" applyFill="1" applyAlignment="1">
      <alignment vertical="center" wrapText="1"/>
    </xf>
    <xf numFmtId="0" fontId="46" fillId="0" borderId="8" xfId="0" applyFont="1" applyBorder="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3" fontId="4" fillId="2" borderId="8" xfId="65" applyNumberFormat="1" applyFont="1" applyFill="1" applyBorder="1" applyAlignment="1">
      <alignment horizontal="right" vertical="center"/>
    </xf>
    <xf numFmtId="0" fontId="2" fillId="0" borderId="12" xfId="65" applyBorder="1" applyAlignment="1">
      <alignment horizontal="right" vertical="center"/>
    </xf>
    <xf numFmtId="0" fontId="4" fillId="2" borderId="0" xfId="65" applyFont="1" applyFill="1" applyAlignment="1">
      <alignment horizontal="right" vertical="center"/>
    </xf>
    <xf numFmtId="0" fontId="4" fillId="0" borderId="11" xfId="65" applyFont="1" applyBorder="1" applyAlignment="1">
      <alignment horizontal="right" vertical="center"/>
    </xf>
    <xf numFmtId="0" fontId="4" fillId="2" borderId="0" xfId="0" applyFont="1" applyFill="1" applyAlignment="1">
      <alignment horizontal="right" vertical="center"/>
    </xf>
    <xf numFmtId="0" fontId="0" fillId="0" borderId="0" xfId="0" applyAlignment="1">
      <alignment horizontal="right" vertical="center"/>
    </xf>
    <xf numFmtId="0" fontId="35" fillId="13" borderId="14" xfId="60" applyFont="1" applyFill="1" applyBorder="1" applyAlignment="1">
      <alignment horizontal="center" vertical="center"/>
    </xf>
    <xf numFmtId="0" fontId="35" fillId="13" borderId="8" xfId="60" applyFont="1" applyFill="1" applyBorder="1" applyAlignment="1">
      <alignment horizontal="center" vertical="center"/>
    </xf>
    <xf numFmtId="0" fontId="2" fillId="0" borderId="12" xfId="60" applyBorder="1" applyAlignment="1">
      <alignment vertical="center"/>
    </xf>
    <xf numFmtId="0" fontId="0" fillId="0" borderId="8" xfId="0" applyBorder="1" applyAlignment="1">
      <alignment vertical="center"/>
    </xf>
    <xf numFmtId="0" fontId="0" fillId="0" borderId="12" xfId="0" applyBorder="1" applyAlignment="1">
      <alignment vertical="center"/>
    </xf>
    <xf numFmtId="171" fontId="35" fillId="13" borderId="14" xfId="0" applyNumberFormat="1" applyFont="1" applyFill="1" applyBorder="1" applyAlignment="1">
      <alignment horizontal="center" wrapText="1"/>
    </xf>
    <xf numFmtId="171" fontId="35" fillId="13" borderId="8" xfId="0" applyNumberFormat="1" applyFont="1" applyFill="1" applyBorder="1" applyAlignment="1">
      <alignment horizontal="center" wrapText="1"/>
    </xf>
    <xf numFmtId="171" fontId="35" fillId="13" borderId="12" xfId="0" applyNumberFormat="1" applyFont="1" applyFill="1" applyBorder="1" applyAlignment="1">
      <alignment horizontal="center" wrapText="1"/>
    </xf>
    <xf numFmtId="171" fontId="35" fillId="13" borderId="16" xfId="0" applyNumberFormat="1" applyFont="1" applyFill="1" applyBorder="1" applyAlignment="1">
      <alignment horizontal="center" wrapText="1"/>
    </xf>
    <xf numFmtId="171" fontId="35" fillId="13" borderId="0" xfId="0" applyNumberFormat="1" applyFont="1" applyFill="1" applyAlignment="1">
      <alignment horizontal="center" wrapText="1"/>
    </xf>
    <xf numFmtId="171" fontId="35" fillId="13" borderId="11" xfId="0" applyNumberFormat="1" applyFont="1" applyFill="1" applyBorder="1" applyAlignment="1">
      <alignment horizontal="center" wrapText="1"/>
    </xf>
    <xf numFmtId="0" fontId="4" fillId="13" borderId="16"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15" xfId="0" applyFont="1" applyFill="1" applyBorder="1" applyAlignment="1">
      <alignment horizontal="center" vertical="center" wrapText="1"/>
    </xf>
    <xf numFmtId="0" fontId="4" fillId="13" borderId="1" xfId="0" applyFont="1" applyFill="1" applyBorder="1" applyAlignment="1">
      <alignment horizontal="center" vertical="center" wrapText="1"/>
    </xf>
    <xf numFmtId="49" fontId="54" fillId="13" borderId="11" xfId="0" applyNumberFormat="1" applyFont="1" applyFill="1" applyBorder="1" applyAlignment="1">
      <alignment horizontal="center" vertical="center"/>
    </xf>
    <xf numFmtId="49" fontId="54" fillId="13" borderId="4" xfId="0" applyNumberFormat="1" applyFont="1" applyFill="1" applyBorder="1" applyAlignment="1">
      <alignment horizontal="center" vertical="center"/>
    </xf>
    <xf numFmtId="0" fontId="35" fillId="13" borderId="14" xfId="41" applyFont="1" applyFill="1" applyBorder="1" applyAlignment="1">
      <alignment horizontal="center" vertical="center"/>
    </xf>
    <xf numFmtId="0" fontId="2" fillId="0" borderId="8" xfId="41" applyBorder="1" applyAlignment="1">
      <alignment vertical="center"/>
    </xf>
    <xf numFmtId="0" fontId="2" fillId="0" borderId="12" xfId="41" applyBorder="1" applyAlignment="1">
      <alignment vertical="center"/>
    </xf>
    <xf numFmtId="0" fontId="4" fillId="2"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0" fontId="35" fillId="13" borderId="14" xfId="0" applyFont="1" applyFill="1" applyBorder="1" applyAlignment="1">
      <alignment horizontal="center" vertical="center"/>
    </xf>
    <xf numFmtId="0" fontId="30" fillId="13" borderId="14" xfId="60" applyFont="1" applyFill="1" applyBorder="1" applyAlignment="1" applyProtection="1">
      <alignment horizontal="center" vertical="center"/>
      <protection locked="0"/>
    </xf>
    <xf numFmtId="0" fontId="37" fillId="0" borderId="8" xfId="0" applyFont="1" applyBorder="1" applyAlignment="1">
      <alignment horizontal="center" vertical="center"/>
    </xf>
    <xf numFmtId="0" fontId="0" fillId="0" borderId="12" xfId="0" applyBorder="1"/>
    <xf numFmtId="171" fontId="35" fillId="13" borderId="14" xfId="0" applyNumberFormat="1" applyFont="1" applyFill="1" applyBorder="1" applyAlignment="1">
      <alignment horizontal="center"/>
    </xf>
    <xf numFmtId="0" fontId="13" fillId="0" borderId="8" xfId="0" applyFont="1" applyBorder="1"/>
    <xf numFmtId="0" fontId="13" fillId="0" borderId="12" xfId="0" applyFont="1" applyBorder="1"/>
    <xf numFmtId="0" fontId="0" fillId="0" borderId="8" xfId="0" applyBorder="1" applyAlignment="1">
      <alignment horizontal="center" vertical="center"/>
    </xf>
    <xf numFmtId="0" fontId="17" fillId="2" borderId="0" xfId="0" applyFont="1" applyFill="1" applyAlignment="1">
      <alignment horizontal="center" vertical="center"/>
    </xf>
    <xf numFmtId="0" fontId="4" fillId="3" borderId="0" xfId="0" applyFont="1" applyFill="1" applyAlignment="1">
      <alignment horizontal="right"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37" fontId="3" fillId="17" borderId="0" xfId="0" applyNumberFormat="1" applyFont="1" applyFill="1" applyAlignment="1">
      <alignment horizontal="center" vertical="center"/>
    </xf>
    <xf numFmtId="37" fontId="4" fillId="13" borderId="0" xfId="0" applyNumberFormat="1" applyFont="1" applyFill="1" applyAlignment="1">
      <alignment horizontal="center" vertical="center"/>
    </xf>
    <xf numFmtId="0" fontId="52" fillId="13" borderId="12" xfId="0" applyFont="1" applyFill="1" applyBorder="1" applyAlignment="1">
      <alignment horizontal="center" vertical="center" wrapText="1"/>
    </xf>
    <xf numFmtId="0" fontId="53" fillId="13" borderId="4" xfId="0" applyFont="1" applyFill="1" applyBorder="1" applyAlignment="1">
      <alignment horizontal="center" vertical="center" wrapText="1"/>
    </xf>
    <xf numFmtId="37" fontId="4" fillId="2" borderId="8" xfId="0" applyNumberFormat="1" applyFont="1" applyFill="1" applyBorder="1" applyAlignment="1">
      <alignment horizontal="center" vertical="center"/>
    </xf>
    <xf numFmtId="37" fontId="4" fillId="13" borderId="0" xfId="87" applyNumberFormat="1" applyFont="1" applyFill="1" applyAlignment="1">
      <alignment horizontal="center"/>
    </xf>
    <xf numFmtId="37" fontId="3" fillId="2" borderId="1" xfId="0" applyNumberFormat="1" applyFont="1" applyFill="1" applyBorder="1" applyAlignment="1" applyProtection="1">
      <alignment horizontal="center" vertical="center"/>
      <protection locked="0"/>
    </xf>
    <xf numFmtId="37" fontId="17" fillId="2" borderId="15" xfId="0" applyNumberFormat="1" applyFont="1" applyFill="1" applyBorder="1" applyAlignment="1">
      <alignment horizontal="right"/>
    </xf>
    <xf numFmtId="37" fontId="17" fillId="2" borderId="1" xfId="0" applyNumberFormat="1" applyFont="1" applyFill="1" applyBorder="1" applyAlignment="1">
      <alignment horizontal="right"/>
    </xf>
    <xf numFmtId="37" fontId="17" fillId="2" borderId="4" xfId="0" applyNumberFormat="1" applyFont="1" applyFill="1" applyBorder="1" applyAlignment="1">
      <alignment horizontal="right"/>
    </xf>
    <xf numFmtId="0" fontId="3" fillId="13" borderId="14" xfId="0" applyFont="1" applyFill="1" applyBorder="1" applyAlignment="1">
      <alignment horizontal="center" wrapText="1"/>
    </xf>
    <xf numFmtId="0" fontId="11" fillId="13" borderId="8" xfId="0" applyFont="1" applyFill="1" applyBorder="1" applyAlignment="1">
      <alignment horizontal="center" wrapText="1"/>
    </xf>
    <xf numFmtId="0" fontId="11" fillId="13" borderId="15" xfId="0" applyFont="1" applyFill="1" applyBorder="1" applyAlignment="1">
      <alignment horizontal="center" wrapText="1"/>
    </xf>
    <xf numFmtId="0" fontId="11" fillId="13" borderId="1" xfId="0" applyFont="1" applyFill="1" applyBorder="1" applyAlignment="1">
      <alignment horizontal="center" wrapText="1"/>
    </xf>
    <xf numFmtId="0" fontId="11" fillId="13" borderId="14" xfId="60" applyFont="1" applyFill="1" applyBorder="1" applyAlignment="1">
      <alignment horizontal="center"/>
    </xf>
    <xf numFmtId="0" fontId="2" fillId="0" borderId="8" xfId="60" applyBorder="1" applyAlignment="1">
      <alignment horizontal="center"/>
    </xf>
    <xf numFmtId="0" fontId="2" fillId="0" borderId="12" xfId="60" applyBorder="1" applyAlignment="1">
      <alignment horizontal="center"/>
    </xf>
    <xf numFmtId="0" fontId="11" fillId="13" borderId="8" xfId="60" applyFont="1" applyFill="1" applyBorder="1" applyAlignment="1">
      <alignment horizontal="center"/>
    </xf>
    <xf numFmtId="0" fontId="11" fillId="13" borderId="12" xfId="60" applyFont="1" applyFill="1"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11" fillId="2" borderId="0" xfId="0" applyFont="1" applyFill="1" applyAlignment="1">
      <alignment horizontal="center" vertical="center"/>
    </xf>
    <xf numFmtId="37" fontId="3" fillId="2" borderId="0" xfId="0" applyNumberFormat="1" applyFont="1" applyFill="1" applyAlignment="1">
      <alignment horizontal="center" vertical="center"/>
    </xf>
    <xf numFmtId="0" fontId="4" fillId="2" borderId="3" xfId="0" applyFont="1" applyFill="1" applyBorder="1" applyAlignment="1">
      <alignment horizontal="center" vertical="center"/>
    </xf>
    <xf numFmtId="49" fontId="4" fillId="2" borderId="0" xfId="0" applyNumberFormat="1" applyFont="1" applyFill="1" applyAlignment="1" applyProtection="1">
      <alignment horizontal="left" vertical="center"/>
      <protection locked="0"/>
    </xf>
    <xf numFmtId="0" fontId="4" fillId="17" borderId="0" xfId="0" applyFont="1" applyFill="1" applyAlignment="1">
      <alignment horizontal="right" vertical="center"/>
    </xf>
    <xf numFmtId="0" fontId="11" fillId="0" borderId="0" xfId="0" applyFont="1" applyAlignment="1">
      <alignment horizontal="center"/>
    </xf>
    <xf numFmtId="0" fontId="3"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center"/>
    </xf>
    <xf numFmtId="0" fontId="56" fillId="0" borderId="3" xfId="521" applyFont="1" applyBorder="1" applyAlignment="1">
      <alignment horizontal="center"/>
    </xf>
    <xf numFmtId="0" fontId="56" fillId="0" borderId="13" xfId="521" applyFont="1" applyBorder="1" applyAlignment="1">
      <alignment horizontal="center"/>
    </xf>
    <xf numFmtId="0" fontId="59" fillId="0" borderId="5" xfId="521" applyFont="1" applyBorder="1" applyAlignment="1">
      <alignment horizontal="center" vertical="center"/>
    </xf>
    <xf numFmtId="0" fontId="56" fillId="0" borderId="1" xfId="521" applyFont="1" applyBorder="1" applyAlignment="1">
      <alignment horizontal="center" wrapText="1"/>
    </xf>
    <xf numFmtId="0" fontId="56" fillId="0" borderId="9" xfId="521" applyFont="1" applyBorder="1" applyAlignment="1">
      <alignment horizontal="center"/>
    </xf>
    <xf numFmtId="0" fontId="56" fillId="0" borderId="6" xfId="521" applyFont="1" applyBorder="1" applyAlignment="1">
      <alignment horizontal="center"/>
    </xf>
    <xf numFmtId="0" fontId="56" fillId="0" borderId="7" xfId="521" applyFont="1" applyBorder="1" applyAlignment="1">
      <alignment horizontal="center"/>
    </xf>
    <xf numFmtId="0" fontId="55" fillId="0" borderId="0" xfId="521" applyFont="1" applyAlignment="1">
      <alignment horizontal="center"/>
    </xf>
    <xf numFmtId="0" fontId="56" fillId="0" borderId="0" xfId="521" applyFont="1" applyAlignment="1">
      <alignment horizontal="center" wrapText="1"/>
    </xf>
    <xf numFmtId="0" fontId="56" fillId="0" borderId="0" xfId="521" applyFont="1" applyAlignment="1">
      <alignment horizontal="center"/>
    </xf>
    <xf numFmtId="0" fontId="58" fillId="20" borderId="9" xfId="521" applyFont="1" applyFill="1" applyBorder="1" applyAlignment="1">
      <alignment horizontal="center" vertical="center"/>
    </xf>
    <xf numFmtId="0" fontId="58" fillId="20" borderId="6" xfId="521" applyFont="1" applyFill="1" applyBorder="1" applyAlignment="1">
      <alignment horizontal="center" vertical="center"/>
    </xf>
    <xf numFmtId="0" fontId="58" fillId="20" borderId="7" xfId="521" applyFont="1" applyFill="1" applyBorder="1" applyAlignment="1">
      <alignment horizontal="center" vertical="center"/>
    </xf>
    <xf numFmtId="0" fontId="3" fillId="0" borderId="0" xfId="0" applyFont="1" applyAlignment="1">
      <alignment wrapText="1"/>
    </xf>
    <xf numFmtId="0" fontId="4" fillId="0" borderId="0" xfId="0" applyFont="1" applyAlignment="1">
      <alignment wrapText="1"/>
    </xf>
    <xf numFmtId="0" fontId="60" fillId="0" borderId="0" xfId="0" quotePrefix="1" applyFont="1" applyAlignment="1">
      <alignment horizontal="center" vertical="center"/>
    </xf>
    <xf numFmtId="0" fontId="60" fillId="0" borderId="0" xfId="0" applyFont="1" applyAlignment="1">
      <alignment horizontal="center" vertical="center"/>
    </xf>
    <xf numFmtId="0" fontId="52" fillId="0" borderId="0" xfId="0" applyFont="1" applyAlignment="1">
      <alignment horizontal="center" vertical="center"/>
    </xf>
    <xf numFmtId="0" fontId="68" fillId="0" borderId="0" xfId="0" applyFont="1" applyAlignment="1">
      <alignment horizontal="center" wrapText="1"/>
    </xf>
  </cellXfs>
  <cellStyles count="522">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17" xfId="6" xr:uid="{00000000-0005-0000-0000-000005000000}"/>
    <cellStyle name="Comma 2 2" xfId="7" xr:uid="{00000000-0005-0000-0000-000006000000}"/>
    <cellStyle name="Comma 3 2" xfId="8" xr:uid="{00000000-0005-0000-0000-000007000000}"/>
    <cellStyle name="Comma 3 3" xfId="9" xr:uid="{00000000-0005-0000-0000-000008000000}"/>
    <cellStyle name="Comma 4 2" xfId="10" xr:uid="{00000000-0005-0000-0000-000009000000}"/>
    <cellStyle name="Comma 6 2" xfId="11" xr:uid="{00000000-0005-0000-0000-00000A000000}"/>
    <cellStyle name="Comma 7 2" xfId="12" xr:uid="{00000000-0005-0000-0000-00000B000000}"/>
    <cellStyle name="Comma 7 3" xfId="13" xr:uid="{00000000-0005-0000-0000-00000C000000}"/>
    <cellStyle name="Hyperlink" xfId="14" builtinId="8"/>
    <cellStyle name="Hyperlink 16" xfId="15" xr:uid="{00000000-0005-0000-0000-00000E000000}"/>
    <cellStyle name="Hyperlink 2 2" xfId="16" xr:uid="{00000000-0005-0000-0000-00000F000000}"/>
    <cellStyle name="Hyperlink 2 3" xfId="17" xr:uid="{00000000-0005-0000-0000-000010000000}"/>
    <cellStyle name="Hyperlink 3" xfId="18" xr:uid="{00000000-0005-0000-0000-000011000000}"/>
    <cellStyle name="Hyperlink 3 2" xfId="19" xr:uid="{00000000-0005-0000-0000-000012000000}"/>
    <cellStyle name="Hyperlink 3 3" xfId="20" xr:uid="{00000000-0005-0000-0000-000013000000}"/>
    <cellStyle name="Hyperlink 3 4" xfId="21" xr:uid="{00000000-0005-0000-0000-000014000000}"/>
    <cellStyle name="Hyperlink 4" xfId="22" xr:uid="{00000000-0005-0000-0000-000015000000}"/>
    <cellStyle name="Hyperlink 4 2" xfId="23" xr:uid="{00000000-0005-0000-0000-000016000000}"/>
    <cellStyle name="Hyperlink 7" xfId="24" xr:uid="{00000000-0005-0000-0000-000017000000}"/>
    <cellStyle name="Hyperlink 7 2" xfId="25" xr:uid="{00000000-0005-0000-0000-000018000000}"/>
    <cellStyle name="Hyperlink 7 3" xfId="26" xr:uid="{00000000-0005-0000-0000-000019000000}"/>
    <cellStyle name="Hyperlink 8" xfId="27" xr:uid="{00000000-0005-0000-0000-00001A000000}"/>
    <cellStyle name="Hyperlink 8 2" xfId="28" xr:uid="{00000000-0005-0000-0000-00001B000000}"/>
    <cellStyle name="Normal" xfId="0" builtinId="0"/>
    <cellStyle name="Normal 10" xfId="29" xr:uid="{00000000-0005-0000-0000-00001D000000}"/>
    <cellStyle name="Normal 10 2" xfId="30" xr:uid="{00000000-0005-0000-0000-00001E000000}"/>
    <cellStyle name="Normal 10 2 2" xfId="31" xr:uid="{00000000-0005-0000-0000-00001F000000}"/>
    <cellStyle name="Normal 10 2 2 2" xfId="32" xr:uid="{00000000-0005-0000-0000-000020000000}"/>
    <cellStyle name="Normal 10 2 2 3" xfId="33" xr:uid="{00000000-0005-0000-0000-000021000000}"/>
    <cellStyle name="Normal 10 2 3" xfId="34" xr:uid="{00000000-0005-0000-0000-000022000000}"/>
    <cellStyle name="Normal 10 3" xfId="35" xr:uid="{00000000-0005-0000-0000-000023000000}"/>
    <cellStyle name="Normal 10 3 2" xfId="36" xr:uid="{00000000-0005-0000-0000-000024000000}"/>
    <cellStyle name="Normal 10 3 3" xfId="37" xr:uid="{00000000-0005-0000-0000-000025000000}"/>
    <cellStyle name="Normal 10 4" xfId="38" xr:uid="{00000000-0005-0000-0000-000026000000}"/>
    <cellStyle name="Normal 10 4 2" xfId="39" xr:uid="{00000000-0005-0000-0000-000027000000}"/>
    <cellStyle name="Normal 10 4 3" xfId="40" xr:uid="{00000000-0005-0000-0000-000028000000}"/>
    <cellStyle name="Normal 10 5" xfId="41" xr:uid="{00000000-0005-0000-0000-000029000000}"/>
    <cellStyle name="Normal 10 5 2" xfId="42" xr:uid="{00000000-0005-0000-0000-00002A000000}"/>
    <cellStyle name="Normal 10 5 3" xfId="43" xr:uid="{00000000-0005-0000-0000-00002B000000}"/>
    <cellStyle name="Normal 10 6" xfId="44" xr:uid="{00000000-0005-0000-0000-00002C000000}"/>
    <cellStyle name="Normal 10 6 2" xfId="45" xr:uid="{00000000-0005-0000-0000-00002D000000}"/>
    <cellStyle name="Normal 10 6 3" xfId="46" xr:uid="{00000000-0005-0000-0000-00002E000000}"/>
    <cellStyle name="Normal 10 7" xfId="47" xr:uid="{00000000-0005-0000-0000-00002F000000}"/>
    <cellStyle name="Normal 10 7 2" xfId="48" xr:uid="{00000000-0005-0000-0000-000030000000}"/>
    <cellStyle name="Normal 11" xfId="49" xr:uid="{00000000-0005-0000-0000-000031000000}"/>
    <cellStyle name="Normal 11 2" xfId="50" xr:uid="{00000000-0005-0000-0000-000032000000}"/>
    <cellStyle name="Normal 11 2 2" xfId="51" xr:uid="{00000000-0005-0000-0000-000033000000}"/>
    <cellStyle name="Normal 11 2 3" xfId="52" xr:uid="{00000000-0005-0000-0000-000034000000}"/>
    <cellStyle name="Normal 11 3" xfId="53" xr:uid="{00000000-0005-0000-0000-000035000000}"/>
    <cellStyle name="Normal 11 4" xfId="54" xr:uid="{00000000-0005-0000-0000-000036000000}"/>
    <cellStyle name="Normal 11 5" xfId="55" xr:uid="{00000000-0005-0000-0000-000037000000}"/>
    <cellStyle name="Normal 11 5 2" xfId="56" xr:uid="{00000000-0005-0000-0000-000038000000}"/>
    <cellStyle name="Normal 11 5 3" xfId="57" xr:uid="{00000000-0005-0000-0000-000039000000}"/>
    <cellStyle name="Normal 11 6" xfId="58" xr:uid="{00000000-0005-0000-0000-00003A000000}"/>
    <cellStyle name="Normal 12" xfId="59" xr:uid="{00000000-0005-0000-0000-00003B000000}"/>
    <cellStyle name="Normal 12 10" xfId="60" xr:uid="{00000000-0005-0000-0000-00003C000000}"/>
    <cellStyle name="Normal 12 11" xfId="61" xr:uid="{00000000-0005-0000-0000-00003D000000}"/>
    <cellStyle name="Normal 12 12" xfId="62" xr:uid="{00000000-0005-0000-0000-00003E000000}"/>
    <cellStyle name="Normal 12 13" xfId="63" xr:uid="{00000000-0005-0000-0000-00003F000000}"/>
    <cellStyle name="Normal 12 2" xfId="64" xr:uid="{00000000-0005-0000-0000-000040000000}"/>
    <cellStyle name="Normal 12 2 2" xfId="65" xr:uid="{00000000-0005-0000-0000-000041000000}"/>
    <cellStyle name="Normal 12 3" xfId="66" xr:uid="{00000000-0005-0000-0000-000042000000}"/>
    <cellStyle name="Normal 12 4" xfId="67" xr:uid="{00000000-0005-0000-0000-000043000000}"/>
    <cellStyle name="Normal 12 5" xfId="68" xr:uid="{00000000-0005-0000-0000-000044000000}"/>
    <cellStyle name="Normal 12 6" xfId="69" xr:uid="{00000000-0005-0000-0000-000045000000}"/>
    <cellStyle name="Normal 12 7" xfId="70" xr:uid="{00000000-0005-0000-0000-000046000000}"/>
    <cellStyle name="Normal 12 8" xfId="71" xr:uid="{00000000-0005-0000-0000-000047000000}"/>
    <cellStyle name="Normal 12 9" xfId="72" xr:uid="{00000000-0005-0000-0000-000048000000}"/>
    <cellStyle name="Normal 13" xfId="73" xr:uid="{00000000-0005-0000-0000-000049000000}"/>
    <cellStyle name="Normal 13 10" xfId="74" xr:uid="{00000000-0005-0000-0000-00004A000000}"/>
    <cellStyle name="Normal 13 11" xfId="75" xr:uid="{00000000-0005-0000-0000-00004B000000}"/>
    <cellStyle name="Normal 13 12" xfId="76" xr:uid="{00000000-0005-0000-0000-00004C000000}"/>
    <cellStyle name="Normal 13 13" xfId="77" xr:uid="{00000000-0005-0000-0000-00004D000000}"/>
    <cellStyle name="Normal 13 2" xfId="78" xr:uid="{00000000-0005-0000-0000-00004E000000}"/>
    <cellStyle name="Normal 13 2 2" xfId="79" xr:uid="{00000000-0005-0000-0000-00004F000000}"/>
    <cellStyle name="Normal 13 3" xfId="80" xr:uid="{00000000-0005-0000-0000-000050000000}"/>
    <cellStyle name="Normal 13 4" xfId="81" xr:uid="{00000000-0005-0000-0000-000051000000}"/>
    <cellStyle name="Normal 13 5" xfId="82" xr:uid="{00000000-0005-0000-0000-000052000000}"/>
    <cellStyle name="Normal 13 6" xfId="83" xr:uid="{00000000-0005-0000-0000-000053000000}"/>
    <cellStyle name="Normal 13 7" xfId="84" xr:uid="{00000000-0005-0000-0000-000054000000}"/>
    <cellStyle name="Normal 13 8" xfId="85" xr:uid="{00000000-0005-0000-0000-000055000000}"/>
    <cellStyle name="Normal 13 9" xfId="86" xr:uid="{00000000-0005-0000-0000-000056000000}"/>
    <cellStyle name="Normal 14" xfId="87" xr:uid="{00000000-0005-0000-0000-000057000000}"/>
    <cellStyle name="Normal 14 2" xfId="88" xr:uid="{00000000-0005-0000-0000-000058000000}"/>
    <cellStyle name="Normal 14 3" xfId="89" xr:uid="{00000000-0005-0000-0000-000059000000}"/>
    <cellStyle name="Normal 14 4" xfId="90" xr:uid="{00000000-0005-0000-0000-00005A000000}"/>
    <cellStyle name="Normal 14 5" xfId="91" xr:uid="{00000000-0005-0000-0000-00005B000000}"/>
    <cellStyle name="Normal 14 6" xfId="92" xr:uid="{00000000-0005-0000-0000-00005C000000}"/>
    <cellStyle name="Normal 14 7" xfId="93" xr:uid="{00000000-0005-0000-0000-00005D000000}"/>
    <cellStyle name="Normal 14 7 2" xfId="94" xr:uid="{00000000-0005-0000-0000-00005E000000}"/>
    <cellStyle name="Normal 15" xfId="95" xr:uid="{00000000-0005-0000-0000-00005F000000}"/>
    <cellStyle name="Normal 15 2" xfId="96" xr:uid="{00000000-0005-0000-0000-000060000000}"/>
    <cellStyle name="Normal 15 3" xfId="97" xr:uid="{00000000-0005-0000-0000-000061000000}"/>
    <cellStyle name="Normal 15 4" xfId="98" xr:uid="{00000000-0005-0000-0000-000062000000}"/>
    <cellStyle name="Normal 15 5" xfId="99" xr:uid="{00000000-0005-0000-0000-000063000000}"/>
    <cellStyle name="Normal 16" xfId="100" xr:uid="{00000000-0005-0000-0000-000064000000}"/>
    <cellStyle name="Normal 16 2" xfId="101" xr:uid="{00000000-0005-0000-0000-000065000000}"/>
    <cellStyle name="Normal 16 3" xfId="102" xr:uid="{00000000-0005-0000-0000-000066000000}"/>
    <cellStyle name="Normal 16 4" xfId="103" xr:uid="{00000000-0005-0000-0000-000067000000}"/>
    <cellStyle name="Normal 16 5" xfId="104" xr:uid="{00000000-0005-0000-0000-000068000000}"/>
    <cellStyle name="Normal 17" xfId="105" xr:uid="{00000000-0005-0000-0000-000069000000}"/>
    <cellStyle name="Normal 17 2" xfId="106" xr:uid="{00000000-0005-0000-0000-00006A000000}"/>
    <cellStyle name="Normal 17 3" xfId="107" xr:uid="{00000000-0005-0000-0000-00006B000000}"/>
    <cellStyle name="Normal 17 4" xfId="108" xr:uid="{00000000-0005-0000-0000-00006C000000}"/>
    <cellStyle name="Normal 17 5" xfId="109" xr:uid="{00000000-0005-0000-0000-00006D000000}"/>
    <cellStyle name="Normal 18" xfId="110" xr:uid="{00000000-0005-0000-0000-00006E000000}"/>
    <cellStyle name="Normal 18 2" xfId="111" xr:uid="{00000000-0005-0000-0000-00006F000000}"/>
    <cellStyle name="Normal 18 2 2" xfId="112" xr:uid="{00000000-0005-0000-0000-000070000000}"/>
    <cellStyle name="Normal 18 2 3" xfId="113" xr:uid="{00000000-0005-0000-0000-000071000000}"/>
    <cellStyle name="Normal 18 3" xfId="114" xr:uid="{00000000-0005-0000-0000-000072000000}"/>
    <cellStyle name="Normal 18 4" xfId="115" xr:uid="{00000000-0005-0000-0000-000073000000}"/>
    <cellStyle name="Normal 18 5" xfId="116" xr:uid="{00000000-0005-0000-0000-000074000000}"/>
    <cellStyle name="Normal 18 6" xfId="117" xr:uid="{00000000-0005-0000-0000-000075000000}"/>
    <cellStyle name="Normal 18 7" xfId="118" xr:uid="{00000000-0005-0000-0000-000076000000}"/>
    <cellStyle name="Normal 18 8" xfId="119" xr:uid="{00000000-0005-0000-0000-000077000000}"/>
    <cellStyle name="Normal 18 9" xfId="120" xr:uid="{00000000-0005-0000-0000-000078000000}"/>
    <cellStyle name="Normal 19" xfId="121" xr:uid="{00000000-0005-0000-0000-000079000000}"/>
    <cellStyle name="Normal 19 2" xfId="122" xr:uid="{00000000-0005-0000-0000-00007A000000}"/>
    <cellStyle name="Normal 19 2 2" xfId="123" xr:uid="{00000000-0005-0000-0000-00007B000000}"/>
    <cellStyle name="Normal 19 2 3" xfId="124" xr:uid="{00000000-0005-0000-0000-00007C000000}"/>
    <cellStyle name="Normal 19 3" xfId="125" xr:uid="{00000000-0005-0000-0000-00007D000000}"/>
    <cellStyle name="Normal 19 4" xfId="126" xr:uid="{00000000-0005-0000-0000-00007E000000}"/>
    <cellStyle name="Normal 19 5" xfId="127" xr:uid="{00000000-0005-0000-0000-00007F000000}"/>
    <cellStyle name="Normal 19 6" xfId="128" xr:uid="{00000000-0005-0000-0000-000080000000}"/>
    <cellStyle name="Normal 19 7" xfId="129" xr:uid="{00000000-0005-0000-0000-000081000000}"/>
    <cellStyle name="Normal 19 8" xfId="130" xr:uid="{00000000-0005-0000-0000-000082000000}"/>
    <cellStyle name="Normal 2" xfId="131" xr:uid="{00000000-0005-0000-0000-000083000000}"/>
    <cellStyle name="Normal 2 10" xfId="132" xr:uid="{00000000-0005-0000-0000-000084000000}"/>
    <cellStyle name="Normal 2 10 10" xfId="133" xr:uid="{00000000-0005-0000-0000-000085000000}"/>
    <cellStyle name="Normal 2 10 11" xfId="134" xr:uid="{00000000-0005-0000-0000-000086000000}"/>
    <cellStyle name="Normal 2 10 11 2" xfId="135" xr:uid="{00000000-0005-0000-0000-000087000000}"/>
    <cellStyle name="Normal 2 10 11 2 2" xfId="136" xr:uid="{00000000-0005-0000-0000-000088000000}"/>
    <cellStyle name="Normal 2 10 11 2 2 2" xfId="137" xr:uid="{00000000-0005-0000-0000-000089000000}"/>
    <cellStyle name="Normal 2 10 11 2 2 3" xfId="138" xr:uid="{00000000-0005-0000-0000-00008A000000}"/>
    <cellStyle name="Normal 2 10 11 3" xfId="139" xr:uid="{00000000-0005-0000-0000-00008B000000}"/>
    <cellStyle name="Normal 2 10 11 4" xfId="140" xr:uid="{00000000-0005-0000-0000-00008C000000}"/>
    <cellStyle name="Normal 2 10 11 5" xfId="141" xr:uid="{00000000-0005-0000-0000-00008D000000}"/>
    <cellStyle name="Normal 2 10 12" xfId="142" xr:uid="{00000000-0005-0000-0000-00008E000000}"/>
    <cellStyle name="Normal 2 10 2" xfId="143" xr:uid="{00000000-0005-0000-0000-00008F000000}"/>
    <cellStyle name="Normal 2 10 2 2" xfId="144" xr:uid="{00000000-0005-0000-0000-000090000000}"/>
    <cellStyle name="Normal 2 10 3" xfId="145" xr:uid="{00000000-0005-0000-0000-000091000000}"/>
    <cellStyle name="Normal 2 10 3 2" xfId="146" xr:uid="{00000000-0005-0000-0000-000092000000}"/>
    <cellStyle name="Normal 2 10 4" xfId="147" xr:uid="{00000000-0005-0000-0000-000093000000}"/>
    <cellStyle name="Normal 2 10 4 2" xfId="148" xr:uid="{00000000-0005-0000-0000-000094000000}"/>
    <cellStyle name="Normal 2 10 5" xfId="149" xr:uid="{00000000-0005-0000-0000-000095000000}"/>
    <cellStyle name="Normal 2 10 5 2" xfId="150" xr:uid="{00000000-0005-0000-0000-000096000000}"/>
    <cellStyle name="Normal 2 10 6" xfId="151" xr:uid="{00000000-0005-0000-0000-000097000000}"/>
    <cellStyle name="Normal 2 10 6 2" xfId="152" xr:uid="{00000000-0005-0000-0000-000098000000}"/>
    <cellStyle name="Normal 2 10 7" xfId="153" xr:uid="{00000000-0005-0000-0000-000099000000}"/>
    <cellStyle name="Normal 2 10 7 2" xfId="154" xr:uid="{00000000-0005-0000-0000-00009A000000}"/>
    <cellStyle name="Normal 2 10 8" xfId="155" xr:uid="{00000000-0005-0000-0000-00009B000000}"/>
    <cellStyle name="Normal 2 10 8 2" xfId="156" xr:uid="{00000000-0005-0000-0000-00009C000000}"/>
    <cellStyle name="Normal 2 10 9" xfId="157" xr:uid="{00000000-0005-0000-0000-00009D000000}"/>
    <cellStyle name="Normal 2 11" xfId="158" xr:uid="{00000000-0005-0000-0000-00009E000000}"/>
    <cellStyle name="Normal 2 11 10" xfId="159" xr:uid="{00000000-0005-0000-0000-00009F000000}"/>
    <cellStyle name="Normal 2 11 11" xfId="160" xr:uid="{00000000-0005-0000-0000-0000A0000000}"/>
    <cellStyle name="Normal 2 11 2" xfId="161" xr:uid="{00000000-0005-0000-0000-0000A1000000}"/>
    <cellStyle name="Normal 2 11 2 2" xfId="162" xr:uid="{00000000-0005-0000-0000-0000A2000000}"/>
    <cellStyle name="Normal 2 11 3" xfId="163" xr:uid="{00000000-0005-0000-0000-0000A3000000}"/>
    <cellStyle name="Normal 2 11 3 2" xfId="164" xr:uid="{00000000-0005-0000-0000-0000A4000000}"/>
    <cellStyle name="Normal 2 11 4" xfId="165" xr:uid="{00000000-0005-0000-0000-0000A5000000}"/>
    <cellStyle name="Normal 2 11 4 2" xfId="166" xr:uid="{00000000-0005-0000-0000-0000A6000000}"/>
    <cellStyle name="Normal 2 11 5" xfId="167" xr:uid="{00000000-0005-0000-0000-0000A7000000}"/>
    <cellStyle name="Normal 2 11 5 2" xfId="168" xr:uid="{00000000-0005-0000-0000-0000A8000000}"/>
    <cellStyle name="Normal 2 11 6" xfId="169" xr:uid="{00000000-0005-0000-0000-0000A9000000}"/>
    <cellStyle name="Normal 2 11 6 2" xfId="170" xr:uid="{00000000-0005-0000-0000-0000AA000000}"/>
    <cellStyle name="Normal 2 11 7" xfId="171" xr:uid="{00000000-0005-0000-0000-0000AB000000}"/>
    <cellStyle name="Normal 2 11 7 2" xfId="172" xr:uid="{00000000-0005-0000-0000-0000AC000000}"/>
    <cellStyle name="Normal 2 11 8" xfId="173" xr:uid="{00000000-0005-0000-0000-0000AD000000}"/>
    <cellStyle name="Normal 2 11 8 2" xfId="174" xr:uid="{00000000-0005-0000-0000-0000AE000000}"/>
    <cellStyle name="Normal 2 11 9" xfId="175" xr:uid="{00000000-0005-0000-0000-0000AF000000}"/>
    <cellStyle name="Normal 2 12" xfId="176" xr:uid="{00000000-0005-0000-0000-0000B0000000}"/>
    <cellStyle name="Normal 2 13" xfId="177" xr:uid="{00000000-0005-0000-0000-0000B1000000}"/>
    <cellStyle name="Normal 2 14" xfId="178" xr:uid="{00000000-0005-0000-0000-0000B2000000}"/>
    <cellStyle name="Normal 2 15" xfId="179" xr:uid="{00000000-0005-0000-0000-0000B3000000}"/>
    <cellStyle name="Normal 2 16" xfId="180" xr:uid="{00000000-0005-0000-0000-0000B4000000}"/>
    <cellStyle name="Normal 2 17" xfId="181" xr:uid="{00000000-0005-0000-0000-0000B5000000}"/>
    <cellStyle name="Normal 2 17 2" xfId="182" xr:uid="{00000000-0005-0000-0000-0000B6000000}"/>
    <cellStyle name="Normal 2 17 3" xfId="183" xr:uid="{00000000-0005-0000-0000-0000B7000000}"/>
    <cellStyle name="Normal 2 2" xfId="184" xr:uid="{00000000-0005-0000-0000-0000B8000000}"/>
    <cellStyle name="Normal 2 2 10" xfId="185" xr:uid="{00000000-0005-0000-0000-0000B9000000}"/>
    <cellStyle name="Normal 2 2 10 2" xfId="186" xr:uid="{00000000-0005-0000-0000-0000BA000000}"/>
    <cellStyle name="Normal 2 2 11" xfId="187" xr:uid="{00000000-0005-0000-0000-0000BB000000}"/>
    <cellStyle name="Normal 2 2 11 2" xfId="188" xr:uid="{00000000-0005-0000-0000-0000BC000000}"/>
    <cellStyle name="Normal 2 2 12" xfId="189" xr:uid="{00000000-0005-0000-0000-0000BD000000}"/>
    <cellStyle name="Normal 2 2 12 2" xfId="190" xr:uid="{00000000-0005-0000-0000-0000BE000000}"/>
    <cellStyle name="Normal 2 2 12 2 2" xfId="191" xr:uid="{00000000-0005-0000-0000-0000BF000000}"/>
    <cellStyle name="Normal 2 2 12 2 3" xfId="192" xr:uid="{00000000-0005-0000-0000-0000C0000000}"/>
    <cellStyle name="Normal 2 2 12 2 4" xfId="193" xr:uid="{00000000-0005-0000-0000-0000C1000000}"/>
    <cellStyle name="Normal 2 2 12 3" xfId="194" xr:uid="{00000000-0005-0000-0000-0000C2000000}"/>
    <cellStyle name="Normal 2 2 12 4" xfId="195" xr:uid="{00000000-0005-0000-0000-0000C3000000}"/>
    <cellStyle name="Normal 2 2 13" xfId="196" xr:uid="{00000000-0005-0000-0000-0000C4000000}"/>
    <cellStyle name="Normal 2 2 13 2" xfId="197" xr:uid="{00000000-0005-0000-0000-0000C5000000}"/>
    <cellStyle name="Normal 2 2 13 2 2" xfId="198" xr:uid="{00000000-0005-0000-0000-0000C6000000}"/>
    <cellStyle name="Normal 2 2 13 2 3" xfId="199" xr:uid="{00000000-0005-0000-0000-0000C7000000}"/>
    <cellStyle name="Normal 2 2 13 2 4" xfId="200" xr:uid="{00000000-0005-0000-0000-0000C8000000}"/>
    <cellStyle name="Normal 2 2 13 3" xfId="201" xr:uid="{00000000-0005-0000-0000-0000C9000000}"/>
    <cellStyle name="Normal 2 2 13 4" xfId="202" xr:uid="{00000000-0005-0000-0000-0000CA000000}"/>
    <cellStyle name="Normal 2 2 14" xfId="203" xr:uid="{00000000-0005-0000-0000-0000CB000000}"/>
    <cellStyle name="Normal 2 2 14 2" xfId="204" xr:uid="{00000000-0005-0000-0000-0000CC000000}"/>
    <cellStyle name="Normal 2 2 15" xfId="205" xr:uid="{00000000-0005-0000-0000-0000CD000000}"/>
    <cellStyle name="Normal 2 2 15 2" xfId="206" xr:uid="{00000000-0005-0000-0000-0000CE000000}"/>
    <cellStyle name="Normal 2 2 16" xfId="207" xr:uid="{00000000-0005-0000-0000-0000CF000000}"/>
    <cellStyle name="Normal 2 2 16 2" xfId="208" xr:uid="{00000000-0005-0000-0000-0000D0000000}"/>
    <cellStyle name="Normal 2 2 16 3" xfId="209" xr:uid="{00000000-0005-0000-0000-0000D1000000}"/>
    <cellStyle name="Normal 2 2 17" xfId="210" xr:uid="{00000000-0005-0000-0000-0000D2000000}"/>
    <cellStyle name="Normal 2 2 18" xfId="211" xr:uid="{00000000-0005-0000-0000-0000D3000000}"/>
    <cellStyle name="Normal 2 2 19" xfId="212" xr:uid="{00000000-0005-0000-0000-0000D4000000}"/>
    <cellStyle name="Normal 2 2 2" xfId="213" xr:uid="{00000000-0005-0000-0000-0000D5000000}"/>
    <cellStyle name="Normal 2 2 2 2" xfId="214" xr:uid="{00000000-0005-0000-0000-0000D6000000}"/>
    <cellStyle name="Normal 2 2 2 2 2" xfId="215" xr:uid="{00000000-0005-0000-0000-0000D7000000}"/>
    <cellStyle name="Normal 2 2 2 2 3" xfId="216" xr:uid="{00000000-0005-0000-0000-0000D8000000}"/>
    <cellStyle name="Normal 2 2 2 2 3 2" xfId="217" xr:uid="{00000000-0005-0000-0000-0000D9000000}"/>
    <cellStyle name="Normal 2 2 2 2 3 3" xfId="218" xr:uid="{00000000-0005-0000-0000-0000DA000000}"/>
    <cellStyle name="Normal 2 2 2 3" xfId="219" xr:uid="{00000000-0005-0000-0000-0000DB000000}"/>
    <cellStyle name="Normal 2 2 2 3 2" xfId="220" xr:uid="{00000000-0005-0000-0000-0000DC000000}"/>
    <cellStyle name="Normal 2 2 2 3 3" xfId="221" xr:uid="{00000000-0005-0000-0000-0000DD000000}"/>
    <cellStyle name="Normal 2 2 2 3 4" xfId="222" xr:uid="{00000000-0005-0000-0000-0000DE000000}"/>
    <cellStyle name="Normal 2 2 2 4" xfId="223" xr:uid="{00000000-0005-0000-0000-0000DF000000}"/>
    <cellStyle name="Normal 2 2 2 4 2" xfId="224" xr:uid="{00000000-0005-0000-0000-0000E0000000}"/>
    <cellStyle name="Normal 2 2 2 5" xfId="225" xr:uid="{00000000-0005-0000-0000-0000E1000000}"/>
    <cellStyle name="Normal 2 2 2 5 2" xfId="226" xr:uid="{00000000-0005-0000-0000-0000E2000000}"/>
    <cellStyle name="Normal 2 2 2 5 3" xfId="227" xr:uid="{00000000-0005-0000-0000-0000E3000000}"/>
    <cellStyle name="Normal 2 2 2 5 4" xfId="228" xr:uid="{00000000-0005-0000-0000-0000E4000000}"/>
    <cellStyle name="Normal 2 2 2 6" xfId="229" xr:uid="{00000000-0005-0000-0000-0000E5000000}"/>
    <cellStyle name="Normal 2 2 2 6 2" xfId="230" xr:uid="{00000000-0005-0000-0000-0000E6000000}"/>
    <cellStyle name="Normal 2 2 2 7" xfId="231" xr:uid="{00000000-0005-0000-0000-0000E7000000}"/>
    <cellStyle name="Normal 2 2 2 7 2" xfId="232" xr:uid="{00000000-0005-0000-0000-0000E8000000}"/>
    <cellStyle name="Normal 2 2 2 7 3" xfId="233" xr:uid="{00000000-0005-0000-0000-0000E9000000}"/>
    <cellStyle name="Normal 2 2 2 8" xfId="234" xr:uid="{00000000-0005-0000-0000-0000EA000000}"/>
    <cellStyle name="Normal 2 2 20" xfId="235" xr:uid="{00000000-0005-0000-0000-0000EB000000}"/>
    <cellStyle name="Normal 2 2 21" xfId="236" xr:uid="{00000000-0005-0000-0000-0000EC000000}"/>
    <cellStyle name="Normal 2 2 22" xfId="237" xr:uid="{00000000-0005-0000-0000-0000ED000000}"/>
    <cellStyle name="Normal 2 2 3" xfId="238" xr:uid="{00000000-0005-0000-0000-0000EE000000}"/>
    <cellStyle name="Normal 2 2 3 2" xfId="239" xr:uid="{00000000-0005-0000-0000-0000EF000000}"/>
    <cellStyle name="Normal 2 2 4" xfId="240" xr:uid="{00000000-0005-0000-0000-0000F0000000}"/>
    <cellStyle name="Normal 2 2 4 2" xfId="241" xr:uid="{00000000-0005-0000-0000-0000F1000000}"/>
    <cellStyle name="Normal 2 2 5" xfId="242" xr:uid="{00000000-0005-0000-0000-0000F2000000}"/>
    <cellStyle name="Normal 2 2 5 2" xfId="243" xr:uid="{00000000-0005-0000-0000-0000F3000000}"/>
    <cellStyle name="Normal 2 2 6" xfId="244" xr:uid="{00000000-0005-0000-0000-0000F4000000}"/>
    <cellStyle name="Normal 2 2 6 2" xfId="245" xr:uid="{00000000-0005-0000-0000-0000F5000000}"/>
    <cellStyle name="Normal 2 2 7" xfId="246" xr:uid="{00000000-0005-0000-0000-0000F6000000}"/>
    <cellStyle name="Normal 2 2 7 2" xfId="247" xr:uid="{00000000-0005-0000-0000-0000F7000000}"/>
    <cellStyle name="Normal 2 2 8" xfId="248" xr:uid="{00000000-0005-0000-0000-0000F8000000}"/>
    <cellStyle name="Normal 2 2 8 2" xfId="249" xr:uid="{00000000-0005-0000-0000-0000F9000000}"/>
    <cellStyle name="Normal 2 2 9" xfId="250" xr:uid="{00000000-0005-0000-0000-0000FA000000}"/>
    <cellStyle name="Normal 2 2 9 2" xfId="251" xr:uid="{00000000-0005-0000-0000-0000FB000000}"/>
    <cellStyle name="Normal 2 3" xfId="252" xr:uid="{00000000-0005-0000-0000-0000FC000000}"/>
    <cellStyle name="Normal 2 3 10" xfId="253" xr:uid="{00000000-0005-0000-0000-0000FD000000}"/>
    <cellStyle name="Normal 2 3 11" xfId="254" xr:uid="{00000000-0005-0000-0000-0000FE000000}"/>
    <cellStyle name="Normal 2 3 12" xfId="255" xr:uid="{00000000-0005-0000-0000-0000FF000000}"/>
    <cellStyle name="Normal 2 3 13" xfId="256" xr:uid="{00000000-0005-0000-0000-000000010000}"/>
    <cellStyle name="Normal 2 3 14" xfId="257" xr:uid="{00000000-0005-0000-0000-000001010000}"/>
    <cellStyle name="Normal 2 3 15" xfId="258" xr:uid="{00000000-0005-0000-0000-000002010000}"/>
    <cellStyle name="Normal 2 3 2" xfId="259" xr:uid="{00000000-0005-0000-0000-000003010000}"/>
    <cellStyle name="Normal 2 3 2 2" xfId="260" xr:uid="{00000000-0005-0000-0000-000004010000}"/>
    <cellStyle name="Normal 2 3 2 2 2" xfId="261" xr:uid="{00000000-0005-0000-0000-000005010000}"/>
    <cellStyle name="Normal 2 3 2 2 3" xfId="262" xr:uid="{00000000-0005-0000-0000-000006010000}"/>
    <cellStyle name="Normal 2 3 2 3" xfId="263" xr:uid="{00000000-0005-0000-0000-000007010000}"/>
    <cellStyle name="Normal 2 3 2 4" xfId="264" xr:uid="{00000000-0005-0000-0000-000008010000}"/>
    <cellStyle name="Normal 2 3 2 5" xfId="265" xr:uid="{00000000-0005-0000-0000-000009010000}"/>
    <cellStyle name="Normal 2 3 3" xfId="266" xr:uid="{00000000-0005-0000-0000-00000A010000}"/>
    <cellStyle name="Normal 2 3 3 2" xfId="267" xr:uid="{00000000-0005-0000-0000-00000B010000}"/>
    <cellStyle name="Normal 2 3 3 3" xfId="268" xr:uid="{00000000-0005-0000-0000-00000C010000}"/>
    <cellStyle name="Normal 2 3 4" xfId="269" xr:uid="{00000000-0005-0000-0000-00000D010000}"/>
    <cellStyle name="Normal 2 3 5" xfId="270" xr:uid="{00000000-0005-0000-0000-00000E010000}"/>
    <cellStyle name="Normal 2 3 6" xfId="271" xr:uid="{00000000-0005-0000-0000-00000F010000}"/>
    <cellStyle name="Normal 2 3 7" xfId="272" xr:uid="{00000000-0005-0000-0000-000010010000}"/>
    <cellStyle name="Normal 2 3 8" xfId="273" xr:uid="{00000000-0005-0000-0000-000011010000}"/>
    <cellStyle name="Normal 2 3 9" xfId="274" xr:uid="{00000000-0005-0000-0000-000012010000}"/>
    <cellStyle name="Normal 2 4" xfId="275" xr:uid="{00000000-0005-0000-0000-000013010000}"/>
    <cellStyle name="Normal 2 4 10" xfId="276" xr:uid="{00000000-0005-0000-0000-000014010000}"/>
    <cellStyle name="Normal 2 4 11" xfId="277" xr:uid="{00000000-0005-0000-0000-000015010000}"/>
    <cellStyle name="Normal 2 4 12" xfId="278" xr:uid="{00000000-0005-0000-0000-000016010000}"/>
    <cellStyle name="Normal 2 4 12 2" xfId="279" xr:uid="{00000000-0005-0000-0000-000017010000}"/>
    <cellStyle name="Normal 2 4 12 3" xfId="280" xr:uid="{00000000-0005-0000-0000-000018010000}"/>
    <cellStyle name="Normal 2 4 13" xfId="281" xr:uid="{00000000-0005-0000-0000-000019010000}"/>
    <cellStyle name="Normal 2 4 13 2" xfId="282" xr:uid="{00000000-0005-0000-0000-00001A010000}"/>
    <cellStyle name="Normal 2 4 13 3" xfId="283" xr:uid="{00000000-0005-0000-0000-00001B010000}"/>
    <cellStyle name="Normal 2 4 2" xfId="284" xr:uid="{00000000-0005-0000-0000-00001C010000}"/>
    <cellStyle name="Normal 2 4 2 2" xfId="285" xr:uid="{00000000-0005-0000-0000-00001D010000}"/>
    <cellStyle name="Normal 2 4 2 2 2" xfId="286" xr:uid="{00000000-0005-0000-0000-00001E010000}"/>
    <cellStyle name="Normal 2 4 2 2 3" xfId="287" xr:uid="{00000000-0005-0000-0000-00001F010000}"/>
    <cellStyle name="Normal 2 4 2 3" xfId="288" xr:uid="{00000000-0005-0000-0000-000020010000}"/>
    <cellStyle name="Normal 2 4 2 4" xfId="289" xr:uid="{00000000-0005-0000-0000-000021010000}"/>
    <cellStyle name="Normal 2 4 2 5" xfId="290" xr:uid="{00000000-0005-0000-0000-000022010000}"/>
    <cellStyle name="Normal 2 4 3" xfId="291" xr:uid="{00000000-0005-0000-0000-000023010000}"/>
    <cellStyle name="Normal 2 4 3 2" xfId="292" xr:uid="{00000000-0005-0000-0000-000024010000}"/>
    <cellStyle name="Normal 2 4 3 3" xfId="293" xr:uid="{00000000-0005-0000-0000-000025010000}"/>
    <cellStyle name="Normal 2 4 4" xfId="294" xr:uid="{00000000-0005-0000-0000-000026010000}"/>
    <cellStyle name="Normal 2 4 5" xfId="295" xr:uid="{00000000-0005-0000-0000-000027010000}"/>
    <cellStyle name="Normal 2 4 6" xfId="296" xr:uid="{00000000-0005-0000-0000-000028010000}"/>
    <cellStyle name="Normal 2 4 7" xfId="297" xr:uid="{00000000-0005-0000-0000-000029010000}"/>
    <cellStyle name="Normal 2 4 8" xfId="298" xr:uid="{00000000-0005-0000-0000-00002A010000}"/>
    <cellStyle name="Normal 2 4 9" xfId="299" xr:uid="{00000000-0005-0000-0000-00002B010000}"/>
    <cellStyle name="Normal 2 5" xfId="300" xr:uid="{00000000-0005-0000-0000-00002C010000}"/>
    <cellStyle name="Normal 2 5 10" xfId="301" xr:uid="{00000000-0005-0000-0000-00002D010000}"/>
    <cellStyle name="Normal 2 5 11" xfId="302" xr:uid="{00000000-0005-0000-0000-00002E010000}"/>
    <cellStyle name="Normal 2 5 12" xfId="303" xr:uid="{00000000-0005-0000-0000-00002F010000}"/>
    <cellStyle name="Normal 2 5 12 2" xfId="304" xr:uid="{00000000-0005-0000-0000-000030010000}"/>
    <cellStyle name="Normal 2 5 12 3" xfId="305" xr:uid="{00000000-0005-0000-0000-000031010000}"/>
    <cellStyle name="Normal 2 5 2" xfId="306" xr:uid="{00000000-0005-0000-0000-000032010000}"/>
    <cellStyle name="Normal 2 5 2 2" xfId="307" xr:uid="{00000000-0005-0000-0000-000033010000}"/>
    <cellStyle name="Normal 2 5 3" xfId="308" xr:uid="{00000000-0005-0000-0000-000034010000}"/>
    <cellStyle name="Normal 2 5 3 2" xfId="309" xr:uid="{00000000-0005-0000-0000-000035010000}"/>
    <cellStyle name="Normal 2 5 4" xfId="310" xr:uid="{00000000-0005-0000-0000-000036010000}"/>
    <cellStyle name="Normal 2 5 5" xfId="311" xr:uid="{00000000-0005-0000-0000-000037010000}"/>
    <cellStyle name="Normal 2 5 6" xfId="312" xr:uid="{00000000-0005-0000-0000-000038010000}"/>
    <cellStyle name="Normal 2 5 7" xfId="313" xr:uid="{00000000-0005-0000-0000-000039010000}"/>
    <cellStyle name="Normal 2 5 8" xfId="314" xr:uid="{00000000-0005-0000-0000-00003A010000}"/>
    <cellStyle name="Normal 2 5 9" xfId="315" xr:uid="{00000000-0005-0000-0000-00003B010000}"/>
    <cellStyle name="Normal 2 6" xfId="316" xr:uid="{00000000-0005-0000-0000-00003C010000}"/>
    <cellStyle name="Normal 2 6 10" xfId="317" xr:uid="{00000000-0005-0000-0000-00003D010000}"/>
    <cellStyle name="Normal 2 6 11" xfId="318" xr:uid="{00000000-0005-0000-0000-00003E010000}"/>
    <cellStyle name="Normal 2 6 12" xfId="319" xr:uid="{00000000-0005-0000-0000-00003F010000}"/>
    <cellStyle name="Normal 2 6 2" xfId="320" xr:uid="{00000000-0005-0000-0000-000040010000}"/>
    <cellStyle name="Normal 2 6 2 2" xfId="321" xr:uid="{00000000-0005-0000-0000-000041010000}"/>
    <cellStyle name="Normal 2 6 3" xfId="322" xr:uid="{00000000-0005-0000-0000-000042010000}"/>
    <cellStyle name="Normal 2 6 3 2" xfId="323" xr:uid="{00000000-0005-0000-0000-000043010000}"/>
    <cellStyle name="Normal 2 6 4" xfId="324" xr:uid="{00000000-0005-0000-0000-000044010000}"/>
    <cellStyle name="Normal 2 6 5" xfId="325" xr:uid="{00000000-0005-0000-0000-000045010000}"/>
    <cellStyle name="Normal 2 6 6" xfId="326" xr:uid="{00000000-0005-0000-0000-000046010000}"/>
    <cellStyle name="Normal 2 6 7" xfId="327" xr:uid="{00000000-0005-0000-0000-000047010000}"/>
    <cellStyle name="Normal 2 6 8" xfId="328" xr:uid="{00000000-0005-0000-0000-000048010000}"/>
    <cellStyle name="Normal 2 6 9" xfId="329" xr:uid="{00000000-0005-0000-0000-000049010000}"/>
    <cellStyle name="Normal 2 7" xfId="330" xr:uid="{00000000-0005-0000-0000-00004A010000}"/>
    <cellStyle name="Normal 2 7 10" xfId="331" xr:uid="{00000000-0005-0000-0000-00004B010000}"/>
    <cellStyle name="Normal 2 7 11" xfId="332" xr:uid="{00000000-0005-0000-0000-00004C010000}"/>
    <cellStyle name="Normal 2 7 2" xfId="333" xr:uid="{00000000-0005-0000-0000-00004D010000}"/>
    <cellStyle name="Normal 2 7 2 2" xfId="334" xr:uid="{00000000-0005-0000-0000-00004E010000}"/>
    <cellStyle name="Normal 2 7 2 3" xfId="335" xr:uid="{00000000-0005-0000-0000-00004F010000}"/>
    <cellStyle name="Normal 2 7 3" xfId="336" xr:uid="{00000000-0005-0000-0000-000050010000}"/>
    <cellStyle name="Normal 2 7 3 2" xfId="337" xr:uid="{00000000-0005-0000-0000-000051010000}"/>
    <cellStyle name="Normal 2 7 4" xfId="338" xr:uid="{00000000-0005-0000-0000-000052010000}"/>
    <cellStyle name="Normal 2 7 4 2" xfId="339" xr:uid="{00000000-0005-0000-0000-000053010000}"/>
    <cellStyle name="Normal 2 7 5" xfId="340" xr:uid="{00000000-0005-0000-0000-000054010000}"/>
    <cellStyle name="Normal 2 7 5 2" xfId="341" xr:uid="{00000000-0005-0000-0000-000055010000}"/>
    <cellStyle name="Normal 2 7 6" xfId="342" xr:uid="{00000000-0005-0000-0000-000056010000}"/>
    <cellStyle name="Normal 2 7 6 2" xfId="343" xr:uid="{00000000-0005-0000-0000-000057010000}"/>
    <cellStyle name="Normal 2 7 7" xfId="344" xr:uid="{00000000-0005-0000-0000-000058010000}"/>
    <cellStyle name="Normal 2 7 7 2" xfId="345" xr:uid="{00000000-0005-0000-0000-000059010000}"/>
    <cellStyle name="Normal 2 7 8" xfId="346" xr:uid="{00000000-0005-0000-0000-00005A010000}"/>
    <cellStyle name="Normal 2 7 8 2" xfId="347" xr:uid="{00000000-0005-0000-0000-00005B010000}"/>
    <cellStyle name="Normal 2 7 9" xfId="348" xr:uid="{00000000-0005-0000-0000-00005C010000}"/>
    <cellStyle name="Normal 2 8" xfId="349" xr:uid="{00000000-0005-0000-0000-00005D010000}"/>
    <cellStyle name="Normal 2 8 10" xfId="350" xr:uid="{00000000-0005-0000-0000-00005E010000}"/>
    <cellStyle name="Normal 2 8 11" xfId="351" xr:uid="{00000000-0005-0000-0000-00005F010000}"/>
    <cellStyle name="Normal 2 8 2" xfId="352" xr:uid="{00000000-0005-0000-0000-000060010000}"/>
    <cellStyle name="Normal 2 8 2 2" xfId="353" xr:uid="{00000000-0005-0000-0000-000061010000}"/>
    <cellStyle name="Normal 2 8 3" xfId="354" xr:uid="{00000000-0005-0000-0000-000062010000}"/>
    <cellStyle name="Normal 2 8 3 2" xfId="355" xr:uid="{00000000-0005-0000-0000-000063010000}"/>
    <cellStyle name="Normal 2 8 4" xfId="356" xr:uid="{00000000-0005-0000-0000-000064010000}"/>
    <cellStyle name="Normal 2 8 4 2" xfId="357" xr:uid="{00000000-0005-0000-0000-000065010000}"/>
    <cellStyle name="Normal 2 8 5" xfId="358" xr:uid="{00000000-0005-0000-0000-000066010000}"/>
    <cellStyle name="Normal 2 8 5 2" xfId="359" xr:uid="{00000000-0005-0000-0000-000067010000}"/>
    <cellStyle name="Normal 2 8 6" xfId="360" xr:uid="{00000000-0005-0000-0000-000068010000}"/>
    <cellStyle name="Normal 2 8 6 2" xfId="361" xr:uid="{00000000-0005-0000-0000-000069010000}"/>
    <cellStyle name="Normal 2 8 7" xfId="362" xr:uid="{00000000-0005-0000-0000-00006A010000}"/>
    <cellStyle name="Normal 2 8 7 2" xfId="363" xr:uid="{00000000-0005-0000-0000-00006B010000}"/>
    <cellStyle name="Normal 2 8 8" xfId="364" xr:uid="{00000000-0005-0000-0000-00006C010000}"/>
    <cellStyle name="Normal 2 8 8 2" xfId="365" xr:uid="{00000000-0005-0000-0000-00006D010000}"/>
    <cellStyle name="Normal 2 8 9" xfId="366" xr:uid="{00000000-0005-0000-0000-00006E010000}"/>
    <cellStyle name="Normal 2 9" xfId="367" xr:uid="{00000000-0005-0000-0000-00006F010000}"/>
    <cellStyle name="Normal 2 9 10" xfId="368" xr:uid="{00000000-0005-0000-0000-000070010000}"/>
    <cellStyle name="Normal 2 9 11" xfId="369" xr:uid="{00000000-0005-0000-0000-000071010000}"/>
    <cellStyle name="Normal 2 9 2" xfId="370" xr:uid="{00000000-0005-0000-0000-000072010000}"/>
    <cellStyle name="Normal 2 9 2 2" xfId="371" xr:uid="{00000000-0005-0000-0000-000073010000}"/>
    <cellStyle name="Normal 2 9 3" xfId="372" xr:uid="{00000000-0005-0000-0000-000074010000}"/>
    <cellStyle name="Normal 2 9 3 2" xfId="373" xr:uid="{00000000-0005-0000-0000-000075010000}"/>
    <cellStyle name="Normal 2 9 4" xfId="374" xr:uid="{00000000-0005-0000-0000-000076010000}"/>
    <cellStyle name="Normal 2 9 4 2" xfId="375" xr:uid="{00000000-0005-0000-0000-000077010000}"/>
    <cellStyle name="Normal 2 9 5" xfId="376" xr:uid="{00000000-0005-0000-0000-000078010000}"/>
    <cellStyle name="Normal 2 9 5 2" xfId="377" xr:uid="{00000000-0005-0000-0000-000079010000}"/>
    <cellStyle name="Normal 2 9 6" xfId="378" xr:uid="{00000000-0005-0000-0000-00007A010000}"/>
    <cellStyle name="Normal 2 9 6 2" xfId="379" xr:uid="{00000000-0005-0000-0000-00007B010000}"/>
    <cellStyle name="Normal 2 9 7" xfId="380" xr:uid="{00000000-0005-0000-0000-00007C010000}"/>
    <cellStyle name="Normal 2 9 7 2" xfId="381" xr:uid="{00000000-0005-0000-0000-00007D010000}"/>
    <cellStyle name="Normal 2 9 8" xfId="382" xr:uid="{00000000-0005-0000-0000-00007E010000}"/>
    <cellStyle name="Normal 2 9 8 2" xfId="383" xr:uid="{00000000-0005-0000-0000-00007F010000}"/>
    <cellStyle name="Normal 2 9 9" xfId="384" xr:uid="{00000000-0005-0000-0000-000080010000}"/>
    <cellStyle name="Normal 20" xfId="385" xr:uid="{00000000-0005-0000-0000-000081010000}"/>
    <cellStyle name="Normal 20 2" xfId="386" xr:uid="{00000000-0005-0000-0000-000082010000}"/>
    <cellStyle name="Normal 20 3" xfId="387" xr:uid="{00000000-0005-0000-0000-000083010000}"/>
    <cellStyle name="Normal 21" xfId="388" xr:uid="{00000000-0005-0000-0000-000084010000}"/>
    <cellStyle name="Normal 21 2" xfId="389" xr:uid="{00000000-0005-0000-0000-000085010000}"/>
    <cellStyle name="Normal 21 2 2" xfId="390" xr:uid="{00000000-0005-0000-0000-000086010000}"/>
    <cellStyle name="Normal 21 2 3" xfId="391" xr:uid="{00000000-0005-0000-0000-000087010000}"/>
    <cellStyle name="Normal 21 3" xfId="392" xr:uid="{00000000-0005-0000-0000-000088010000}"/>
    <cellStyle name="Normal 21 4" xfId="393" xr:uid="{00000000-0005-0000-0000-000089010000}"/>
    <cellStyle name="Normal 21 5" xfId="394" xr:uid="{00000000-0005-0000-0000-00008A010000}"/>
    <cellStyle name="Normal 22" xfId="395" xr:uid="{00000000-0005-0000-0000-00008B010000}"/>
    <cellStyle name="Normal 22 2" xfId="396" xr:uid="{00000000-0005-0000-0000-00008C010000}"/>
    <cellStyle name="Normal 22 3" xfId="397" xr:uid="{00000000-0005-0000-0000-00008D010000}"/>
    <cellStyle name="Normal 23" xfId="398" xr:uid="{00000000-0005-0000-0000-00008E010000}"/>
    <cellStyle name="Normal 23 2" xfId="399" xr:uid="{00000000-0005-0000-0000-00008F010000}"/>
    <cellStyle name="Normal 23 3" xfId="400" xr:uid="{00000000-0005-0000-0000-000090010000}"/>
    <cellStyle name="Normal 24" xfId="401" xr:uid="{00000000-0005-0000-0000-000091010000}"/>
    <cellStyle name="Normal 24 2" xfId="402" xr:uid="{00000000-0005-0000-0000-000092010000}"/>
    <cellStyle name="Normal 24 3" xfId="403" xr:uid="{00000000-0005-0000-0000-000093010000}"/>
    <cellStyle name="Normal 25" xfId="404" xr:uid="{00000000-0005-0000-0000-000094010000}"/>
    <cellStyle name="Normal 25 2" xfId="405" xr:uid="{00000000-0005-0000-0000-000095010000}"/>
    <cellStyle name="Normal 25 3" xfId="406" xr:uid="{00000000-0005-0000-0000-000096010000}"/>
    <cellStyle name="Normal 26" xfId="407" xr:uid="{00000000-0005-0000-0000-000097010000}"/>
    <cellStyle name="Normal 27" xfId="408" xr:uid="{00000000-0005-0000-0000-000098010000}"/>
    <cellStyle name="Normal 27 2" xfId="409" xr:uid="{00000000-0005-0000-0000-000099010000}"/>
    <cellStyle name="Normal 3" xfId="410" xr:uid="{00000000-0005-0000-0000-00009A010000}"/>
    <cellStyle name="Normal 3 10" xfId="411" xr:uid="{00000000-0005-0000-0000-00009B010000}"/>
    <cellStyle name="Normal 3 10 2" xfId="412" xr:uid="{00000000-0005-0000-0000-00009C010000}"/>
    <cellStyle name="Normal 3 11" xfId="413" xr:uid="{00000000-0005-0000-0000-00009D010000}"/>
    <cellStyle name="Normal 3 12" xfId="414" xr:uid="{00000000-0005-0000-0000-00009E010000}"/>
    <cellStyle name="Normal 3 13" xfId="415" xr:uid="{00000000-0005-0000-0000-00009F010000}"/>
    <cellStyle name="Normal 3 14" xfId="416" xr:uid="{00000000-0005-0000-0000-0000A0010000}"/>
    <cellStyle name="Normal 3 15" xfId="417" xr:uid="{00000000-0005-0000-0000-0000A1010000}"/>
    <cellStyle name="Normal 3 2" xfId="418" xr:uid="{00000000-0005-0000-0000-0000A2010000}"/>
    <cellStyle name="Normal 3 2 2" xfId="419" xr:uid="{00000000-0005-0000-0000-0000A3010000}"/>
    <cellStyle name="Normal 3 2 2 2" xfId="420" xr:uid="{00000000-0005-0000-0000-0000A4010000}"/>
    <cellStyle name="Normal 3 2 2 3" xfId="421" xr:uid="{00000000-0005-0000-0000-0000A5010000}"/>
    <cellStyle name="Normal 3 2 3" xfId="422" xr:uid="{00000000-0005-0000-0000-0000A6010000}"/>
    <cellStyle name="Normal 3 2 4" xfId="423" xr:uid="{00000000-0005-0000-0000-0000A7010000}"/>
    <cellStyle name="Normal 3 2 5" xfId="424" xr:uid="{00000000-0005-0000-0000-0000A8010000}"/>
    <cellStyle name="Normal 3 3" xfId="425" xr:uid="{00000000-0005-0000-0000-0000A9010000}"/>
    <cellStyle name="Normal 3 3 2" xfId="426" xr:uid="{00000000-0005-0000-0000-0000AA010000}"/>
    <cellStyle name="Normal 3 3 2 2" xfId="427" xr:uid="{00000000-0005-0000-0000-0000AB010000}"/>
    <cellStyle name="Normal 3 3 2 3" xfId="428" xr:uid="{00000000-0005-0000-0000-0000AC010000}"/>
    <cellStyle name="Normal 3 3 3" xfId="429" xr:uid="{00000000-0005-0000-0000-0000AD010000}"/>
    <cellStyle name="Normal 3 3 4" xfId="430" xr:uid="{00000000-0005-0000-0000-0000AE010000}"/>
    <cellStyle name="Normal 3 4" xfId="431" xr:uid="{00000000-0005-0000-0000-0000AF010000}"/>
    <cellStyle name="Normal 3 5" xfId="432" xr:uid="{00000000-0005-0000-0000-0000B0010000}"/>
    <cellStyle name="Normal 3 6" xfId="433" xr:uid="{00000000-0005-0000-0000-0000B1010000}"/>
    <cellStyle name="Normal 3 7" xfId="434" xr:uid="{00000000-0005-0000-0000-0000B2010000}"/>
    <cellStyle name="Normal 3 7 2" xfId="435" xr:uid="{00000000-0005-0000-0000-0000B3010000}"/>
    <cellStyle name="Normal 3 7 3" xfId="436" xr:uid="{00000000-0005-0000-0000-0000B4010000}"/>
    <cellStyle name="Normal 3 8" xfId="437" xr:uid="{00000000-0005-0000-0000-0000B5010000}"/>
    <cellStyle name="Normal 3 8 2" xfId="438" xr:uid="{00000000-0005-0000-0000-0000B6010000}"/>
    <cellStyle name="Normal 3 8 3" xfId="439" xr:uid="{00000000-0005-0000-0000-0000B7010000}"/>
    <cellStyle name="Normal 3 9" xfId="440" xr:uid="{00000000-0005-0000-0000-0000B8010000}"/>
    <cellStyle name="Normal 3 9 2" xfId="441" xr:uid="{00000000-0005-0000-0000-0000B9010000}"/>
    <cellStyle name="Normal 3 9 3" xfId="442" xr:uid="{00000000-0005-0000-0000-0000BA010000}"/>
    <cellStyle name="Normal 4" xfId="443" xr:uid="{00000000-0005-0000-0000-0000BB010000}"/>
    <cellStyle name="Normal 4 10" xfId="444" xr:uid="{00000000-0005-0000-0000-0000BC010000}"/>
    <cellStyle name="Normal 4 11" xfId="445" xr:uid="{00000000-0005-0000-0000-0000BD010000}"/>
    <cellStyle name="Normal 4 12" xfId="446" xr:uid="{00000000-0005-0000-0000-0000BE010000}"/>
    <cellStyle name="Normal 4 13" xfId="447" xr:uid="{00000000-0005-0000-0000-0000BF010000}"/>
    <cellStyle name="Normal 4 2" xfId="448" xr:uid="{00000000-0005-0000-0000-0000C0010000}"/>
    <cellStyle name="Normal 4 2 2" xfId="449" xr:uid="{00000000-0005-0000-0000-0000C1010000}"/>
    <cellStyle name="Normal 4 2 2 2" xfId="450" xr:uid="{00000000-0005-0000-0000-0000C2010000}"/>
    <cellStyle name="Normal 4 2 2 3" xfId="451" xr:uid="{00000000-0005-0000-0000-0000C3010000}"/>
    <cellStyle name="Normal 4 2 2 3 2" xfId="452" xr:uid="{00000000-0005-0000-0000-0000C4010000}"/>
    <cellStyle name="Normal 4 2 3" xfId="453" xr:uid="{00000000-0005-0000-0000-0000C5010000}"/>
    <cellStyle name="Normal 4 2 4" xfId="454" xr:uid="{00000000-0005-0000-0000-0000C6010000}"/>
    <cellStyle name="Normal 4 2 5" xfId="455" xr:uid="{00000000-0005-0000-0000-0000C7010000}"/>
    <cellStyle name="Normal 4 3" xfId="456" xr:uid="{00000000-0005-0000-0000-0000C8010000}"/>
    <cellStyle name="Normal 4 3 2" xfId="457" xr:uid="{00000000-0005-0000-0000-0000C9010000}"/>
    <cellStyle name="Normal 4 3 3" xfId="458" xr:uid="{00000000-0005-0000-0000-0000CA010000}"/>
    <cellStyle name="Normal 4 4" xfId="459" xr:uid="{00000000-0005-0000-0000-0000CB010000}"/>
    <cellStyle name="Normal 4 5" xfId="460" xr:uid="{00000000-0005-0000-0000-0000CC010000}"/>
    <cellStyle name="Normal 4 5 2" xfId="461" xr:uid="{00000000-0005-0000-0000-0000CD010000}"/>
    <cellStyle name="Normal 4 5 3" xfId="462" xr:uid="{00000000-0005-0000-0000-0000CE010000}"/>
    <cellStyle name="Normal 4 6" xfId="463" xr:uid="{00000000-0005-0000-0000-0000CF010000}"/>
    <cellStyle name="Normal 4 6 2" xfId="464" xr:uid="{00000000-0005-0000-0000-0000D0010000}"/>
    <cellStyle name="Normal 4 6 3" xfId="465" xr:uid="{00000000-0005-0000-0000-0000D1010000}"/>
    <cellStyle name="Normal 4 7" xfId="466" xr:uid="{00000000-0005-0000-0000-0000D2010000}"/>
    <cellStyle name="Normal 4 8" xfId="467" xr:uid="{00000000-0005-0000-0000-0000D3010000}"/>
    <cellStyle name="Normal 4 9" xfId="468" xr:uid="{00000000-0005-0000-0000-0000D4010000}"/>
    <cellStyle name="Normal 5" xfId="469" xr:uid="{00000000-0005-0000-0000-0000D5010000}"/>
    <cellStyle name="Normal 5 2" xfId="470" xr:uid="{00000000-0005-0000-0000-0000D6010000}"/>
    <cellStyle name="Normal 5 3" xfId="471" xr:uid="{00000000-0005-0000-0000-0000D7010000}"/>
    <cellStyle name="Normal 5 3 2" xfId="472" xr:uid="{00000000-0005-0000-0000-0000D8010000}"/>
    <cellStyle name="Normal 5 3 3" xfId="473" xr:uid="{00000000-0005-0000-0000-0000D9010000}"/>
    <cellStyle name="Normal 5 4" xfId="474" xr:uid="{00000000-0005-0000-0000-0000DA010000}"/>
    <cellStyle name="Normal 5 5" xfId="475" xr:uid="{00000000-0005-0000-0000-0000DB010000}"/>
    <cellStyle name="Normal 5 5 2" xfId="476" xr:uid="{00000000-0005-0000-0000-0000DC010000}"/>
    <cellStyle name="Normal 5 5 3" xfId="477" xr:uid="{00000000-0005-0000-0000-0000DD010000}"/>
    <cellStyle name="Normal 5 6" xfId="478" xr:uid="{00000000-0005-0000-0000-0000DE010000}"/>
    <cellStyle name="Normal 5 7" xfId="521" xr:uid="{84495978-C1F3-4A9D-9EE5-C754539526B9}"/>
    <cellStyle name="Normal 6" xfId="479" xr:uid="{00000000-0005-0000-0000-0000DF010000}"/>
    <cellStyle name="Normal 6 2" xfId="480" xr:uid="{00000000-0005-0000-0000-0000E0010000}"/>
    <cellStyle name="Normal 6 3" xfId="481" xr:uid="{00000000-0005-0000-0000-0000E1010000}"/>
    <cellStyle name="Normal 6 4" xfId="482" xr:uid="{00000000-0005-0000-0000-0000E2010000}"/>
    <cellStyle name="Normal 6 5" xfId="483" xr:uid="{00000000-0005-0000-0000-0000E3010000}"/>
    <cellStyle name="Normal 7 2" xfId="484" xr:uid="{00000000-0005-0000-0000-0000E4010000}"/>
    <cellStyle name="Normal 7 2 2" xfId="485" xr:uid="{00000000-0005-0000-0000-0000E5010000}"/>
    <cellStyle name="Normal 7 2 2 2" xfId="486" xr:uid="{00000000-0005-0000-0000-0000E6010000}"/>
    <cellStyle name="Normal 7 2 2 3" xfId="487" xr:uid="{00000000-0005-0000-0000-0000E7010000}"/>
    <cellStyle name="Normal 7 2 3" xfId="488" xr:uid="{00000000-0005-0000-0000-0000E8010000}"/>
    <cellStyle name="Normal 7 2 4" xfId="489" xr:uid="{00000000-0005-0000-0000-0000E9010000}"/>
    <cellStyle name="Normal 7 2 4 2" xfId="490" xr:uid="{00000000-0005-0000-0000-0000EA010000}"/>
    <cellStyle name="Normal 7 2 4 3" xfId="491" xr:uid="{00000000-0005-0000-0000-0000EB010000}"/>
    <cellStyle name="Normal 7 2 5" xfId="492" xr:uid="{00000000-0005-0000-0000-0000EC010000}"/>
    <cellStyle name="Normal 7 3" xfId="493" xr:uid="{00000000-0005-0000-0000-0000ED010000}"/>
    <cellStyle name="Normal 7 4" xfId="494" xr:uid="{00000000-0005-0000-0000-0000EE010000}"/>
    <cellStyle name="Normal 7 4 2" xfId="495" xr:uid="{00000000-0005-0000-0000-0000EF010000}"/>
    <cellStyle name="Normal 7 4 3" xfId="496" xr:uid="{00000000-0005-0000-0000-0000F0010000}"/>
    <cellStyle name="Normal 7 5" xfId="497" xr:uid="{00000000-0005-0000-0000-0000F1010000}"/>
    <cellStyle name="Normal 7 5 2" xfId="498" xr:uid="{00000000-0005-0000-0000-0000F2010000}"/>
    <cellStyle name="Normal 7 5 3" xfId="499" xr:uid="{00000000-0005-0000-0000-0000F3010000}"/>
    <cellStyle name="Normal 7 5 4" xfId="500" xr:uid="{00000000-0005-0000-0000-0000F4010000}"/>
    <cellStyle name="Normal 7 5 5" xfId="501" xr:uid="{00000000-0005-0000-0000-0000F5010000}"/>
    <cellStyle name="Normal 7 6" xfId="502" xr:uid="{00000000-0005-0000-0000-0000F6010000}"/>
    <cellStyle name="Normal 7 7" xfId="503" xr:uid="{00000000-0005-0000-0000-0000F7010000}"/>
    <cellStyle name="Normal 8" xfId="504" xr:uid="{00000000-0005-0000-0000-0000F8010000}"/>
    <cellStyle name="Normal 8 2" xfId="505" xr:uid="{00000000-0005-0000-0000-0000F9010000}"/>
    <cellStyle name="Normal 8 3" xfId="506" xr:uid="{00000000-0005-0000-0000-0000FA010000}"/>
    <cellStyle name="Normal 9" xfId="507" xr:uid="{00000000-0005-0000-0000-0000FB010000}"/>
    <cellStyle name="Normal 9 2" xfId="508" xr:uid="{00000000-0005-0000-0000-0000FC010000}"/>
    <cellStyle name="Normal 9 2 2" xfId="509" xr:uid="{00000000-0005-0000-0000-0000FD010000}"/>
    <cellStyle name="Normal 9 2 3" xfId="510" xr:uid="{00000000-0005-0000-0000-0000FE010000}"/>
    <cellStyle name="Normal 9 3" xfId="511" xr:uid="{00000000-0005-0000-0000-0000FF010000}"/>
    <cellStyle name="Normal 9 4" xfId="512" xr:uid="{00000000-0005-0000-0000-000000020000}"/>
    <cellStyle name="Normal 9 5" xfId="513" xr:uid="{00000000-0005-0000-0000-000001020000}"/>
    <cellStyle name="Normal 9 5 2" xfId="514" xr:uid="{00000000-0005-0000-0000-000002020000}"/>
    <cellStyle name="Normal 9 5 3" xfId="515" xr:uid="{00000000-0005-0000-0000-000003020000}"/>
    <cellStyle name="Normal 9 6" xfId="516" xr:uid="{00000000-0005-0000-0000-000004020000}"/>
    <cellStyle name="Normal 9 6 2" xfId="517" xr:uid="{00000000-0005-0000-0000-000005020000}"/>
    <cellStyle name="Normal 9 6 3" xfId="518" xr:uid="{00000000-0005-0000-0000-000006020000}"/>
    <cellStyle name="Normal_debt" xfId="519" xr:uid="{00000000-0005-0000-0000-000007020000}"/>
    <cellStyle name="Normal_lpform" xfId="520" xr:uid="{00000000-0005-0000-0000-000008020000}"/>
  </cellStyles>
  <dxfs count="340">
    <dxf>
      <font>
        <b/>
        <i val="0"/>
        <strike val="0"/>
      </font>
      <fill>
        <patternFill>
          <bgColor rgb="FFFF0000"/>
        </patternFill>
      </fill>
    </dxf>
    <dxf>
      <font>
        <b/>
        <i val="0"/>
        <strike val="0"/>
      </font>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83344</xdr:colOff>
      <xdr:row>18</xdr:row>
      <xdr:rowOff>23812</xdr:rowOff>
    </xdr:from>
    <xdr:to>
      <xdr:col>1</xdr:col>
      <xdr:colOff>185738</xdr:colOff>
      <xdr:row>18</xdr:row>
      <xdr:rowOff>176212</xdr:rowOff>
    </xdr:to>
    <xdr:sp macro="" textlink="">
      <xdr:nvSpPr>
        <xdr:cNvPr id="2" name="Text Box 2">
          <a:extLst>
            <a:ext uri="{FF2B5EF4-FFF2-40B4-BE49-F238E27FC236}">
              <a16:creationId xmlns:a16="http://schemas.microsoft.com/office/drawing/2014/main" id="{AC883410-60AD-4A8D-A688-2B250F01E4D3}"/>
            </a:ext>
          </a:extLst>
        </xdr:cNvPr>
        <xdr:cNvSpPr txBox="1"/>
      </xdr:nvSpPr>
      <xdr:spPr>
        <a:xfrm>
          <a:off x="83344" y="5917406"/>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47624</xdr:rowOff>
    </xdr:from>
    <xdr:to>
      <xdr:col>1</xdr:col>
      <xdr:colOff>209550</xdr:colOff>
      <xdr:row>20</xdr:row>
      <xdr:rowOff>200024</xdr:rowOff>
    </xdr:to>
    <xdr:sp macro="" textlink="">
      <xdr:nvSpPr>
        <xdr:cNvPr id="3" name="Text Box 5">
          <a:extLst>
            <a:ext uri="{FF2B5EF4-FFF2-40B4-BE49-F238E27FC236}">
              <a16:creationId xmlns:a16="http://schemas.microsoft.com/office/drawing/2014/main" id="{868DB2D2-7086-4480-AA9F-262CF659A556}"/>
            </a:ext>
          </a:extLst>
        </xdr:cNvPr>
        <xdr:cNvSpPr txBox="1">
          <a:spLocks noChangeArrowheads="1"/>
        </xdr:cNvSpPr>
      </xdr:nvSpPr>
      <xdr:spPr bwMode="auto">
        <a:xfrm>
          <a:off x="107156" y="6310312"/>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35718</xdr:rowOff>
    </xdr:from>
    <xdr:to>
      <xdr:col>1</xdr:col>
      <xdr:colOff>209550</xdr:colOff>
      <xdr:row>22</xdr:row>
      <xdr:rowOff>188118</xdr:rowOff>
    </xdr:to>
    <xdr:sp macro="" textlink="">
      <xdr:nvSpPr>
        <xdr:cNvPr id="4" name="Text Box 6">
          <a:extLst>
            <a:ext uri="{FF2B5EF4-FFF2-40B4-BE49-F238E27FC236}">
              <a16:creationId xmlns:a16="http://schemas.microsoft.com/office/drawing/2014/main" id="{E925744A-53C5-4F45-BF9A-A7B7F071A0BE}"/>
            </a:ext>
          </a:extLst>
        </xdr:cNvPr>
        <xdr:cNvSpPr txBox="1"/>
      </xdr:nvSpPr>
      <xdr:spPr>
        <a:xfrm>
          <a:off x="107156" y="7500937"/>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23812</xdr:rowOff>
    </xdr:from>
    <xdr:to>
      <xdr:col>1</xdr:col>
      <xdr:colOff>209550</xdr:colOff>
      <xdr:row>24</xdr:row>
      <xdr:rowOff>176212</xdr:rowOff>
    </xdr:to>
    <xdr:sp macro="" textlink="">
      <xdr:nvSpPr>
        <xdr:cNvPr id="5" name="Text Box 7">
          <a:extLst>
            <a:ext uri="{FF2B5EF4-FFF2-40B4-BE49-F238E27FC236}">
              <a16:creationId xmlns:a16="http://schemas.microsoft.com/office/drawing/2014/main" id="{F7E03628-979A-4995-80FD-73CFAA0D6F9A}"/>
            </a:ext>
          </a:extLst>
        </xdr:cNvPr>
        <xdr:cNvSpPr txBox="1"/>
      </xdr:nvSpPr>
      <xdr:spPr>
        <a:xfrm>
          <a:off x="107156" y="7858125"/>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21</xdr:row>
      <xdr:rowOff>57150</xdr:rowOff>
    </xdr:from>
    <xdr:to>
      <xdr:col>4</xdr:col>
      <xdr:colOff>1247775</xdr:colOff>
      <xdr:row>21</xdr:row>
      <xdr:rowOff>171450</xdr:rowOff>
    </xdr:to>
    <xdr:sp macro="" textlink="">
      <xdr:nvSpPr>
        <xdr:cNvPr id="2" name="Arrow: Right 1">
          <a:extLst>
            <a:ext uri="{FF2B5EF4-FFF2-40B4-BE49-F238E27FC236}">
              <a16:creationId xmlns:a16="http://schemas.microsoft.com/office/drawing/2014/main" id="{F2996AFC-67D5-4913-9602-9D7165A4875A}"/>
            </a:ext>
          </a:extLst>
        </xdr:cNvPr>
        <xdr:cNvSpPr/>
      </xdr:nvSpPr>
      <xdr:spPr>
        <a:xfrm>
          <a:off x="5362575" y="4229100"/>
          <a:ext cx="1152525" cy="1143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0FDDEE6F-E2D6-4516-98ED-BA7D1C4ED006}"/>
            </a:ext>
          </a:extLst>
        </xdr:cNvPr>
        <xdr:cNvPicPr>
          <a:picLocks noChangeAspect="1"/>
        </xdr:cNvPicPr>
      </xdr:nvPicPr>
      <xdr:blipFill>
        <a:blip xmlns:r="http://schemas.openxmlformats.org/officeDocument/2006/relationships" r:embed="rId1"/>
        <a:stretch>
          <a:fillRect/>
        </a:stretch>
      </xdr:blipFill>
      <xdr:spPr>
        <a:xfrm>
          <a:off x="180975" y="3249326"/>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E02762DC-2E21-433A-9D7A-EC0AFF78F4E3}"/>
            </a:ext>
          </a:extLst>
        </xdr:cNvPr>
        <xdr:cNvPicPr>
          <a:picLocks noChangeAspect="1"/>
        </xdr:cNvPicPr>
      </xdr:nvPicPr>
      <xdr:blipFill>
        <a:blip xmlns:r="http://schemas.openxmlformats.org/officeDocument/2006/relationships" r:embed="rId2"/>
        <a:stretch>
          <a:fillRect/>
        </a:stretch>
      </xdr:blipFill>
      <xdr:spPr>
        <a:xfrm>
          <a:off x="4857750" y="3648075"/>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58391333-4ECC-4B18-A76E-1ABF831E7FAB}"/>
            </a:ext>
          </a:extLst>
        </xdr:cNvPr>
        <xdr:cNvPicPr>
          <a:picLocks noChangeAspect="1"/>
        </xdr:cNvPicPr>
      </xdr:nvPicPr>
      <xdr:blipFill>
        <a:blip xmlns:r="http://schemas.openxmlformats.org/officeDocument/2006/relationships" r:embed="rId3"/>
        <a:stretch>
          <a:fillRect/>
        </a:stretch>
      </xdr:blipFill>
      <xdr:spPr>
        <a:xfrm>
          <a:off x="123826" y="8703229"/>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070F7F01-0020-4240-B88C-3004410A9812}"/>
            </a:ext>
          </a:extLst>
        </xdr:cNvPr>
        <xdr:cNvPicPr>
          <a:picLocks noChangeAspect="1"/>
        </xdr:cNvPicPr>
      </xdr:nvPicPr>
      <xdr:blipFill>
        <a:blip xmlns:r="http://schemas.openxmlformats.org/officeDocument/2006/relationships" r:embed="rId4"/>
        <a:stretch>
          <a:fillRect/>
        </a:stretch>
      </xdr:blipFill>
      <xdr:spPr>
        <a:xfrm>
          <a:off x="4838701" y="8559886"/>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04CC9841-3FBB-4C60-A942-120FC147154D}"/>
            </a:ext>
          </a:extLst>
        </xdr:cNvPr>
        <xdr:cNvPicPr>
          <a:picLocks noChangeAspect="1"/>
        </xdr:cNvPicPr>
      </xdr:nvPicPr>
      <xdr:blipFill>
        <a:blip xmlns:r="http://schemas.openxmlformats.org/officeDocument/2006/relationships" r:embed="rId5"/>
        <a:stretch>
          <a:fillRect/>
        </a:stretch>
      </xdr:blipFill>
      <xdr:spPr>
        <a:xfrm>
          <a:off x="304799" y="16295682"/>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ACB8D2BA-C340-4697-9D80-AB48E17801C7}"/>
            </a:ext>
          </a:extLst>
        </xdr:cNvPr>
        <xdr:cNvPicPr>
          <a:picLocks noChangeAspect="1"/>
        </xdr:cNvPicPr>
      </xdr:nvPicPr>
      <xdr:blipFill>
        <a:blip xmlns:r="http://schemas.openxmlformats.org/officeDocument/2006/relationships" r:embed="rId6"/>
        <a:stretch>
          <a:fillRect/>
        </a:stretch>
      </xdr:blipFill>
      <xdr:spPr>
        <a:xfrm>
          <a:off x="304800" y="121528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48AF6054-3D7D-42F3-8A60-6E2794EF76E9}"/>
            </a:ext>
          </a:extLst>
        </xdr:cNvPr>
        <xdr:cNvPicPr>
          <a:picLocks noChangeAspect="1"/>
        </xdr:cNvPicPr>
      </xdr:nvPicPr>
      <xdr:blipFill>
        <a:blip xmlns:r="http://schemas.openxmlformats.org/officeDocument/2006/relationships" r:embed="rId7"/>
        <a:stretch>
          <a:fillRect/>
        </a:stretch>
      </xdr:blipFill>
      <xdr:spPr>
        <a:xfrm>
          <a:off x="295275" y="20906755"/>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1799CF49-979A-4F6B-B3EF-8A7586D595B0}"/>
            </a:ext>
          </a:extLst>
        </xdr:cNvPr>
        <xdr:cNvPicPr>
          <a:picLocks noChangeAspect="1"/>
        </xdr:cNvPicPr>
      </xdr:nvPicPr>
      <xdr:blipFill>
        <a:blip xmlns:r="http://schemas.openxmlformats.org/officeDocument/2006/relationships" r:embed="rId8"/>
        <a:stretch>
          <a:fillRect/>
        </a:stretch>
      </xdr:blipFill>
      <xdr:spPr>
        <a:xfrm>
          <a:off x="285749" y="26990920"/>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F78AD3BA-1E42-4DB1-83BD-9452CE42EBA7}"/>
            </a:ext>
          </a:extLst>
        </xdr:cNvPr>
        <xdr:cNvPicPr>
          <a:picLocks noChangeAspect="1"/>
        </xdr:cNvPicPr>
      </xdr:nvPicPr>
      <xdr:blipFill>
        <a:blip xmlns:r="http://schemas.openxmlformats.org/officeDocument/2006/relationships" r:embed="rId9"/>
        <a:stretch>
          <a:fillRect/>
        </a:stretch>
      </xdr:blipFill>
      <xdr:spPr>
        <a:xfrm>
          <a:off x="295275" y="34874583"/>
          <a:ext cx="5915025" cy="57774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Alice.Smith@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8.bin"/><Relationship Id="rId1" Type="http://schemas.openxmlformats.org/officeDocument/2006/relationships/hyperlink" Target="https://pooledmoneyinvestmentboard.com/" TargetMode="Externa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sheetPr>
  <dimension ref="B1:B111"/>
  <sheetViews>
    <sheetView zoomScale="80" workbookViewId="0"/>
  </sheetViews>
  <sheetFormatPr defaultColWidth="8.88671875" defaultRowHeight="15.75" x14ac:dyDescent="0.2"/>
  <cols>
    <col min="1" max="1" width="1.21875" style="16" customWidth="1"/>
    <col min="2" max="2" width="84.6640625" style="17" customWidth="1"/>
    <col min="3" max="16384" width="8.88671875" style="16"/>
  </cols>
  <sheetData>
    <row r="1" spans="2:2" ht="39" customHeight="1" x14ac:dyDescent="0.2">
      <c r="B1" s="711" t="s">
        <v>553</v>
      </c>
    </row>
    <row r="2" spans="2:2" ht="12.95" customHeight="1" x14ac:dyDescent="0.2"/>
    <row r="3" spans="2:2" ht="34.5" customHeight="1" x14ac:dyDescent="0.2">
      <c r="B3" s="17" t="s">
        <v>554</v>
      </c>
    </row>
    <row r="4" spans="2:2" ht="12.95" customHeight="1" x14ac:dyDescent="0.2"/>
    <row r="5" spans="2:2" ht="66" customHeight="1" x14ac:dyDescent="0.2">
      <c r="B5" s="17" t="s">
        <v>555</v>
      </c>
    </row>
    <row r="6" spans="2:2" ht="14.45" customHeight="1" x14ac:dyDescent="0.2"/>
    <row r="7" spans="2:2" ht="25.5" customHeight="1" x14ac:dyDescent="0.2">
      <c r="B7" s="712" t="s">
        <v>556</v>
      </c>
    </row>
    <row r="8" spans="2:2" ht="12.95" customHeight="1" x14ac:dyDescent="0.2"/>
    <row r="9" spans="2:2" ht="65.25" customHeight="1" x14ac:dyDescent="0.2">
      <c r="B9" s="17" t="s">
        <v>557</v>
      </c>
    </row>
    <row r="10" spans="2:2" ht="12.95" customHeight="1" x14ac:dyDescent="0.2"/>
    <row r="11" spans="2:2" ht="31.5" x14ac:dyDescent="0.2">
      <c r="B11" s="17" t="s">
        <v>558</v>
      </c>
    </row>
    <row r="12" spans="2:2" ht="15" customHeight="1" x14ac:dyDescent="0.2"/>
    <row r="13" spans="2:2" ht="25.5" customHeight="1" x14ac:dyDescent="0.2">
      <c r="B13" s="712" t="s">
        <v>559</v>
      </c>
    </row>
    <row r="14" spans="2:2" ht="12.95" customHeight="1" x14ac:dyDescent="0.2"/>
    <row r="15" spans="2:2" ht="39.75" customHeight="1" x14ac:dyDescent="0.2">
      <c r="B15" s="17" t="s">
        <v>560</v>
      </c>
    </row>
    <row r="16" spans="2:2" ht="12.95" customHeight="1" x14ac:dyDescent="0.2"/>
    <row r="17" spans="2:2" x14ac:dyDescent="0.2">
      <c r="B17" s="713" t="s">
        <v>561</v>
      </c>
    </row>
    <row r="18" spans="2:2" ht="12.95" customHeight="1" x14ac:dyDescent="0.2">
      <c r="B18" s="713"/>
    </row>
    <row r="19" spans="2:2" x14ac:dyDescent="0.2">
      <c r="B19" s="17" t="s">
        <v>562</v>
      </c>
    </row>
    <row r="20" spans="2:2" ht="12.95" customHeight="1" x14ac:dyDescent="0.2"/>
    <row r="21" spans="2:2" ht="81.75" customHeight="1" x14ac:dyDescent="0.2">
      <c r="B21" s="17" t="s">
        <v>563</v>
      </c>
    </row>
    <row r="22" spans="2:2" ht="12.95" customHeight="1" x14ac:dyDescent="0.2">
      <c r="B22" s="714"/>
    </row>
    <row r="23" spans="2:2" ht="15.75" customHeight="1" x14ac:dyDescent="0.2">
      <c r="B23" s="17" t="s">
        <v>564</v>
      </c>
    </row>
    <row r="24" spans="2:2" ht="12.95" customHeight="1" x14ac:dyDescent="0.2">
      <c r="B24" s="714"/>
    </row>
    <row r="25" spans="2:2" ht="15.75" customHeight="1" x14ac:dyDescent="0.2">
      <c r="B25" s="17" t="s">
        <v>565</v>
      </c>
    </row>
    <row r="26" spans="2:2" ht="12.95" customHeight="1" x14ac:dyDescent="0.2"/>
    <row r="27" spans="2:2" ht="49.5" customHeight="1" x14ac:dyDescent="0.2">
      <c r="B27" s="17" t="s">
        <v>566</v>
      </c>
    </row>
    <row r="28" spans="2:2" ht="12.95" customHeight="1" x14ac:dyDescent="0.2"/>
    <row r="29" spans="2:2" ht="25.5" customHeight="1" x14ac:dyDescent="0.2">
      <c r="B29" s="712" t="s">
        <v>567</v>
      </c>
    </row>
    <row r="30" spans="2:2" ht="12.95" customHeight="1" x14ac:dyDescent="0.2">
      <c r="B30" s="715"/>
    </row>
    <row r="31" spans="2:2" ht="50.25" customHeight="1" x14ac:dyDescent="0.2">
      <c r="B31" s="17" t="s">
        <v>568</v>
      </c>
    </row>
    <row r="32" spans="2:2" ht="12.95" customHeight="1" x14ac:dyDescent="0.2"/>
    <row r="33" spans="2:2" ht="49.5" customHeight="1" x14ac:dyDescent="0.2">
      <c r="B33" s="328" t="s">
        <v>569</v>
      </c>
    </row>
    <row r="34" spans="2:2" ht="39.75" customHeight="1" x14ac:dyDescent="0.2">
      <c r="B34" s="716" t="s">
        <v>570</v>
      </c>
    </row>
    <row r="35" spans="2:2" ht="60.75" customHeight="1" x14ac:dyDescent="0.2">
      <c r="B35" s="716" t="s">
        <v>571</v>
      </c>
    </row>
    <row r="36" spans="2:2" ht="61.5" customHeight="1" x14ac:dyDescent="0.2">
      <c r="B36" s="716" t="s">
        <v>572</v>
      </c>
    </row>
    <row r="37" spans="2:2" ht="41.25" customHeight="1" x14ac:dyDescent="0.2">
      <c r="B37" s="716" t="s">
        <v>573</v>
      </c>
    </row>
    <row r="38" spans="2:2" ht="41.25" customHeight="1" x14ac:dyDescent="0.2">
      <c r="B38" s="716" t="s">
        <v>720</v>
      </c>
    </row>
    <row r="39" spans="2:2" ht="12.95" customHeight="1" x14ac:dyDescent="0.2"/>
    <row r="40" spans="2:2" ht="52.5" customHeight="1" x14ac:dyDescent="0.2">
      <c r="B40" s="328" t="s">
        <v>574</v>
      </c>
    </row>
    <row r="41" spans="2:2" ht="27.75" customHeight="1" x14ac:dyDescent="0.2">
      <c r="B41" s="716" t="s">
        <v>575</v>
      </c>
    </row>
    <row r="42" spans="2:2" ht="57" customHeight="1" x14ac:dyDescent="0.2">
      <c r="B42" s="716" t="s">
        <v>576</v>
      </c>
    </row>
    <row r="43" spans="2:2" ht="105" customHeight="1" x14ac:dyDescent="0.2">
      <c r="B43" s="716" t="s">
        <v>577</v>
      </c>
    </row>
    <row r="44" spans="2:2" ht="31.5" x14ac:dyDescent="0.2">
      <c r="B44" s="716" t="s">
        <v>721</v>
      </c>
    </row>
    <row r="45" spans="2:2" s="17" customFormat="1" ht="12.95" customHeight="1" x14ac:dyDescent="0.2"/>
    <row r="46" spans="2:2" ht="47.25" x14ac:dyDescent="0.2">
      <c r="B46" s="328" t="s">
        <v>578</v>
      </c>
    </row>
    <row r="47" spans="2:2" ht="66.75" customHeight="1" x14ac:dyDescent="0.2">
      <c r="B47" s="328" t="s">
        <v>579</v>
      </c>
    </row>
    <row r="48" spans="2:2" ht="72.75" customHeight="1" x14ac:dyDescent="0.2">
      <c r="B48" s="716" t="s">
        <v>580</v>
      </c>
    </row>
    <row r="49" spans="2:2" ht="108" customHeight="1" x14ac:dyDescent="0.2">
      <c r="B49" s="716" t="s">
        <v>581</v>
      </c>
    </row>
    <row r="50" spans="2:2" ht="95.25" customHeight="1" x14ac:dyDescent="0.2">
      <c r="B50" s="716" t="s">
        <v>582</v>
      </c>
    </row>
    <row r="51" spans="2:2" ht="12.95" customHeight="1" x14ac:dyDescent="0.2"/>
    <row r="52" spans="2:2" ht="47.25" x14ac:dyDescent="0.2">
      <c r="B52" s="328" t="s">
        <v>583</v>
      </c>
    </row>
    <row r="53" spans="2:2" ht="38.25" customHeight="1" x14ac:dyDescent="0.2">
      <c r="B53" s="716" t="s">
        <v>584</v>
      </c>
    </row>
    <row r="54" spans="2:2" ht="34.5" customHeight="1" x14ac:dyDescent="0.2">
      <c r="B54" s="716" t="s">
        <v>585</v>
      </c>
    </row>
    <row r="55" spans="2:2" ht="12.95" customHeight="1" x14ac:dyDescent="0.2"/>
    <row r="56" spans="2:2" ht="71.25" customHeight="1" x14ac:dyDescent="0.2">
      <c r="B56" s="328" t="s">
        <v>586</v>
      </c>
    </row>
    <row r="57" spans="2:2" ht="21.75" customHeight="1" x14ac:dyDescent="0.2">
      <c r="B57" s="716" t="s">
        <v>587</v>
      </c>
    </row>
    <row r="58" spans="2:2" ht="12.95" customHeight="1" x14ac:dyDescent="0.2">
      <c r="B58" s="717"/>
    </row>
    <row r="59" spans="2:2" ht="57.75" customHeight="1" x14ac:dyDescent="0.2">
      <c r="B59" s="328" t="s">
        <v>588</v>
      </c>
    </row>
    <row r="60" spans="2:2" ht="41.25" customHeight="1" x14ac:dyDescent="0.2">
      <c r="B60" s="716" t="s">
        <v>589</v>
      </c>
    </row>
    <row r="61" spans="2:2" ht="72" customHeight="1" x14ac:dyDescent="0.2">
      <c r="B61" s="716" t="s">
        <v>590</v>
      </c>
    </row>
    <row r="62" spans="2:2" ht="27" customHeight="1" x14ac:dyDescent="0.2">
      <c r="B62" s="716" t="s">
        <v>591</v>
      </c>
    </row>
    <row r="63" spans="2:2" ht="44.25" customHeight="1" x14ac:dyDescent="0.2">
      <c r="B63" s="716" t="s">
        <v>592</v>
      </c>
    </row>
    <row r="64" spans="2:2" ht="12.95" customHeight="1" x14ac:dyDescent="0.2"/>
    <row r="65" spans="2:2" ht="38.25" customHeight="1" x14ac:dyDescent="0.2">
      <c r="B65" s="328" t="s">
        <v>593</v>
      </c>
    </row>
    <row r="66" spans="2:2" s="718" customFormat="1" ht="30.75" customHeight="1" x14ac:dyDescent="0.2">
      <c r="B66" s="716" t="s">
        <v>594</v>
      </c>
    </row>
    <row r="67" spans="2:2" ht="12.95" customHeight="1" x14ac:dyDescent="0.2"/>
    <row r="68" spans="2:2" ht="52.5" customHeight="1" x14ac:dyDescent="0.2">
      <c r="B68" s="328" t="s">
        <v>595</v>
      </c>
    </row>
    <row r="69" spans="2:2" s="718" customFormat="1" ht="39.75" customHeight="1" x14ac:dyDescent="0.2">
      <c r="B69" s="716" t="s">
        <v>596</v>
      </c>
    </row>
    <row r="70" spans="2:2" ht="12.95" customHeight="1" x14ac:dyDescent="0.2"/>
    <row r="71" spans="2:2" ht="68.25" customHeight="1" x14ac:dyDescent="0.2">
      <c r="B71" s="328" t="s">
        <v>597</v>
      </c>
    </row>
    <row r="72" spans="2:2" ht="57" customHeight="1" x14ac:dyDescent="0.2">
      <c r="B72" s="716" t="s">
        <v>598</v>
      </c>
    </row>
    <row r="73" spans="2:2" ht="44.25" customHeight="1" x14ac:dyDescent="0.2">
      <c r="B73" s="716" t="s">
        <v>599</v>
      </c>
    </row>
    <row r="74" spans="2:2" ht="12.95" customHeight="1" x14ac:dyDescent="0.2"/>
    <row r="75" spans="2:2" ht="86.25" customHeight="1" x14ac:dyDescent="0.2">
      <c r="B75" s="328" t="s">
        <v>600</v>
      </c>
    </row>
    <row r="76" spans="2:2" ht="72.75" customHeight="1" x14ac:dyDescent="0.2">
      <c r="B76" s="716" t="s">
        <v>601</v>
      </c>
    </row>
    <row r="77" spans="2:2" ht="90" customHeight="1" x14ac:dyDescent="0.2">
      <c r="B77" s="716" t="s">
        <v>602</v>
      </c>
    </row>
    <row r="78" spans="2:2" ht="70.5" customHeight="1" x14ac:dyDescent="0.2">
      <c r="B78" s="716" t="s">
        <v>603</v>
      </c>
    </row>
    <row r="79" spans="2:2" ht="87" customHeight="1" x14ac:dyDescent="0.2">
      <c r="B79" s="716" t="s">
        <v>604</v>
      </c>
    </row>
    <row r="80" spans="2:2" ht="113.25" customHeight="1" x14ac:dyDescent="0.2">
      <c r="B80" s="716" t="s">
        <v>605</v>
      </c>
    </row>
    <row r="81" spans="2:2" ht="55.5" customHeight="1" x14ac:dyDescent="0.2">
      <c r="B81" s="716" t="s">
        <v>606</v>
      </c>
    </row>
    <row r="82" spans="2:2" ht="96.75" customHeight="1" x14ac:dyDescent="0.2">
      <c r="B82" s="716" t="s">
        <v>607</v>
      </c>
    </row>
    <row r="83" spans="2:2" ht="111.75" customHeight="1" x14ac:dyDescent="0.2">
      <c r="B83" s="716" t="s">
        <v>608</v>
      </c>
    </row>
    <row r="84" spans="2:2" ht="129.75" customHeight="1" x14ac:dyDescent="0.2">
      <c r="B84" s="716" t="s">
        <v>609</v>
      </c>
    </row>
    <row r="85" spans="2:2" ht="26.25" customHeight="1" x14ac:dyDescent="0.2">
      <c r="B85" s="716" t="s">
        <v>610</v>
      </c>
    </row>
    <row r="86" spans="2:2" ht="57.75" customHeight="1" x14ac:dyDescent="0.2">
      <c r="B86" s="716" t="s">
        <v>611</v>
      </c>
    </row>
    <row r="87" spans="2:2" ht="57.75" customHeight="1" x14ac:dyDescent="0.2">
      <c r="B87" s="716" t="s">
        <v>612</v>
      </c>
    </row>
    <row r="88" spans="2:2" ht="91.5" customHeight="1" x14ac:dyDescent="0.2">
      <c r="B88" s="716" t="s">
        <v>613</v>
      </c>
    </row>
    <row r="89" spans="2:2" ht="75" customHeight="1" x14ac:dyDescent="0.2">
      <c r="B89" s="716" t="s">
        <v>614</v>
      </c>
    </row>
    <row r="90" spans="2:2" ht="69" customHeight="1" x14ac:dyDescent="0.2">
      <c r="B90" s="716" t="s">
        <v>615</v>
      </c>
    </row>
    <row r="91" spans="2:2" ht="39" customHeight="1" x14ac:dyDescent="0.2">
      <c r="B91" s="716" t="s">
        <v>616</v>
      </c>
    </row>
    <row r="92" spans="2:2" ht="12.95" customHeight="1" x14ac:dyDescent="0.2"/>
    <row r="93" spans="2:2" ht="63" x14ac:dyDescent="0.2">
      <c r="B93" s="328" t="s">
        <v>617</v>
      </c>
    </row>
    <row r="94" spans="2:2" ht="75.75" customHeight="1" x14ac:dyDescent="0.2">
      <c r="B94" s="716" t="s">
        <v>618</v>
      </c>
    </row>
    <row r="95" spans="2:2" ht="23.25" customHeight="1" x14ac:dyDescent="0.2">
      <c r="B95" s="716" t="s">
        <v>619</v>
      </c>
    </row>
    <row r="96" spans="2:2" ht="27" customHeight="1" x14ac:dyDescent="0.2">
      <c r="B96" s="716" t="s">
        <v>620</v>
      </c>
    </row>
    <row r="97" spans="2:2" ht="42" customHeight="1" x14ac:dyDescent="0.2">
      <c r="B97" s="719" t="s">
        <v>621</v>
      </c>
    </row>
    <row r="98" spans="2:2" ht="108" customHeight="1" x14ac:dyDescent="0.2">
      <c r="B98" s="719" t="s">
        <v>622</v>
      </c>
    </row>
    <row r="99" spans="2:2" ht="99.75" customHeight="1" x14ac:dyDescent="0.2">
      <c r="B99" s="719" t="s">
        <v>623</v>
      </c>
    </row>
    <row r="100" spans="2:2" ht="118.5" customHeight="1" x14ac:dyDescent="0.2">
      <c r="B100" s="716" t="s">
        <v>624</v>
      </c>
    </row>
    <row r="101" spans="2:2" ht="68.25" customHeight="1" x14ac:dyDescent="0.2">
      <c r="B101" s="716" t="s">
        <v>625</v>
      </c>
    </row>
    <row r="102" spans="2:2" ht="12.95" customHeight="1" x14ac:dyDescent="0.2"/>
    <row r="103" spans="2:2" ht="94.5" x14ac:dyDescent="0.2">
      <c r="B103" s="328" t="s">
        <v>626</v>
      </c>
    </row>
    <row r="104" spans="2:2" ht="78.75" x14ac:dyDescent="0.2">
      <c r="B104" s="720" t="s">
        <v>627</v>
      </c>
    </row>
    <row r="105" spans="2:2" ht="63" x14ac:dyDescent="0.2">
      <c r="B105" s="716" t="s">
        <v>628</v>
      </c>
    </row>
    <row r="106" spans="2:2" ht="39.75" customHeight="1" x14ac:dyDescent="0.2">
      <c r="B106" s="716" t="s">
        <v>629</v>
      </c>
    </row>
    <row r="107" spans="2:2" ht="12.95" customHeight="1" x14ac:dyDescent="0.2">
      <c r="B107" s="16"/>
    </row>
    <row r="108" spans="2:2" ht="55.5" customHeight="1" x14ac:dyDescent="0.2">
      <c r="B108" s="328" t="s">
        <v>630</v>
      </c>
    </row>
    <row r="109" spans="2:2" ht="12.95" customHeight="1" x14ac:dyDescent="0.2">
      <c r="B109" s="16"/>
    </row>
    <row r="110" spans="2:2" ht="54" customHeight="1" x14ac:dyDescent="0.2">
      <c r="B110" s="328" t="s">
        <v>631</v>
      </c>
    </row>
    <row r="111" spans="2:2" x14ac:dyDescent="0.2">
      <c r="B111" s="16"/>
    </row>
  </sheetData>
  <phoneticPr fontId="0" type="noConversion"/>
  <pageMargins left="0.5" right="0.5" top="0.5" bottom="0.5" header="0.5" footer="0"/>
  <pageSetup scale="90" fitToHeight="2" orientation="portrait" blackAndWhite="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pageSetUpPr fitToPage="1"/>
  </sheetPr>
  <dimension ref="B1:AC48"/>
  <sheetViews>
    <sheetView zoomScale="75" workbookViewId="0">
      <selection activeCell="L17" sqref="L17"/>
    </sheetView>
  </sheetViews>
  <sheetFormatPr defaultColWidth="8.88671875" defaultRowHeight="15.75" x14ac:dyDescent="0.2"/>
  <cols>
    <col min="1" max="1" width="8.88671875" style="18"/>
    <col min="2" max="2" width="20.77734375" style="18" customWidth="1"/>
    <col min="3" max="3" width="9.33203125" style="18" customWidth="1"/>
    <col min="4" max="4" width="8.6640625" style="18" customWidth="1"/>
    <col min="5" max="5" width="8.77734375" style="18" customWidth="1"/>
    <col min="6" max="6" width="12.77734375" style="18" customWidth="1"/>
    <col min="7" max="7" width="14.33203125" style="18" customWidth="1"/>
    <col min="8" max="13" width="9.77734375" style="18" customWidth="1"/>
    <col min="14" max="16384" width="8.88671875" style="18"/>
  </cols>
  <sheetData>
    <row r="1" spans="2:13" x14ac:dyDescent="0.2">
      <c r="B1" s="39">
        <f>inputPrYr!$D$3</f>
        <v>0</v>
      </c>
      <c r="C1" s="20"/>
      <c r="D1" s="20"/>
      <c r="E1" s="20"/>
      <c r="F1" s="20"/>
      <c r="G1" s="20"/>
      <c r="H1" s="20"/>
      <c r="I1" s="20"/>
      <c r="J1" s="20"/>
      <c r="K1" s="20"/>
      <c r="L1" s="20"/>
      <c r="M1" s="126">
        <f>inputPrYr!$C$6</f>
        <v>2025</v>
      </c>
    </row>
    <row r="2" spans="2:13" x14ac:dyDescent="0.2">
      <c r="B2" s="39"/>
      <c r="C2" s="20"/>
      <c r="D2" s="20"/>
      <c r="E2" s="20"/>
      <c r="F2" s="20"/>
      <c r="G2" s="20"/>
      <c r="H2" s="20"/>
      <c r="I2" s="20"/>
      <c r="J2" s="20"/>
      <c r="K2" s="20"/>
      <c r="L2" s="20"/>
      <c r="M2" s="101"/>
    </row>
    <row r="3" spans="2:13" x14ac:dyDescent="0.2">
      <c r="B3" s="127" t="s">
        <v>127</v>
      </c>
      <c r="C3" s="25"/>
      <c r="D3" s="25"/>
      <c r="E3" s="25"/>
      <c r="F3" s="25"/>
      <c r="G3" s="25"/>
      <c r="H3" s="25"/>
      <c r="I3" s="25"/>
      <c r="J3" s="25"/>
      <c r="K3" s="25"/>
      <c r="L3" s="25"/>
      <c r="M3" s="25"/>
    </row>
    <row r="4" spans="2:13" ht="10.5" customHeight="1" x14ac:dyDescent="0.2">
      <c r="B4" s="20"/>
      <c r="C4" s="128"/>
      <c r="D4" s="128"/>
      <c r="E4" s="128"/>
      <c r="F4" s="128"/>
      <c r="G4" s="128"/>
      <c r="H4" s="128"/>
      <c r="I4" s="128"/>
      <c r="J4" s="128"/>
      <c r="K4" s="128"/>
      <c r="L4" s="128"/>
      <c r="M4" s="128"/>
    </row>
    <row r="5" spans="2:13" ht="18" customHeight="1" x14ac:dyDescent="0.2">
      <c r="B5" s="89"/>
      <c r="C5" s="108" t="s">
        <v>97</v>
      </c>
      <c r="D5" s="108" t="s">
        <v>97</v>
      </c>
      <c r="E5" s="108" t="s">
        <v>111</v>
      </c>
      <c r="F5" s="108"/>
      <c r="G5" s="108" t="s">
        <v>179</v>
      </c>
      <c r="H5" s="20"/>
      <c r="I5" s="20"/>
      <c r="J5" s="129" t="s">
        <v>98</v>
      </c>
      <c r="K5" s="130"/>
      <c r="L5" s="129" t="s">
        <v>98</v>
      </c>
      <c r="M5" s="130"/>
    </row>
    <row r="6" spans="2:13" x14ac:dyDescent="0.2">
      <c r="B6" s="83" t="s">
        <v>435</v>
      </c>
      <c r="C6" s="83" t="s">
        <v>99</v>
      </c>
      <c r="D6" s="83" t="s">
        <v>180</v>
      </c>
      <c r="E6" s="83" t="s">
        <v>100</v>
      </c>
      <c r="F6" s="83" t="s">
        <v>53</v>
      </c>
      <c r="G6" s="83" t="s">
        <v>181</v>
      </c>
      <c r="H6" s="850" t="s">
        <v>101</v>
      </c>
      <c r="I6" s="851"/>
      <c r="J6" s="852">
        <f>M1-1</f>
        <v>2024</v>
      </c>
      <c r="K6" s="853"/>
      <c r="L6" s="852">
        <f>M1</f>
        <v>2025</v>
      </c>
      <c r="M6" s="853"/>
    </row>
    <row r="7" spans="2:13" x14ac:dyDescent="0.2">
      <c r="B7" s="86" t="s">
        <v>434</v>
      </c>
      <c r="C7" s="86" t="s">
        <v>102</v>
      </c>
      <c r="D7" s="86" t="s">
        <v>182</v>
      </c>
      <c r="E7" s="86" t="s">
        <v>77</v>
      </c>
      <c r="F7" s="86" t="s">
        <v>103</v>
      </c>
      <c r="G7" s="131" t="str">
        <f>CONCATENATE("Jan 1, ",M1-1,"")</f>
        <v>Jan 1, 2024</v>
      </c>
      <c r="H7" s="93" t="s">
        <v>111</v>
      </c>
      <c r="I7" s="93" t="s">
        <v>113</v>
      </c>
      <c r="J7" s="93" t="s">
        <v>111</v>
      </c>
      <c r="K7" s="93" t="s">
        <v>113</v>
      </c>
      <c r="L7" s="93" t="s">
        <v>111</v>
      </c>
      <c r="M7" s="93" t="s">
        <v>113</v>
      </c>
    </row>
    <row r="8" spans="2:13" x14ac:dyDescent="0.2">
      <c r="B8" s="132" t="s">
        <v>104</v>
      </c>
      <c r="C8" s="30"/>
      <c r="D8" s="30"/>
      <c r="E8" s="133"/>
      <c r="F8" s="134"/>
      <c r="G8" s="134"/>
      <c r="H8" s="30"/>
      <c r="I8" s="30"/>
      <c r="J8" s="134"/>
      <c r="K8" s="134"/>
      <c r="L8" s="134"/>
      <c r="M8" s="134"/>
    </row>
    <row r="9" spans="2:13" x14ac:dyDescent="0.2">
      <c r="B9" s="33"/>
      <c r="C9" s="250"/>
      <c r="D9" s="250"/>
      <c r="E9" s="135"/>
      <c r="F9" s="136"/>
      <c r="G9" s="137"/>
      <c r="H9" s="138"/>
      <c r="I9" s="138"/>
      <c r="J9" s="137"/>
      <c r="K9" s="137"/>
      <c r="L9" s="137"/>
      <c r="M9" s="137"/>
    </row>
    <row r="10" spans="2:13" x14ac:dyDescent="0.2">
      <c r="B10" s="33"/>
      <c r="C10" s="250"/>
      <c r="D10" s="250"/>
      <c r="E10" s="135"/>
      <c r="F10" s="136"/>
      <c r="G10" s="137"/>
      <c r="H10" s="138"/>
      <c r="I10" s="138"/>
      <c r="J10" s="137"/>
      <c r="K10" s="137"/>
      <c r="L10" s="137"/>
      <c r="M10" s="137"/>
    </row>
    <row r="11" spans="2:13" x14ac:dyDescent="0.2">
      <c r="B11" s="33"/>
      <c r="C11" s="250"/>
      <c r="D11" s="250"/>
      <c r="E11" s="135"/>
      <c r="F11" s="136"/>
      <c r="G11" s="137"/>
      <c r="H11" s="138"/>
      <c r="I11" s="138"/>
      <c r="J11" s="137"/>
      <c r="K11" s="137"/>
      <c r="L11" s="137"/>
      <c r="M11" s="137"/>
    </row>
    <row r="12" spans="2:13" x14ac:dyDescent="0.2">
      <c r="B12" s="33"/>
      <c r="C12" s="250"/>
      <c r="D12" s="250"/>
      <c r="E12" s="135"/>
      <c r="F12" s="136"/>
      <c r="G12" s="137"/>
      <c r="H12" s="138"/>
      <c r="I12" s="138"/>
      <c r="J12" s="137"/>
      <c r="K12" s="137"/>
      <c r="L12" s="137"/>
      <c r="M12" s="137"/>
    </row>
    <row r="13" spans="2:13" x14ac:dyDescent="0.2">
      <c r="B13" s="33"/>
      <c r="C13" s="250"/>
      <c r="D13" s="250"/>
      <c r="E13" s="135"/>
      <c r="F13" s="136"/>
      <c r="G13" s="137"/>
      <c r="H13" s="138"/>
      <c r="I13" s="138"/>
      <c r="J13" s="137"/>
      <c r="K13" s="137"/>
      <c r="L13" s="137"/>
      <c r="M13" s="137"/>
    </row>
    <row r="14" spans="2:13" x14ac:dyDescent="0.2">
      <c r="B14" s="33"/>
      <c r="C14" s="250"/>
      <c r="D14" s="250"/>
      <c r="E14" s="135"/>
      <c r="F14" s="136"/>
      <c r="G14" s="137"/>
      <c r="H14" s="138"/>
      <c r="I14" s="138"/>
      <c r="J14" s="137"/>
      <c r="K14" s="137"/>
      <c r="L14" s="137"/>
      <c r="M14" s="137"/>
    </row>
    <row r="15" spans="2:13" x14ac:dyDescent="0.2">
      <c r="B15" s="33"/>
      <c r="C15" s="250"/>
      <c r="D15" s="250"/>
      <c r="E15" s="135"/>
      <c r="F15" s="136"/>
      <c r="G15" s="137"/>
      <c r="H15" s="138"/>
      <c r="I15" s="138"/>
      <c r="J15" s="137"/>
      <c r="K15" s="137"/>
      <c r="L15" s="137"/>
      <c r="M15" s="137"/>
    </row>
    <row r="16" spans="2:13" x14ac:dyDescent="0.2">
      <c r="B16" s="33"/>
      <c r="C16" s="250"/>
      <c r="D16" s="250"/>
      <c r="E16" s="135"/>
      <c r="F16" s="136"/>
      <c r="G16" s="137"/>
      <c r="H16" s="138"/>
      <c r="I16" s="138"/>
      <c r="J16" s="137"/>
      <c r="K16" s="137"/>
      <c r="L16" s="137"/>
      <c r="M16" s="137"/>
    </row>
    <row r="17" spans="2:13" x14ac:dyDescent="0.2">
      <c r="B17" s="33"/>
      <c r="C17" s="250"/>
      <c r="D17" s="250"/>
      <c r="E17" s="135"/>
      <c r="F17" s="136"/>
      <c r="G17" s="137"/>
      <c r="H17" s="138"/>
      <c r="I17" s="138"/>
      <c r="J17" s="137"/>
      <c r="K17" s="137"/>
      <c r="L17" s="137"/>
      <c r="M17" s="137"/>
    </row>
    <row r="18" spans="2:13" x14ac:dyDescent="0.2">
      <c r="B18" s="33"/>
      <c r="C18" s="250"/>
      <c r="D18" s="250"/>
      <c r="E18" s="135"/>
      <c r="F18" s="136"/>
      <c r="G18" s="137"/>
      <c r="H18" s="138"/>
      <c r="I18" s="138"/>
      <c r="J18" s="137"/>
      <c r="K18" s="137"/>
      <c r="L18" s="137"/>
      <c r="M18" s="137"/>
    </row>
    <row r="19" spans="2:13" x14ac:dyDescent="0.2">
      <c r="B19" s="33"/>
      <c r="C19" s="250"/>
      <c r="D19" s="250"/>
      <c r="E19" s="135"/>
      <c r="F19" s="136"/>
      <c r="G19" s="137"/>
      <c r="H19" s="138"/>
      <c r="I19" s="138"/>
      <c r="J19" s="137"/>
      <c r="K19" s="137"/>
      <c r="L19" s="137"/>
      <c r="M19" s="137"/>
    </row>
    <row r="20" spans="2:13" x14ac:dyDescent="0.2">
      <c r="B20" s="139" t="s">
        <v>105</v>
      </c>
      <c r="C20" s="140"/>
      <c r="D20" s="140"/>
      <c r="E20" s="141"/>
      <c r="F20" s="142"/>
      <c r="G20" s="143">
        <f>SUM(G9:G19)</f>
        <v>0</v>
      </c>
      <c r="H20" s="144"/>
      <c r="I20" s="144"/>
      <c r="J20" s="143">
        <f>SUM(J9:J19)</f>
        <v>0</v>
      </c>
      <c r="K20" s="143">
        <f>SUM(K9:K19)</f>
        <v>0</v>
      </c>
      <c r="L20" s="143">
        <f>SUM(L9:L19)</f>
        <v>0</v>
      </c>
      <c r="M20" s="143">
        <f>SUM(M9:M19)</f>
        <v>0</v>
      </c>
    </row>
    <row r="21" spans="2:13" x14ac:dyDescent="0.2">
      <c r="B21" s="132" t="s">
        <v>106</v>
      </c>
      <c r="C21" s="145"/>
      <c r="D21" s="145"/>
      <c r="E21" s="146"/>
      <c r="F21" s="147"/>
      <c r="G21" s="147"/>
      <c r="H21" s="148"/>
      <c r="I21" s="148"/>
      <c r="J21" s="147"/>
      <c r="K21" s="147"/>
      <c r="L21" s="147"/>
      <c r="M21" s="147"/>
    </row>
    <row r="22" spans="2:13" x14ac:dyDescent="0.2">
      <c r="B22" s="33"/>
      <c r="C22" s="250"/>
      <c r="D22" s="250"/>
      <c r="E22" s="135"/>
      <c r="F22" s="136"/>
      <c r="G22" s="137"/>
      <c r="H22" s="138"/>
      <c r="I22" s="138"/>
      <c r="J22" s="137"/>
      <c r="K22" s="137"/>
      <c r="L22" s="137"/>
      <c r="M22" s="137"/>
    </row>
    <row r="23" spans="2:13" x14ac:dyDescent="0.2">
      <c r="B23" s="33"/>
      <c r="C23" s="250"/>
      <c r="D23" s="250"/>
      <c r="E23" s="135"/>
      <c r="F23" s="136"/>
      <c r="G23" s="137"/>
      <c r="H23" s="138"/>
      <c r="I23" s="138"/>
      <c r="J23" s="137"/>
      <c r="K23" s="137"/>
      <c r="L23" s="137"/>
      <c r="M23" s="137"/>
    </row>
    <row r="24" spans="2:13" x14ac:dyDescent="0.2">
      <c r="B24" s="33"/>
      <c r="C24" s="250"/>
      <c r="D24" s="250"/>
      <c r="E24" s="135"/>
      <c r="F24" s="136"/>
      <c r="G24" s="137"/>
      <c r="H24" s="138"/>
      <c r="I24" s="138"/>
      <c r="J24" s="137"/>
      <c r="K24" s="137"/>
      <c r="L24" s="137"/>
      <c r="M24" s="137"/>
    </row>
    <row r="25" spans="2:13" x14ac:dyDescent="0.2">
      <c r="B25" s="33"/>
      <c r="C25" s="250"/>
      <c r="D25" s="250"/>
      <c r="E25" s="135"/>
      <c r="F25" s="136"/>
      <c r="G25" s="137"/>
      <c r="H25" s="138"/>
      <c r="I25" s="138"/>
      <c r="J25" s="137"/>
      <c r="K25" s="137"/>
      <c r="L25" s="137"/>
      <c r="M25" s="137"/>
    </row>
    <row r="26" spans="2:13" x14ac:dyDescent="0.2">
      <c r="B26" s="33"/>
      <c r="C26" s="250"/>
      <c r="D26" s="250"/>
      <c r="E26" s="135"/>
      <c r="F26" s="136"/>
      <c r="G26" s="137"/>
      <c r="H26" s="138"/>
      <c r="I26" s="138"/>
      <c r="J26" s="137"/>
      <c r="K26" s="137"/>
      <c r="L26" s="137"/>
      <c r="M26" s="137"/>
    </row>
    <row r="27" spans="2:13" x14ac:dyDescent="0.2">
      <c r="B27" s="33"/>
      <c r="C27" s="250"/>
      <c r="D27" s="250"/>
      <c r="E27" s="135"/>
      <c r="F27" s="136"/>
      <c r="G27" s="137"/>
      <c r="H27" s="138"/>
      <c r="I27" s="138"/>
      <c r="J27" s="137"/>
      <c r="K27" s="137"/>
      <c r="L27" s="137"/>
      <c r="M27" s="137"/>
    </row>
    <row r="28" spans="2:13" x14ac:dyDescent="0.2">
      <c r="B28" s="33"/>
      <c r="C28" s="250"/>
      <c r="D28" s="250"/>
      <c r="E28" s="135"/>
      <c r="F28" s="136"/>
      <c r="G28" s="137"/>
      <c r="H28" s="138"/>
      <c r="I28" s="138"/>
      <c r="J28" s="137"/>
      <c r="K28" s="137"/>
      <c r="L28" s="137"/>
      <c r="M28" s="137"/>
    </row>
    <row r="29" spans="2:13" x14ac:dyDescent="0.2">
      <c r="B29" s="33"/>
      <c r="C29" s="250"/>
      <c r="D29" s="250"/>
      <c r="E29" s="135"/>
      <c r="F29" s="136"/>
      <c r="G29" s="137"/>
      <c r="H29" s="138"/>
      <c r="I29" s="138"/>
      <c r="J29" s="137"/>
      <c r="K29" s="137"/>
      <c r="L29" s="137"/>
      <c r="M29" s="137"/>
    </row>
    <row r="30" spans="2:13" x14ac:dyDescent="0.2">
      <c r="B30" s="33"/>
      <c r="C30" s="250"/>
      <c r="D30" s="250"/>
      <c r="E30" s="135"/>
      <c r="F30" s="136"/>
      <c r="G30" s="137"/>
      <c r="H30" s="138"/>
      <c r="I30" s="138"/>
      <c r="J30" s="137"/>
      <c r="K30" s="137"/>
      <c r="L30" s="137"/>
      <c r="M30" s="137"/>
    </row>
    <row r="31" spans="2:13" x14ac:dyDescent="0.2">
      <c r="B31" s="33"/>
      <c r="C31" s="250"/>
      <c r="D31" s="250"/>
      <c r="E31" s="135"/>
      <c r="F31" s="136"/>
      <c r="G31" s="137"/>
      <c r="H31" s="138"/>
      <c r="I31" s="138"/>
      <c r="J31" s="137"/>
      <c r="K31" s="137"/>
      <c r="L31" s="137"/>
      <c r="M31" s="137"/>
    </row>
    <row r="32" spans="2:13" x14ac:dyDescent="0.2">
      <c r="B32" s="139" t="s">
        <v>107</v>
      </c>
      <c r="C32" s="140"/>
      <c r="D32" s="140"/>
      <c r="E32" s="149"/>
      <c r="F32" s="142"/>
      <c r="G32" s="150">
        <f>SUM(G22:G31)</f>
        <v>0</v>
      </c>
      <c r="H32" s="144"/>
      <c r="I32" s="144"/>
      <c r="J32" s="150">
        <f>SUM(J22:J31)</f>
        <v>0</v>
      </c>
      <c r="K32" s="150">
        <f>SUM(K22:K31)</f>
        <v>0</v>
      </c>
      <c r="L32" s="143">
        <f>SUM(L22:L31)</f>
        <v>0</v>
      </c>
      <c r="M32" s="150">
        <f>SUM(M22:M31)</f>
        <v>0</v>
      </c>
    </row>
    <row r="33" spans="2:29" x14ac:dyDescent="0.2">
      <c r="B33" s="132" t="s">
        <v>108</v>
      </c>
      <c r="C33" s="145"/>
      <c r="D33" s="145"/>
      <c r="E33" s="146"/>
      <c r="F33" s="147"/>
      <c r="G33" s="151"/>
      <c r="H33" s="148"/>
      <c r="I33" s="148"/>
      <c r="J33" s="147"/>
      <c r="K33" s="147"/>
      <c r="L33" s="147"/>
      <c r="M33" s="147"/>
    </row>
    <row r="34" spans="2:29" x14ac:dyDescent="0.2">
      <c r="B34" s="33"/>
      <c r="C34" s="250"/>
      <c r="D34" s="250"/>
      <c r="E34" s="135"/>
      <c r="F34" s="136"/>
      <c r="G34" s="137"/>
      <c r="H34" s="138"/>
      <c r="I34" s="138"/>
      <c r="J34" s="137"/>
      <c r="K34" s="137"/>
      <c r="L34" s="137"/>
      <c r="M34" s="137"/>
    </row>
    <row r="35" spans="2:29" x14ac:dyDescent="0.2">
      <c r="B35" s="33"/>
      <c r="C35" s="250"/>
      <c r="D35" s="250"/>
      <c r="E35" s="135"/>
      <c r="F35" s="136"/>
      <c r="G35" s="137"/>
      <c r="H35" s="138"/>
      <c r="I35" s="138"/>
      <c r="J35" s="137"/>
      <c r="K35" s="137"/>
      <c r="L35" s="137"/>
      <c r="M35" s="137"/>
    </row>
    <row r="36" spans="2:29" x14ac:dyDescent="0.2">
      <c r="B36" s="33"/>
      <c r="C36" s="250"/>
      <c r="D36" s="250"/>
      <c r="E36" s="135"/>
      <c r="F36" s="136"/>
      <c r="G36" s="137"/>
      <c r="H36" s="138"/>
      <c r="I36" s="138"/>
      <c r="J36" s="137"/>
      <c r="K36" s="137"/>
      <c r="L36" s="137"/>
      <c r="M36" s="137"/>
    </row>
    <row r="37" spans="2:29" x14ac:dyDescent="0.2">
      <c r="B37" s="33"/>
      <c r="C37" s="250"/>
      <c r="D37" s="250"/>
      <c r="E37" s="135"/>
      <c r="F37" s="136"/>
      <c r="G37" s="137"/>
      <c r="H37" s="138"/>
      <c r="I37" s="138"/>
      <c r="J37" s="137"/>
      <c r="K37" s="137"/>
      <c r="L37" s="137"/>
      <c r="M37" s="137"/>
    </row>
    <row r="38" spans="2:29" x14ac:dyDescent="0.2">
      <c r="B38" s="33"/>
      <c r="C38" s="250"/>
      <c r="D38" s="250"/>
      <c r="E38" s="135"/>
      <c r="F38" s="136"/>
      <c r="G38" s="137"/>
      <c r="H38" s="138"/>
      <c r="I38" s="138"/>
      <c r="J38" s="137"/>
      <c r="K38" s="137"/>
      <c r="L38" s="137"/>
      <c r="M38" s="137"/>
    </row>
    <row r="39" spans="2:29" x14ac:dyDescent="0.2">
      <c r="B39" s="33"/>
      <c r="C39" s="250"/>
      <c r="D39" s="250"/>
      <c r="E39" s="135"/>
      <c r="F39" s="136"/>
      <c r="G39" s="137"/>
      <c r="H39" s="138"/>
      <c r="I39" s="138"/>
      <c r="J39" s="137"/>
      <c r="K39" s="137"/>
      <c r="L39" s="137"/>
      <c r="M39" s="137"/>
    </row>
    <row r="40" spans="2:29" x14ac:dyDescent="0.2">
      <c r="B40" s="33"/>
      <c r="C40" s="250"/>
      <c r="D40" s="250"/>
      <c r="E40" s="135"/>
      <c r="F40" s="136"/>
      <c r="G40" s="137"/>
      <c r="H40" s="138"/>
      <c r="I40" s="138"/>
      <c r="J40" s="137"/>
      <c r="K40" s="137"/>
      <c r="L40" s="137"/>
      <c r="M40" s="137"/>
    </row>
    <row r="41" spans="2:29" x14ac:dyDescent="0.2">
      <c r="B41" s="33"/>
      <c r="C41" s="250"/>
      <c r="D41" s="250"/>
      <c r="E41" s="135"/>
      <c r="F41" s="136"/>
      <c r="G41" s="137"/>
      <c r="H41" s="138"/>
      <c r="I41" s="138"/>
      <c r="J41" s="137"/>
      <c r="K41" s="137"/>
      <c r="L41" s="137"/>
      <c r="M41" s="137"/>
      <c r="N41" s="16"/>
      <c r="O41" s="16"/>
      <c r="P41" s="16"/>
      <c r="Q41" s="16"/>
      <c r="R41" s="16"/>
      <c r="S41" s="16"/>
      <c r="T41" s="16"/>
      <c r="U41" s="16"/>
      <c r="V41" s="16"/>
      <c r="W41" s="16"/>
      <c r="X41" s="16"/>
      <c r="Y41" s="16"/>
      <c r="Z41" s="16"/>
      <c r="AA41" s="16"/>
      <c r="AB41" s="16"/>
      <c r="AC41" s="16"/>
    </row>
    <row r="42" spans="2:29" x14ac:dyDescent="0.2">
      <c r="B42" s="139" t="s">
        <v>183</v>
      </c>
      <c r="C42" s="121"/>
      <c r="D42" s="121"/>
      <c r="E42" s="149"/>
      <c r="F42" s="142"/>
      <c r="G42" s="150">
        <f>SUM(G34:G41)</f>
        <v>0</v>
      </c>
      <c r="H42" s="142"/>
      <c r="I42" s="142"/>
      <c r="J42" s="150">
        <f>SUM(J34:J41)</f>
        <v>0</v>
      </c>
      <c r="K42" s="150">
        <f>SUM(K34:K41)</f>
        <v>0</v>
      </c>
      <c r="L42" s="150">
        <f>SUM(L34:L41)</f>
        <v>0</v>
      </c>
      <c r="M42" s="150">
        <f>SUM(M34:M41)</f>
        <v>0</v>
      </c>
    </row>
    <row r="43" spans="2:29" x14ac:dyDescent="0.2">
      <c r="B43" s="139" t="s">
        <v>109</v>
      </c>
      <c r="C43" s="121"/>
      <c r="D43" s="121"/>
      <c r="E43" s="121"/>
      <c r="F43" s="142"/>
      <c r="G43" s="150">
        <f>SUM(G20+G32+G42)</f>
        <v>0</v>
      </c>
      <c r="H43" s="142"/>
      <c r="I43" s="142"/>
      <c r="J43" s="150">
        <f>SUM(J20+J32+J42)</f>
        <v>0</v>
      </c>
      <c r="K43" s="150">
        <f>SUM(K20+K32+K42)</f>
        <v>0</v>
      </c>
      <c r="L43" s="150">
        <f>SUM(L20+L32+L42)</f>
        <v>0</v>
      </c>
      <c r="M43" s="150">
        <f>SUM(M20+M32+M42)</f>
        <v>0</v>
      </c>
    </row>
    <row r="44" spans="2:29" x14ac:dyDescent="0.2">
      <c r="B44" s="16"/>
      <c r="C44" s="16"/>
      <c r="D44" s="16"/>
      <c r="E44" s="16"/>
      <c r="F44" s="16"/>
      <c r="G44" s="16"/>
      <c r="H44" s="16"/>
      <c r="I44" s="16"/>
      <c r="J44" s="16"/>
      <c r="K44" s="16"/>
      <c r="L44" s="16"/>
      <c r="M44" s="16"/>
    </row>
    <row r="45" spans="2:29" x14ac:dyDescent="0.2">
      <c r="F45" s="152"/>
      <c r="G45" s="152"/>
      <c r="J45" s="152"/>
      <c r="K45" s="152"/>
      <c r="L45" s="152"/>
      <c r="M45" s="152"/>
    </row>
    <row r="46" spans="2:29" x14ac:dyDescent="0.2">
      <c r="F46" s="16"/>
      <c r="H46" s="153"/>
      <c r="N46" s="16"/>
    </row>
    <row r="47" spans="2:29" x14ac:dyDescent="0.2">
      <c r="B47" s="16"/>
      <c r="C47" s="16"/>
      <c r="D47" s="16"/>
      <c r="E47" s="16"/>
      <c r="F47" s="16"/>
      <c r="G47" s="16"/>
      <c r="H47" s="16"/>
      <c r="I47" s="16"/>
      <c r="J47" s="16"/>
      <c r="K47" s="16"/>
      <c r="L47" s="16"/>
      <c r="M47" s="16"/>
    </row>
    <row r="48" spans="2:29" x14ac:dyDescent="0.2">
      <c r="B48" s="16"/>
      <c r="C48" s="16"/>
      <c r="D48" s="16"/>
      <c r="E48" s="16"/>
      <c r="F48" s="16"/>
      <c r="G48" s="16"/>
      <c r="H48" s="16"/>
      <c r="I48" s="16"/>
      <c r="J48" s="16"/>
      <c r="K48" s="16"/>
      <c r="L48" s="16"/>
      <c r="M48" s="16"/>
    </row>
  </sheetData>
  <sheetProtection sheet="1"/>
  <mergeCells count="3">
    <mergeCell ref="H6:I6"/>
    <mergeCell ref="J6:K6"/>
    <mergeCell ref="L6:M6"/>
  </mergeCells>
  <phoneticPr fontId="0" type="noConversion"/>
  <pageMargins left="0.25" right="0.34" top="1" bottom="0.5" header="0.5" footer="0.25"/>
  <pageSetup scale="75" orientation="landscape" blackAndWhite="1" horizontalDpi="120" verticalDpi="144" r:id="rId1"/>
  <headerFooter alignWithMargins="0">
    <oddHeader>&amp;RState of Kansas
City</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pageSetUpPr fitToPage="1"/>
  </sheetPr>
  <dimension ref="A1:J30"/>
  <sheetViews>
    <sheetView zoomScale="75" workbookViewId="0">
      <selection activeCell="L17" sqref="L17"/>
    </sheetView>
  </sheetViews>
  <sheetFormatPr defaultColWidth="8.88671875" defaultRowHeight="15.75" x14ac:dyDescent="0.25"/>
  <cols>
    <col min="1" max="1" width="8.88671875" style="2"/>
    <col min="2" max="2" width="23.5546875" style="2" customWidth="1"/>
    <col min="3" max="5" width="9.77734375" style="2" customWidth="1"/>
    <col min="6" max="6" width="18.33203125" style="2" customWidth="1"/>
    <col min="7" max="9" width="15.77734375" style="2" customWidth="1"/>
    <col min="10" max="16384" width="8.88671875" style="2"/>
  </cols>
  <sheetData>
    <row r="1" spans="1:10" x14ac:dyDescent="0.25">
      <c r="A1" s="499"/>
      <c r="B1" s="9">
        <f>inputPrYr!$D$3</f>
        <v>0</v>
      </c>
      <c r="C1" s="4"/>
      <c r="D1" s="4"/>
      <c r="E1" s="4"/>
      <c r="F1" s="4"/>
      <c r="G1" s="4"/>
      <c r="H1" s="4"/>
      <c r="I1" s="5">
        <f>inputPrYr!C6</f>
        <v>2025</v>
      </c>
      <c r="J1" s="499"/>
    </row>
    <row r="2" spans="1:10" x14ac:dyDescent="0.25">
      <c r="A2" s="499"/>
      <c r="B2" s="9"/>
      <c r="C2" s="4"/>
      <c r="D2" s="4"/>
      <c r="E2" s="4"/>
      <c r="F2" s="4"/>
      <c r="G2" s="4"/>
      <c r="H2" s="4"/>
      <c r="I2" s="6"/>
      <c r="J2" s="499"/>
    </row>
    <row r="3" spans="1:10" x14ac:dyDescent="0.25">
      <c r="A3" s="499"/>
      <c r="B3" s="4"/>
      <c r="C3" s="4"/>
      <c r="D3" s="4"/>
      <c r="E3" s="4"/>
      <c r="F3" s="4"/>
      <c r="G3" s="4"/>
      <c r="H3" s="4"/>
      <c r="I3" s="5"/>
      <c r="J3" s="499"/>
    </row>
    <row r="4" spans="1:10" x14ac:dyDescent="0.25">
      <c r="A4" s="499"/>
      <c r="B4" s="10" t="s">
        <v>121</v>
      </c>
      <c r="C4" s="7"/>
      <c r="D4" s="7"/>
      <c r="E4" s="7"/>
      <c r="F4" s="7"/>
      <c r="G4" s="7"/>
      <c r="H4" s="7"/>
      <c r="I4" s="7"/>
      <c r="J4" s="499"/>
    </row>
    <row r="5" spans="1:10" x14ac:dyDescent="0.25">
      <c r="A5" s="499"/>
      <c r="B5" s="3"/>
      <c r="C5" s="11"/>
      <c r="D5" s="11"/>
      <c r="E5" s="11"/>
      <c r="F5" s="11"/>
      <c r="G5" s="11"/>
      <c r="H5" s="11"/>
      <c r="I5" s="11"/>
      <c r="J5" s="499"/>
    </row>
    <row r="6" spans="1:10" x14ac:dyDescent="0.25">
      <c r="A6" s="499"/>
      <c r="B6" s="8"/>
      <c r="C6" s="108"/>
      <c r="D6" s="108"/>
      <c r="E6" s="108"/>
      <c r="F6" s="108" t="s">
        <v>35</v>
      </c>
      <c r="G6" s="108"/>
      <c r="H6" s="108"/>
      <c r="I6" s="108"/>
      <c r="J6" s="499"/>
    </row>
    <row r="7" spans="1:10" x14ac:dyDescent="0.25">
      <c r="A7" s="499"/>
      <c r="B7" s="488"/>
      <c r="C7" s="83"/>
      <c r="D7" s="83" t="s">
        <v>110</v>
      </c>
      <c r="E7" s="83" t="s">
        <v>111</v>
      </c>
      <c r="F7" s="83" t="s">
        <v>53</v>
      </c>
      <c r="G7" s="83" t="s">
        <v>113</v>
      </c>
      <c r="H7" s="83" t="s">
        <v>114</v>
      </c>
      <c r="I7" s="83" t="s">
        <v>114</v>
      </c>
      <c r="J7" s="499"/>
    </row>
    <row r="8" spans="1:10" x14ac:dyDescent="0.25">
      <c r="A8" s="499"/>
      <c r="B8" s="83" t="s">
        <v>437</v>
      </c>
      <c r="C8" s="83" t="s">
        <v>115</v>
      </c>
      <c r="D8" s="83" t="s">
        <v>116</v>
      </c>
      <c r="E8" s="83" t="s">
        <v>100</v>
      </c>
      <c r="F8" s="83" t="s">
        <v>117</v>
      </c>
      <c r="G8" s="83" t="s">
        <v>136</v>
      </c>
      <c r="H8" s="83" t="s">
        <v>118</v>
      </c>
      <c r="I8" s="83" t="s">
        <v>118</v>
      </c>
      <c r="J8" s="499"/>
    </row>
    <row r="9" spans="1:10" x14ac:dyDescent="0.25">
      <c r="A9" s="499"/>
      <c r="B9" s="86" t="s">
        <v>436</v>
      </c>
      <c r="C9" s="86" t="s">
        <v>97</v>
      </c>
      <c r="D9" s="489" t="s">
        <v>119</v>
      </c>
      <c r="E9" s="86" t="s">
        <v>77</v>
      </c>
      <c r="F9" s="489" t="s">
        <v>145</v>
      </c>
      <c r="G9" s="490" t="str">
        <f>CONCATENATE("Jan 1,",I1-1,"")</f>
        <v>Jan 1,2024</v>
      </c>
      <c r="H9" s="86">
        <f>I1-1</f>
        <v>2024</v>
      </c>
      <c r="I9" s="86">
        <f>I1</f>
        <v>2025</v>
      </c>
      <c r="J9" s="499"/>
    </row>
    <row r="10" spans="1:10" x14ac:dyDescent="0.25">
      <c r="A10" s="499"/>
      <c r="B10" s="33"/>
      <c r="C10" s="250"/>
      <c r="D10" s="492"/>
      <c r="E10" s="135"/>
      <c r="F10" s="136"/>
      <c r="G10" s="136"/>
      <c r="H10" s="136"/>
      <c r="I10" s="136"/>
      <c r="J10" s="499"/>
    </row>
    <row r="11" spans="1:10" x14ac:dyDescent="0.25">
      <c r="A11" s="499"/>
      <c r="B11" s="33"/>
      <c r="C11" s="250"/>
      <c r="D11" s="492"/>
      <c r="E11" s="135"/>
      <c r="F11" s="136"/>
      <c r="G11" s="136"/>
      <c r="H11" s="136"/>
      <c r="I11" s="136"/>
      <c r="J11" s="499"/>
    </row>
    <row r="12" spans="1:10" x14ac:dyDescent="0.25">
      <c r="A12" s="499"/>
      <c r="B12" s="33"/>
      <c r="C12" s="250"/>
      <c r="D12" s="492"/>
      <c r="E12" s="135"/>
      <c r="F12" s="136"/>
      <c r="G12" s="136"/>
      <c r="H12" s="136"/>
      <c r="I12" s="136"/>
      <c r="J12" s="499"/>
    </row>
    <row r="13" spans="1:10" x14ac:dyDescent="0.25">
      <c r="A13" s="499"/>
      <c r="B13" s="33"/>
      <c r="C13" s="250"/>
      <c r="D13" s="492"/>
      <c r="E13" s="135"/>
      <c r="F13" s="136"/>
      <c r="G13" s="136"/>
      <c r="H13" s="136"/>
      <c r="I13" s="136"/>
      <c r="J13" s="499"/>
    </row>
    <row r="14" spans="1:10" x14ac:dyDescent="0.25">
      <c r="A14" s="499"/>
      <c r="B14" s="33"/>
      <c r="C14" s="250"/>
      <c r="D14" s="492"/>
      <c r="E14" s="135"/>
      <c r="F14" s="136"/>
      <c r="G14" s="136"/>
      <c r="H14" s="136"/>
      <c r="I14" s="136"/>
      <c r="J14" s="499"/>
    </row>
    <row r="15" spans="1:10" x14ac:dyDescent="0.25">
      <c r="A15" s="499"/>
      <c r="B15" s="33"/>
      <c r="C15" s="250"/>
      <c r="D15" s="492"/>
      <c r="E15" s="135"/>
      <c r="F15" s="136"/>
      <c r="G15" s="136"/>
      <c r="H15" s="136"/>
      <c r="I15" s="136"/>
      <c r="J15" s="499"/>
    </row>
    <row r="16" spans="1:10" x14ac:dyDescent="0.25">
      <c r="A16" s="499"/>
      <c r="B16" s="33"/>
      <c r="C16" s="250"/>
      <c r="D16" s="492"/>
      <c r="E16" s="135"/>
      <c r="F16" s="136"/>
      <c r="G16" s="136"/>
      <c r="H16" s="136"/>
      <c r="I16" s="136"/>
      <c r="J16" s="499"/>
    </row>
    <row r="17" spans="1:10" x14ac:dyDescent="0.25">
      <c r="A17" s="499"/>
      <c r="B17" s="33"/>
      <c r="C17" s="250"/>
      <c r="D17" s="492"/>
      <c r="E17" s="135"/>
      <c r="F17" s="136"/>
      <c r="G17" s="136"/>
      <c r="H17" s="136"/>
      <c r="I17" s="136"/>
      <c r="J17" s="499"/>
    </row>
    <row r="18" spans="1:10" x14ac:dyDescent="0.25">
      <c r="A18" s="499"/>
      <c r="B18" s="33"/>
      <c r="C18" s="250"/>
      <c r="D18" s="492"/>
      <c r="E18" s="135"/>
      <c r="F18" s="136"/>
      <c r="G18" s="136"/>
      <c r="H18" s="136"/>
      <c r="I18" s="136"/>
      <c r="J18" s="499"/>
    </row>
    <row r="19" spans="1:10" x14ac:dyDescent="0.25">
      <c r="A19" s="499"/>
      <c r="B19" s="33"/>
      <c r="C19" s="250"/>
      <c r="D19" s="492"/>
      <c r="E19" s="135"/>
      <c r="F19" s="136"/>
      <c r="G19" s="136"/>
      <c r="H19" s="136"/>
      <c r="I19" s="136"/>
      <c r="J19" s="499"/>
    </row>
    <row r="20" spans="1:10" x14ac:dyDescent="0.25">
      <c r="A20" s="499"/>
      <c r="B20" s="33"/>
      <c r="C20" s="250"/>
      <c r="D20" s="492"/>
      <c r="E20" s="135"/>
      <c r="F20" s="136"/>
      <c r="G20" s="136"/>
      <c r="H20" s="136"/>
      <c r="I20" s="136"/>
      <c r="J20" s="499"/>
    </row>
    <row r="21" spans="1:10" x14ac:dyDescent="0.25">
      <c r="A21" s="499"/>
      <c r="B21" s="33"/>
      <c r="C21" s="250"/>
      <c r="D21" s="492"/>
      <c r="E21" s="135"/>
      <c r="F21" s="136"/>
      <c r="G21" s="136"/>
      <c r="H21" s="136"/>
      <c r="I21" s="136"/>
      <c r="J21" s="499"/>
    </row>
    <row r="22" spans="1:10" x14ac:dyDescent="0.25">
      <c r="A22" s="499"/>
      <c r="B22" s="33"/>
      <c r="C22" s="250"/>
      <c r="D22" s="492"/>
      <c r="E22" s="135"/>
      <c r="F22" s="136"/>
      <c r="G22" s="136"/>
      <c r="H22" s="136"/>
      <c r="I22" s="136"/>
      <c r="J22" s="499"/>
    </row>
    <row r="23" spans="1:10" x14ac:dyDescent="0.25">
      <c r="A23" s="499"/>
      <c r="B23" s="33"/>
      <c r="C23" s="250"/>
      <c r="D23" s="492"/>
      <c r="E23" s="135"/>
      <c r="F23" s="136"/>
      <c r="G23" s="136"/>
      <c r="H23" s="136"/>
      <c r="I23" s="136"/>
      <c r="J23" s="499"/>
    </row>
    <row r="24" spans="1:10" x14ac:dyDescent="0.25">
      <c r="A24" s="499"/>
      <c r="B24" s="33"/>
      <c r="C24" s="250"/>
      <c r="D24" s="492"/>
      <c r="E24" s="135"/>
      <c r="F24" s="136"/>
      <c r="G24" s="136"/>
      <c r="H24" s="136"/>
      <c r="I24" s="136"/>
      <c r="J24" s="499"/>
    </row>
    <row r="25" spans="1:10" x14ac:dyDescent="0.25">
      <c r="A25" s="499"/>
      <c r="B25" s="33"/>
      <c r="C25" s="250"/>
      <c r="D25" s="492"/>
      <c r="E25" s="135"/>
      <c r="F25" s="136"/>
      <c r="G25" s="136"/>
      <c r="H25" s="136"/>
      <c r="I25" s="136"/>
      <c r="J25" s="499"/>
    </row>
    <row r="26" spans="1:10" x14ac:dyDescent="0.25">
      <c r="A26" s="499"/>
      <c r="B26" s="33"/>
      <c r="C26" s="250"/>
      <c r="D26" s="492"/>
      <c r="E26" s="135"/>
      <c r="F26" s="136"/>
      <c r="G26" s="136"/>
      <c r="H26" s="136"/>
      <c r="I26" s="136"/>
      <c r="J26" s="499"/>
    </row>
    <row r="27" spans="1:10" x14ac:dyDescent="0.25">
      <c r="A27" s="499"/>
      <c r="B27" s="33"/>
      <c r="C27" s="250"/>
      <c r="D27" s="492"/>
      <c r="E27" s="135"/>
      <c r="F27" s="136"/>
      <c r="G27" s="136"/>
      <c r="H27" s="136"/>
      <c r="I27" s="136"/>
      <c r="J27" s="499"/>
    </row>
    <row r="28" spans="1:10" ht="16.5" thickBot="1" x14ac:dyDescent="0.3">
      <c r="A28" s="499"/>
      <c r="B28" s="12"/>
      <c r="C28" s="13"/>
      <c r="D28" s="13"/>
      <c r="E28" s="13"/>
      <c r="F28" s="104" t="s">
        <v>48</v>
      </c>
      <c r="G28" s="491">
        <f>SUM(G10:G27)</f>
        <v>0</v>
      </c>
      <c r="H28" s="491">
        <f>SUM(H10:H27)</f>
        <v>0</v>
      </c>
      <c r="I28" s="491">
        <f>SUM(I10:I27)</f>
        <v>0</v>
      </c>
      <c r="J28" s="499"/>
    </row>
    <row r="29" spans="1:10" ht="16.5" thickTop="1" x14ac:dyDescent="0.25">
      <c r="A29" s="499"/>
      <c r="B29" s="4"/>
      <c r="C29" s="4"/>
      <c r="D29" s="4"/>
      <c r="E29" s="4"/>
      <c r="F29" s="4"/>
      <c r="G29" s="4"/>
      <c r="H29" s="9"/>
      <c r="I29" s="9"/>
      <c r="J29" s="499"/>
    </row>
    <row r="30" spans="1:10" x14ac:dyDescent="0.25">
      <c r="A30" s="499"/>
      <c r="B30" s="14" t="s">
        <v>646</v>
      </c>
      <c r="C30" s="15"/>
      <c r="D30" s="15"/>
      <c r="E30" s="15"/>
      <c r="F30" s="15"/>
      <c r="G30" s="15"/>
      <c r="H30" s="9"/>
      <c r="I30" s="9"/>
      <c r="J30" s="499"/>
    </row>
  </sheetData>
  <sheetProtection sheet="1"/>
  <phoneticPr fontId="0" type="noConversion"/>
  <pageMargins left="0.84" right="0.25" top="1" bottom="0.5" header="0.49" footer="0.5"/>
  <pageSetup scale="85" orientation="landscape" blackAndWhite="1" horizontalDpi="120" verticalDpi="144" r:id="rId1"/>
  <headerFooter alignWithMargins="0">
    <oddHeader>&amp;RState of Kansas
City</oddHeader>
    <oddFooter>&amp;CPage No.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B1:I106"/>
  <sheetViews>
    <sheetView topLeftCell="A10" zoomScaleNormal="100" workbookViewId="0">
      <selection activeCell="A11" sqref="A11"/>
    </sheetView>
  </sheetViews>
  <sheetFormatPr defaultColWidth="8.88671875" defaultRowHeight="15" x14ac:dyDescent="0.2"/>
  <cols>
    <col min="1" max="1" width="2.5546875" style="467" customWidth="1"/>
    <col min="2" max="4" width="8.88671875" style="467"/>
    <col min="5" max="5" width="9.6640625" style="467" customWidth="1"/>
    <col min="6" max="6" width="8.88671875" style="467"/>
    <col min="7" max="7" width="9.6640625" style="467" customWidth="1"/>
    <col min="8" max="16384" width="8.88671875" style="467"/>
  </cols>
  <sheetData>
    <row r="1" spans="2:9" ht="15.75" x14ac:dyDescent="0.25">
      <c r="B1" s="466"/>
      <c r="C1" s="466"/>
      <c r="D1" s="466"/>
      <c r="E1" s="466"/>
      <c r="F1" s="466"/>
      <c r="G1" s="466"/>
      <c r="H1" s="466"/>
      <c r="I1" s="466"/>
    </row>
    <row r="2" spans="2:9" ht="15.75" x14ac:dyDescent="0.2">
      <c r="B2" s="856" t="s">
        <v>382</v>
      </c>
      <c r="C2" s="856"/>
      <c r="D2" s="856"/>
      <c r="E2" s="856"/>
      <c r="F2" s="856"/>
      <c r="G2" s="856"/>
      <c r="H2" s="856"/>
      <c r="I2" s="856"/>
    </row>
    <row r="3" spans="2:9" ht="15.75" x14ac:dyDescent="0.2">
      <c r="B3" s="856" t="s">
        <v>383</v>
      </c>
      <c r="C3" s="856"/>
      <c r="D3" s="856"/>
      <c r="E3" s="856"/>
      <c r="F3" s="856"/>
      <c r="G3" s="856"/>
      <c r="H3" s="856"/>
      <c r="I3" s="856"/>
    </row>
    <row r="4" spans="2:9" ht="15.75" x14ac:dyDescent="0.2">
      <c r="B4" s="418"/>
      <c r="C4" s="418"/>
      <c r="D4" s="418"/>
      <c r="E4" s="418"/>
      <c r="F4" s="418"/>
      <c r="G4" s="418"/>
      <c r="H4" s="418"/>
      <c r="I4" s="418"/>
    </row>
    <row r="5" spans="2:9" ht="15.75" x14ac:dyDescent="0.2">
      <c r="B5" s="857" t="str">
        <f>CONCATENATE("Budgeted Year: ",inputPrYr!C6,"")</f>
        <v>Budgeted Year: 2025</v>
      </c>
      <c r="C5" s="857"/>
      <c r="D5" s="857"/>
      <c r="E5" s="857"/>
      <c r="F5" s="857"/>
      <c r="G5" s="857"/>
      <c r="H5" s="857"/>
      <c r="I5" s="857"/>
    </row>
    <row r="6" spans="2:9" ht="15.75" x14ac:dyDescent="0.2">
      <c r="B6" s="468"/>
      <c r="C6" s="418"/>
      <c r="D6" s="418"/>
      <c r="E6" s="418"/>
      <c r="F6" s="418"/>
      <c r="G6" s="418"/>
      <c r="H6" s="418"/>
      <c r="I6" s="418"/>
    </row>
    <row r="7" spans="2:9" ht="15.75" x14ac:dyDescent="0.2">
      <c r="B7" s="468" t="str">
        <f>CONCATENATE("Library found in: ",inputPrYr!D3,"")</f>
        <v xml:space="preserve">Library found in: </v>
      </c>
      <c r="C7" s="418"/>
      <c r="D7" s="418"/>
      <c r="E7" s="418"/>
      <c r="F7" s="418"/>
      <c r="G7" s="418"/>
      <c r="H7" s="418"/>
      <c r="I7" s="418"/>
    </row>
    <row r="8" spans="2:9" ht="15.75" x14ac:dyDescent="0.2">
      <c r="B8" s="468">
        <f>inputPrYr!D4</f>
        <v>0</v>
      </c>
      <c r="C8" s="418"/>
      <c r="D8" s="418"/>
      <c r="E8" s="418"/>
      <c r="F8" s="418"/>
      <c r="G8" s="418"/>
      <c r="H8" s="418"/>
      <c r="I8" s="418"/>
    </row>
    <row r="9" spans="2:9" ht="15.75" x14ac:dyDescent="0.2">
      <c r="B9" s="418"/>
      <c r="C9" s="418"/>
      <c r="D9" s="418"/>
      <c r="E9" s="418"/>
      <c r="F9" s="418"/>
      <c r="G9" s="418"/>
      <c r="H9" s="418"/>
      <c r="I9" s="418"/>
    </row>
    <row r="10" spans="2:9" ht="39" customHeight="1" x14ac:dyDescent="0.2">
      <c r="B10" s="858" t="s">
        <v>647</v>
      </c>
      <c r="C10" s="858"/>
      <c r="D10" s="858"/>
      <c r="E10" s="858"/>
      <c r="F10" s="858"/>
      <c r="G10" s="858"/>
      <c r="H10" s="858"/>
      <c r="I10" s="858"/>
    </row>
    <row r="11" spans="2:9" ht="15.75" x14ac:dyDescent="0.2">
      <c r="B11" s="418"/>
      <c r="C11" s="418"/>
      <c r="D11" s="418"/>
      <c r="E11" s="418"/>
      <c r="F11" s="418"/>
      <c r="G11" s="418"/>
      <c r="H11" s="418"/>
      <c r="I11" s="418"/>
    </row>
    <row r="12" spans="2:9" ht="15.75" x14ac:dyDescent="0.2">
      <c r="B12" s="469" t="s">
        <v>384</v>
      </c>
      <c r="C12" s="418"/>
      <c r="D12" s="418"/>
      <c r="E12" s="418"/>
      <c r="F12" s="418"/>
      <c r="G12" s="418"/>
      <c r="H12" s="418"/>
      <c r="I12" s="418"/>
    </row>
    <row r="13" spans="2:9" ht="15.75" x14ac:dyDescent="0.2">
      <c r="B13" s="418"/>
      <c r="C13" s="418"/>
      <c r="D13" s="418"/>
      <c r="E13" s="470" t="s">
        <v>385</v>
      </c>
      <c r="F13" s="418"/>
      <c r="G13" s="470" t="s">
        <v>386</v>
      </c>
      <c r="H13" s="418"/>
      <c r="I13" s="418"/>
    </row>
    <row r="14" spans="2:9" ht="15.75" x14ac:dyDescent="0.2">
      <c r="B14" s="418"/>
      <c r="C14" s="418"/>
      <c r="D14" s="418"/>
      <c r="E14" s="471">
        <f>inputPrYr!C6-1</f>
        <v>2024</v>
      </c>
      <c r="F14" s="418"/>
      <c r="G14" s="471">
        <f>inputPrYr!C6</f>
        <v>2025</v>
      </c>
      <c r="H14" s="418"/>
      <c r="I14" s="418"/>
    </row>
    <row r="15" spans="2:9" ht="15.75" x14ac:dyDescent="0.2">
      <c r="B15" s="468" t="str">
        <f>'Library-Rec'!B8</f>
        <v>Ad Valorem Tax</v>
      </c>
      <c r="C15" s="418"/>
      <c r="D15" s="418"/>
      <c r="E15" s="472">
        <f>'Library-Rec'!D8</f>
        <v>0</v>
      </c>
      <c r="F15" s="418"/>
      <c r="G15" s="472">
        <f>'Library-Rec'!E40</f>
        <v>0</v>
      </c>
      <c r="H15" s="418"/>
      <c r="I15" s="418"/>
    </row>
    <row r="16" spans="2:9" ht="15.75" x14ac:dyDescent="0.2">
      <c r="B16" s="468" t="str">
        <f>'Library-Rec'!B9</f>
        <v>Delinquent Tax</v>
      </c>
      <c r="C16" s="418"/>
      <c r="D16" s="418"/>
      <c r="E16" s="472">
        <f>'Library-Rec'!D9</f>
        <v>0</v>
      </c>
      <c r="F16" s="418"/>
      <c r="G16" s="472">
        <f>'Library-Rec'!E9</f>
        <v>0</v>
      </c>
      <c r="H16" s="418"/>
      <c r="I16" s="418"/>
    </row>
    <row r="17" spans="2:9" ht="15.75" x14ac:dyDescent="0.2">
      <c r="B17" s="468" t="str">
        <f>'Library-Rec'!B10</f>
        <v>Motor Vehicle Tax</v>
      </c>
      <c r="C17" s="418"/>
      <c r="D17" s="418"/>
      <c r="E17" s="472">
        <f>'Library-Rec'!D10</f>
        <v>0</v>
      </c>
      <c r="F17" s="418"/>
      <c r="G17" s="472" t="str">
        <f>'Library-Rec'!E10</f>
        <v xml:space="preserve">  </v>
      </c>
      <c r="H17" s="418"/>
      <c r="I17" s="418"/>
    </row>
    <row r="18" spans="2:9" ht="15.75" x14ac:dyDescent="0.2">
      <c r="B18" s="468" t="str">
        <f>'Library-Rec'!B11</f>
        <v>Recreational Vehicle Tax</v>
      </c>
      <c r="C18" s="418"/>
      <c r="D18" s="418"/>
      <c r="E18" s="472">
        <f>'Library-Rec'!D11</f>
        <v>0</v>
      </c>
      <c r="F18" s="418"/>
      <c r="G18" s="472" t="str">
        <f>'Library-Rec'!E11</f>
        <v xml:space="preserve"> </v>
      </c>
      <c r="H18" s="418"/>
      <c r="I18" s="418"/>
    </row>
    <row r="19" spans="2:9" ht="15.75" x14ac:dyDescent="0.2">
      <c r="B19" s="468" t="str">
        <f>'Library-Rec'!B12</f>
        <v>16/20M Vehicle Tax</v>
      </c>
      <c r="C19" s="418"/>
      <c r="D19" s="418"/>
      <c r="E19" s="472">
        <f>'Library-Rec'!D12</f>
        <v>0</v>
      </c>
      <c r="F19" s="418"/>
      <c r="G19" s="472" t="str">
        <f>'Library-Rec'!E12</f>
        <v xml:space="preserve"> </v>
      </c>
      <c r="H19" s="418"/>
      <c r="I19" s="418"/>
    </row>
    <row r="20" spans="2:9" ht="15.75" x14ac:dyDescent="0.2">
      <c r="B20" s="418" t="s">
        <v>387</v>
      </c>
      <c r="C20" s="418"/>
      <c r="D20" s="418"/>
      <c r="E20" s="473">
        <f>SUM(E15:E19)</f>
        <v>0</v>
      </c>
      <c r="F20" s="418"/>
      <c r="G20" s="473">
        <f>SUM(G15:G19)</f>
        <v>0</v>
      </c>
      <c r="H20" s="418"/>
      <c r="I20" s="418"/>
    </row>
    <row r="21" spans="2:9" ht="15.75" x14ac:dyDescent="0.2">
      <c r="B21" s="418" t="s">
        <v>388</v>
      </c>
      <c r="C21" s="418"/>
      <c r="D21" s="418"/>
      <c r="E21" s="474">
        <f>G20-E20</f>
        <v>0</v>
      </c>
      <c r="F21" s="418"/>
      <c r="G21" s="472"/>
      <c r="H21" s="418"/>
      <c r="I21" s="418"/>
    </row>
    <row r="22" spans="2:9" ht="15.75" x14ac:dyDescent="0.2">
      <c r="B22" s="418" t="s">
        <v>389</v>
      </c>
      <c r="C22" s="418"/>
      <c r="D22" s="475" t="str">
        <f>IF((G20-E20)&gt;=0,"Qualify","Not Qualify")</f>
        <v>Qualify</v>
      </c>
      <c r="E22" s="418"/>
      <c r="F22" s="418"/>
      <c r="G22" s="418"/>
      <c r="H22" s="418"/>
      <c r="I22" s="418"/>
    </row>
    <row r="23" spans="2:9" ht="15.75" x14ac:dyDescent="0.2">
      <c r="B23" s="418"/>
      <c r="C23" s="418"/>
      <c r="D23" s="418"/>
      <c r="E23" s="418"/>
      <c r="F23" s="418"/>
      <c r="G23" s="418"/>
      <c r="H23" s="418"/>
      <c r="I23" s="418"/>
    </row>
    <row r="24" spans="2:9" ht="15.75" x14ac:dyDescent="0.2">
      <c r="B24" s="469" t="s">
        <v>390</v>
      </c>
      <c r="C24" s="418"/>
      <c r="D24" s="418"/>
      <c r="E24" s="418"/>
      <c r="F24" s="418"/>
      <c r="G24" s="418"/>
      <c r="H24" s="418"/>
      <c r="I24" s="418"/>
    </row>
    <row r="25" spans="2:9" ht="15.75" x14ac:dyDescent="0.2">
      <c r="B25" s="418" t="s">
        <v>391</v>
      </c>
      <c r="C25" s="418"/>
      <c r="D25" s="418"/>
      <c r="E25" s="472">
        <f>'Budget Hearing Notice'!D60</f>
        <v>0</v>
      </c>
      <c r="F25" s="418"/>
      <c r="G25" s="472">
        <f>'Budget Hearing Notice'!F60</f>
        <v>0</v>
      </c>
      <c r="H25" s="418"/>
      <c r="I25" s="418"/>
    </row>
    <row r="26" spans="2:9" ht="15.75" x14ac:dyDescent="0.2">
      <c r="B26" s="418" t="s">
        <v>392</v>
      </c>
      <c r="C26" s="418"/>
      <c r="D26" s="418"/>
      <c r="E26" s="476" t="str">
        <f>IF(G25-E25&gt;=0,"No","Yes")</f>
        <v>No</v>
      </c>
      <c r="F26" s="418"/>
      <c r="G26" s="418"/>
      <c r="H26" s="418"/>
      <c r="I26" s="418"/>
    </row>
    <row r="27" spans="2:9" ht="15.75" x14ac:dyDescent="0.2">
      <c r="B27" s="418" t="s">
        <v>393</v>
      </c>
      <c r="C27" s="418"/>
      <c r="D27" s="418"/>
      <c r="E27" s="470" t="str">
        <f>'Budget Hearing Notice'!E17</f>
        <v xml:space="preserve">  </v>
      </c>
      <c r="F27" s="418"/>
      <c r="G27" s="477" t="str">
        <f>'Budget Hearing Notice'!H17</f>
        <v/>
      </c>
      <c r="H27" s="418"/>
      <c r="I27" s="418"/>
    </row>
    <row r="28" spans="2:9" ht="15.75" x14ac:dyDescent="0.2">
      <c r="B28" s="418" t="s">
        <v>394</v>
      </c>
      <c r="C28" s="418"/>
      <c r="D28" s="418"/>
      <c r="E28" s="478" t="e">
        <f>G27-E27</f>
        <v>#VALUE!</v>
      </c>
      <c r="F28" s="418"/>
      <c r="G28" s="418"/>
      <c r="H28" s="418"/>
      <c r="I28" s="418"/>
    </row>
    <row r="29" spans="2:9" ht="15.75" x14ac:dyDescent="0.2">
      <c r="B29" s="418" t="s">
        <v>389</v>
      </c>
      <c r="C29" s="418"/>
      <c r="D29" s="479" t="e">
        <f>IF(E28&gt;=0,"Qualify","Not Qualify")</f>
        <v>#VALUE!</v>
      </c>
      <c r="E29" s="418"/>
      <c r="F29" s="418"/>
      <c r="G29" s="418"/>
      <c r="H29" s="418"/>
      <c r="I29" s="418"/>
    </row>
    <row r="30" spans="2:9" ht="15.75" x14ac:dyDescent="0.2">
      <c r="B30" s="418"/>
      <c r="C30" s="418"/>
      <c r="D30" s="418"/>
      <c r="E30" s="418"/>
      <c r="F30" s="418"/>
      <c r="G30" s="418"/>
      <c r="H30" s="418"/>
      <c r="I30" s="418"/>
    </row>
    <row r="31" spans="2:9" ht="15.75" x14ac:dyDescent="0.2">
      <c r="B31" s="418" t="s">
        <v>395</v>
      </c>
      <c r="C31" s="418"/>
      <c r="D31" s="418"/>
      <c r="E31" s="418"/>
      <c r="F31" s="480" t="str">
        <f>IF(D22="Not Qualify",IF(D29="Not Qualify",IF(D29="Not Qualify","Not Qualify","Qualify"),"Qualify"),"Qualify")</f>
        <v>Qualify</v>
      </c>
      <c r="G31" s="418"/>
      <c r="H31" s="418"/>
      <c r="I31" s="418"/>
    </row>
    <row r="32" spans="2:9" ht="15.75" x14ac:dyDescent="0.2">
      <c r="B32" s="418"/>
      <c r="C32" s="418"/>
      <c r="D32" s="418"/>
      <c r="E32" s="418"/>
      <c r="F32" s="418"/>
      <c r="G32" s="418"/>
      <c r="H32" s="418"/>
      <c r="I32" s="418"/>
    </row>
    <row r="33" spans="2:9" ht="15.75" x14ac:dyDescent="0.2">
      <c r="B33" s="418"/>
      <c r="C33" s="418"/>
      <c r="D33" s="418"/>
      <c r="E33" s="418"/>
      <c r="F33" s="418"/>
      <c r="G33" s="418"/>
      <c r="H33" s="418"/>
      <c r="I33" s="418"/>
    </row>
    <row r="34" spans="2:9" ht="15.75" x14ac:dyDescent="0.2">
      <c r="B34" s="858" t="s">
        <v>396</v>
      </c>
      <c r="C34" s="858"/>
      <c r="D34" s="858"/>
      <c r="E34" s="858"/>
      <c r="F34" s="858"/>
      <c r="G34" s="858"/>
      <c r="H34" s="858"/>
      <c r="I34" s="858"/>
    </row>
    <row r="35" spans="2:9" ht="15.75" x14ac:dyDescent="0.2">
      <c r="B35" s="418"/>
      <c r="C35" s="418"/>
      <c r="D35" s="418"/>
      <c r="E35" s="418"/>
      <c r="F35" s="418"/>
      <c r="G35" s="418"/>
      <c r="H35" s="418"/>
      <c r="I35" s="418"/>
    </row>
    <row r="36" spans="2:9" ht="37.5" customHeight="1" x14ac:dyDescent="0.2">
      <c r="B36" s="418"/>
      <c r="C36" s="418"/>
      <c r="D36" s="418"/>
      <c r="E36" s="418"/>
      <c r="F36" s="418"/>
      <c r="G36" s="418"/>
      <c r="H36" s="418"/>
      <c r="I36" s="418"/>
    </row>
    <row r="37" spans="2:9" ht="15.75" x14ac:dyDescent="0.2">
      <c r="B37" s="418"/>
      <c r="C37" s="418"/>
      <c r="D37" s="418"/>
      <c r="E37" s="418"/>
      <c r="F37" s="418"/>
      <c r="G37" s="418"/>
      <c r="H37" s="418"/>
      <c r="I37" s="418"/>
    </row>
    <row r="38" spans="2:9" ht="15.75" x14ac:dyDescent="0.2">
      <c r="B38" s="418"/>
      <c r="C38" s="418"/>
      <c r="D38" s="418"/>
      <c r="E38" s="481" t="s">
        <v>70</v>
      </c>
      <c r="F38" s="482">
        <v>7</v>
      </c>
      <c r="G38" s="418"/>
      <c r="H38" s="418"/>
      <c r="I38" s="418"/>
    </row>
    <row r="39" spans="2:9" ht="15.75" x14ac:dyDescent="0.2">
      <c r="B39" s="418"/>
      <c r="C39" s="418"/>
      <c r="D39" s="418"/>
      <c r="E39" s="418"/>
      <c r="F39" s="418"/>
      <c r="G39" s="418"/>
      <c r="H39" s="418"/>
      <c r="I39" s="418"/>
    </row>
    <row r="40" spans="2:9" ht="15.75" x14ac:dyDescent="0.2">
      <c r="B40" s="418"/>
      <c r="C40" s="418"/>
      <c r="D40" s="418"/>
      <c r="E40" s="418"/>
      <c r="F40" s="418"/>
      <c r="G40" s="418"/>
      <c r="H40" s="418"/>
      <c r="I40" s="418"/>
    </row>
    <row r="41" spans="2:9" ht="15.75" x14ac:dyDescent="0.25">
      <c r="B41" s="854" t="s">
        <v>397</v>
      </c>
      <c r="C41" s="855"/>
      <c r="D41" s="855"/>
      <c r="E41" s="855"/>
      <c r="F41" s="855"/>
      <c r="G41" s="855"/>
      <c r="H41" s="855"/>
      <c r="I41" s="855"/>
    </row>
    <row r="42" spans="2:9" ht="15.75" x14ac:dyDescent="0.2">
      <c r="B42" s="418"/>
      <c r="C42" s="418"/>
      <c r="D42" s="418"/>
      <c r="E42" s="418"/>
      <c r="F42" s="418"/>
      <c r="G42" s="418"/>
      <c r="H42" s="418"/>
      <c r="I42" s="418"/>
    </row>
    <row r="43" spans="2:9" ht="15.75" x14ac:dyDescent="0.25">
      <c r="B43" s="483" t="s">
        <v>398</v>
      </c>
      <c r="C43" s="418"/>
      <c r="D43" s="418"/>
      <c r="E43" s="418"/>
      <c r="F43" s="418"/>
      <c r="G43" s="418"/>
      <c r="H43" s="418"/>
      <c r="I43" s="418"/>
    </row>
    <row r="44" spans="2:9" ht="15.75" x14ac:dyDescent="0.25">
      <c r="B44" s="483" t="str">
        <f>CONCATENATE("sources in your ",G14," library fund is not equal to or greater than the amount from the same")</f>
        <v>sources in your 2025 library fund is not equal to or greater than the amount from the same</v>
      </c>
      <c r="C44" s="418"/>
      <c r="D44" s="418"/>
      <c r="E44" s="418"/>
      <c r="F44" s="418"/>
      <c r="G44" s="418"/>
      <c r="H44" s="418"/>
      <c r="I44" s="418"/>
    </row>
    <row r="45" spans="2:9" ht="15.75" x14ac:dyDescent="0.25">
      <c r="B45" s="483" t="str">
        <f>CONCATENATE("sources in ",E14,".")</f>
        <v>sources in 2024.</v>
      </c>
      <c r="C45" s="466"/>
      <c r="D45" s="466"/>
      <c r="E45" s="466"/>
      <c r="F45" s="466"/>
      <c r="G45" s="466"/>
      <c r="H45" s="466"/>
      <c r="I45" s="466"/>
    </row>
    <row r="46" spans="2:9" ht="15.75" x14ac:dyDescent="0.25">
      <c r="B46" s="466"/>
      <c r="C46" s="466"/>
      <c r="D46" s="466"/>
      <c r="E46" s="466"/>
      <c r="F46" s="466"/>
      <c r="G46" s="466"/>
      <c r="H46" s="466"/>
      <c r="I46" s="466"/>
    </row>
    <row r="47" spans="2:9" ht="15.75" x14ac:dyDescent="0.25">
      <c r="B47" s="483" t="s">
        <v>399</v>
      </c>
      <c r="C47" s="483"/>
      <c r="D47" s="484"/>
      <c r="E47" s="484"/>
      <c r="F47" s="484"/>
      <c r="G47" s="484"/>
      <c r="H47" s="484"/>
      <c r="I47" s="484"/>
    </row>
    <row r="48" spans="2:9" ht="15.75" x14ac:dyDescent="0.25">
      <c r="B48" s="483" t="s">
        <v>400</v>
      </c>
      <c r="C48" s="483"/>
      <c r="D48" s="484"/>
      <c r="E48" s="484"/>
      <c r="F48" s="484"/>
      <c r="G48" s="484"/>
      <c r="H48" s="484"/>
      <c r="I48" s="484"/>
    </row>
    <row r="49" spans="2:9" ht="15.75" x14ac:dyDescent="0.25">
      <c r="B49" s="483" t="s">
        <v>401</v>
      </c>
      <c r="C49" s="483"/>
      <c r="D49" s="484"/>
      <c r="E49" s="484"/>
      <c r="F49" s="484"/>
      <c r="G49" s="484"/>
      <c r="H49" s="484"/>
      <c r="I49" s="484"/>
    </row>
    <row r="50" spans="2:9" x14ac:dyDescent="0.2">
      <c r="B50" s="484"/>
      <c r="C50" s="484"/>
      <c r="D50" s="484"/>
      <c r="E50" s="484"/>
      <c r="F50" s="484"/>
      <c r="G50" s="484"/>
      <c r="H50" s="484"/>
      <c r="I50" s="484"/>
    </row>
    <row r="51" spans="2:9" ht="15.75" x14ac:dyDescent="0.25">
      <c r="B51" s="485" t="s">
        <v>402</v>
      </c>
      <c r="C51" s="484"/>
      <c r="D51" s="484"/>
      <c r="E51" s="484"/>
      <c r="F51" s="484"/>
      <c r="G51" s="484"/>
      <c r="H51" s="484"/>
      <c r="I51" s="484"/>
    </row>
    <row r="52" spans="2:9" x14ac:dyDescent="0.2">
      <c r="B52" s="484"/>
      <c r="C52" s="484"/>
      <c r="D52" s="484"/>
      <c r="E52" s="484"/>
      <c r="F52" s="484"/>
      <c r="G52" s="484"/>
      <c r="H52" s="484"/>
      <c r="I52" s="484"/>
    </row>
    <row r="53" spans="2:9" ht="15.75" x14ac:dyDescent="0.25">
      <c r="B53" s="483" t="s">
        <v>403</v>
      </c>
      <c r="C53" s="484"/>
      <c r="D53" s="484"/>
      <c r="E53" s="484"/>
      <c r="F53" s="484"/>
      <c r="G53" s="484"/>
      <c r="H53" s="484"/>
      <c r="I53" s="484"/>
    </row>
    <row r="54" spans="2:9" ht="15.75" x14ac:dyDescent="0.25">
      <c r="B54" s="483" t="s">
        <v>404</v>
      </c>
      <c r="C54" s="484"/>
      <c r="D54" s="484"/>
      <c r="E54" s="484"/>
      <c r="F54" s="484"/>
      <c r="G54" s="484"/>
      <c r="H54" s="484"/>
      <c r="I54" s="484"/>
    </row>
    <row r="55" spans="2:9" x14ac:dyDescent="0.2">
      <c r="B55" s="484"/>
      <c r="C55" s="484"/>
      <c r="D55" s="484"/>
      <c r="E55" s="484"/>
      <c r="F55" s="484"/>
      <c r="G55" s="484"/>
      <c r="H55" s="484"/>
      <c r="I55" s="484"/>
    </row>
    <row r="56" spans="2:9" ht="15.75" x14ac:dyDescent="0.25">
      <c r="B56" s="485" t="s">
        <v>405</v>
      </c>
      <c r="C56" s="483"/>
      <c r="D56" s="483"/>
      <c r="E56" s="483"/>
      <c r="F56" s="483"/>
      <c r="G56" s="484"/>
      <c r="H56" s="484"/>
      <c r="I56" s="484"/>
    </row>
    <row r="57" spans="2:9" ht="15.75" x14ac:dyDescent="0.25">
      <c r="B57" s="483"/>
      <c r="C57" s="483"/>
      <c r="D57" s="483"/>
      <c r="E57" s="483"/>
      <c r="F57" s="483"/>
      <c r="G57" s="484"/>
      <c r="H57" s="484"/>
      <c r="I57" s="484"/>
    </row>
    <row r="58" spans="2:9" ht="15.75" x14ac:dyDescent="0.25">
      <c r="B58" s="483" t="s">
        <v>406</v>
      </c>
      <c r="C58" s="483"/>
      <c r="D58" s="483"/>
      <c r="E58" s="483"/>
      <c r="F58" s="483"/>
      <c r="G58" s="484"/>
      <c r="H58" s="484"/>
      <c r="I58" s="484"/>
    </row>
    <row r="59" spans="2:9" ht="15.75" x14ac:dyDescent="0.25">
      <c r="B59" s="483" t="s">
        <v>407</v>
      </c>
      <c r="C59" s="483"/>
      <c r="D59" s="483"/>
      <c r="E59" s="483"/>
      <c r="F59" s="483"/>
      <c r="G59" s="484"/>
      <c r="H59" s="484"/>
      <c r="I59" s="484"/>
    </row>
    <row r="60" spans="2:9" ht="15.75" x14ac:dyDescent="0.25">
      <c r="B60" s="483" t="s">
        <v>408</v>
      </c>
      <c r="C60" s="483"/>
      <c r="D60" s="483"/>
      <c r="E60" s="483"/>
      <c r="F60" s="483"/>
      <c r="G60" s="484"/>
      <c r="H60" s="484"/>
      <c r="I60" s="484"/>
    </row>
    <row r="61" spans="2:9" ht="15.75" x14ac:dyDescent="0.25">
      <c r="B61" s="483" t="s">
        <v>409</v>
      </c>
      <c r="C61" s="483"/>
      <c r="D61" s="483"/>
      <c r="E61" s="483"/>
      <c r="F61" s="483"/>
      <c r="G61" s="484"/>
      <c r="H61" s="484"/>
      <c r="I61" s="484"/>
    </row>
    <row r="62" spans="2:9" x14ac:dyDescent="0.2">
      <c r="B62" s="486"/>
      <c r="C62" s="486"/>
      <c r="D62" s="486"/>
      <c r="E62" s="486"/>
      <c r="F62" s="486"/>
      <c r="G62" s="484"/>
      <c r="H62" s="484"/>
      <c r="I62" s="484"/>
    </row>
    <row r="63" spans="2:9" ht="15.75" x14ac:dyDescent="0.25">
      <c r="B63" s="483" t="s">
        <v>410</v>
      </c>
      <c r="C63" s="486"/>
      <c r="D63" s="486"/>
      <c r="E63" s="486"/>
      <c r="F63" s="486"/>
      <c r="G63" s="484"/>
      <c r="H63" s="484"/>
      <c r="I63" s="484"/>
    </row>
    <row r="64" spans="2:9" ht="15.75" x14ac:dyDescent="0.25">
      <c r="B64" s="483" t="s">
        <v>411</v>
      </c>
      <c r="C64" s="486"/>
      <c r="D64" s="486"/>
      <c r="E64" s="486"/>
      <c r="F64" s="486"/>
      <c r="G64" s="484"/>
      <c r="H64" s="484"/>
      <c r="I64" s="484"/>
    </row>
    <row r="65" spans="2:9" x14ac:dyDescent="0.2">
      <c r="B65" s="486"/>
      <c r="C65" s="486"/>
      <c r="D65" s="486"/>
      <c r="E65" s="486"/>
      <c r="F65" s="486"/>
      <c r="G65" s="484"/>
      <c r="H65" s="484"/>
      <c r="I65" s="484"/>
    </row>
    <row r="66" spans="2:9" ht="15.75" x14ac:dyDescent="0.25">
      <c r="B66" s="483" t="s">
        <v>412</v>
      </c>
      <c r="C66" s="486"/>
      <c r="D66" s="486"/>
      <c r="E66" s="486"/>
      <c r="F66" s="486"/>
      <c r="G66" s="484"/>
      <c r="H66" s="484"/>
      <c r="I66" s="484"/>
    </row>
    <row r="67" spans="2:9" ht="15.75" x14ac:dyDescent="0.25">
      <c r="B67" s="483" t="s">
        <v>413</v>
      </c>
      <c r="C67" s="486"/>
      <c r="D67" s="486"/>
      <c r="E67" s="486"/>
      <c r="F67" s="486"/>
      <c r="G67" s="484"/>
      <c r="H67" s="484"/>
      <c r="I67" s="484"/>
    </row>
    <row r="68" spans="2:9" x14ac:dyDescent="0.2">
      <c r="B68" s="486"/>
      <c r="C68" s="486"/>
      <c r="D68" s="486"/>
      <c r="E68" s="486"/>
      <c r="F68" s="486"/>
      <c r="G68" s="484"/>
      <c r="H68" s="484"/>
      <c r="I68" s="484"/>
    </row>
    <row r="69" spans="2:9" ht="15.75" x14ac:dyDescent="0.25">
      <c r="B69" s="485" t="s">
        <v>414</v>
      </c>
      <c r="C69" s="486"/>
      <c r="D69" s="486"/>
      <c r="E69" s="486"/>
      <c r="F69" s="486"/>
      <c r="G69" s="484"/>
      <c r="H69" s="484"/>
      <c r="I69" s="484"/>
    </row>
    <row r="70" spans="2:9" x14ac:dyDescent="0.2">
      <c r="B70" s="486"/>
      <c r="C70" s="486"/>
      <c r="D70" s="486"/>
      <c r="E70" s="486"/>
      <c r="F70" s="486"/>
      <c r="G70" s="484"/>
      <c r="H70" s="484"/>
      <c r="I70" s="484"/>
    </row>
    <row r="71" spans="2:9" ht="15.75" x14ac:dyDescent="0.25">
      <c r="B71" s="483" t="s">
        <v>415</v>
      </c>
      <c r="C71" s="486"/>
      <c r="D71" s="486"/>
      <c r="E71" s="486"/>
      <c r="F71" s="486"/>
      <c r="G71" s="484"/>
      <c r="H71" s="484"/>
      <c r="I71" s="484"/>
    </row>
    <row r="72" spans="2:9" ht="15.75" x14ac:dyDescent="0.25">
      <c r="B72" s="483" t="s">
        <v>416</v>
      </c>
      <c r="C72" s="486"/>
      <c r="D72" s="486"/>
      <c r="E72" s="486"/>
      <c r="F72" s="486"/>
      <c r="G72" s="484"/>
      <c r="H72" s="484"/>
      <c r="I72" s="484"/>
    </row>
    <row r="73" spans="2:9" x14ac:dyDescent="0.2">
      <c r="B73" s="486"/>
      <c r="C73" s="486"/>
      <c r="D73" s="486"/>
      <c r="E73" s="486"/>
      <c r="F73" s="486"/>
      <c r="G73" s="484"/>
      <c r="H73" s="484"/>
      <c r="I73" s="484"/>
    </row>
    <row r="74" spans="2:9" ht="15.75" x14ac:dyDescent="0.25">
      <c r="B74" s="485" t="s">
        <v>417</v>
      </c>
      <c r="C74" s="486"/>
      <c r="D74" s="486"/>
      <c r="E74" s="486"/>
      <c r="F74" s="486"/>
      <c r="G74" s="484"/>
      <c r="H74" s="484"/>
      <c r="I74" s="484"/>
    </row>
    <row r="75" spans="2:9" x14ac:dyDescent="0.2">
      <c r="B75" s="486"/>
      <c r="C75" s="486"/>
      <c r="D75" s="486"/>
      <c r="E75" s="486"/>
      <c r="F75" s="486"/>
      <c r="G75" s="484"/>
      <c r="H75" s="484"/>
      <c r="I75" s="484"/>
    </row>
    <row r="76" spans="2:9" ht="15.75" x14ac:dyDescent="0.25">
      <c r="B76" s="483" t="str">
        <f>CONCATENATE("If the ",G14," municipal budget has not been published and has not been submitted to the County")</f>
        <v>If the 2025 municipal budget has not been published and has not been submitted to the County</v>
      </c>
      <c r="C76" s="486"/>
      <c r="D76" s="486"/>
      <c r="E76" s="486"/>
      <c r="F76" s="486"/>
      <c r="G76" s="484"/>
      <c r="H76" s="484"/>
      <c r="I76" s="484"/>
    </row>
    <row r="77" spans="2:9" ht="15.75" x14ac:dyDescent="0.25">
      <c r="B77" s="483" t="s">
        <v>418</v>
      </c>
      <c r="C77" s="486"/>
      <c r="D77" s="486"/>
      <c r="E77" s="486"/>
      <c r="F77" s="486"/>
      <c r="G77" s="484"/>
      <c r="H77" s="484"/>
      <c r="I77" s="484"/>
    </row>
    <row r="78" spans="2:9" x14ac:dyDescent="0.2">
      <c r="B78" s="486"/>
      <c r="C78" s="486"/>
      <c r="D78" s="486"/>
      <c r="E78" s="486"/>
      <c r="F78" s="486"/>
      <c r="G78" s="484"/>
      <c r="H78" s="484"/>
      <c r="I78" s="484"/>
    </row>
    <row r="79" spans="2:9" ht="15.75" x14ac:dyDescent="0.25">
      <c r="B79" s="485" t="s">
        <v>297</v>
      </c>
      <c r="C79" s="486"/>
      <c r="D79" s="486"/>
      <c r="E79" s="486"/>
      <c r="F79" s="486"/>
      <c r="G79" s="484"/>
      <c r="H79" s="484"/>
      <c r="I79" s="484"/>
    </row>
    <row r="80" spans="2:9" x14ac:dyDescent="0.2">
      <c r="B80" s="486"/>
      <c r="C80" s="486"/>
      <c r="D80" s="486"/>
      <c r="E80" s="486"/>
      <c r="F80" s="486"/>
      <c r="G80" s="484"/>
      <c r="H80" s="484"/>
      <c r="I80" s="484"/>
    </row>
    <row r="81" spans="2:9" ht="15.75" x14ac:dyDescent="0.25">
      <c r="B81" s="483" t="s">
        <v>419</v>
      </c>
      <c r="C81" s="486"/>
      <c r="D81" s="486"/>
      <c r="E81" s="486"/>
      <c r="F81" s="486"/>
      <c r="G81" s="484"/>
      <c r="H81" s="484"/>
      <c r="I81" s="484"/>
    </row>
    <row r="82" spans="2:9" ht="15.75" x14ac:dyDescent="0.25">
      <c r="B82" s="483" t="str">
        <f>CONCATENATE("Budget Year ",G14," is equal to or greater than that for Current Year Estimate ",E14,".")</f>
        <v>Budget Year 2025 is equal to or greater than that for Current Year Estimate 2024.</v>
      </c>
      <c r="C82" s="486"/>
      <c r="D82" s="486"/>
      <c r="E82" s="486"/>
      <c r="F82" s="486"/>
      <c r="G82" s="484"/>
      <c r="H82" s="484"/>
      <c r="I82" s="484"/>
    </row>
    <row r="83" spans="2:9" x14ac:dyDescent="0.2">
      <c r="B83" s="486"/>
      <c r="C83" s="486"/>
      <c r="D83" s="486"/>
      <c r="E83" s="486"/>
      <c r="F83" s="486"/>
      <c r="G83" s="484"/>
      <c r="H83" s="484"/>
      <c r="I83" s="484"/>
    </row>
    <row r="84" spans="2:9" ht="15.75" x14ac:dyDescent="0.25">
      <c r="B84" s="483" t="s">
        <v>420</v>
      </c>
      <c r="C84" s="486"/>
      <c r="D84" s="486"/>
      <c r="E84" s="486"/>
      <c r="F84" s="486"/>
      <c r="G84" s="484"/>
      <c r="H84" s="484"/>
      <c r="I84" s="484"/>
    </row>
    <row r="85" spans="2:9" ht="15.75" x14ac:dyDescent="0.25">
      <c r="B85" s="483" t="s">
        <v>421</v>
      </c>
      <c r="C85" s="486"/>
      <c r="D85" s="486"/>
      <c r="E85" s="486"/>
      <c r="F85" s="486"/>
      <c r="G85" s="484"/>
      <c r="H85" s="484"/>
      <c r="I85" s="484"/>
    </row>
    <row r="86" spans="2:9" ht="15.75" x14ac:dyDescent="0.25">
      <c r="B86" s="483" t="s">
        <v>422</v>
      </c>
      <c r="C86" s="486"/>
      <c r="D86" s="486"/>
      <c r="E86" s="486"/>
      <c r="F86" s="486"/>
      <c r="G86" s="484"/>
      <c r="H86" s="484"/>
      <c r="I86" s="484"/>
    </row>
    <row r="87" spans="2:9" ht="15.75" x14ac:dyDescent="0.25">
      <c r="B87" s="483" t="str">
        <f>CONCATENATE("purpose for the previous (",E14,") year.")</f>
        <v>purpose for the previous (2024) year.</v>
      </c>
      <c r="C87" s="486"/>
      <c r="D87" s="486"/>
      <c r="E87" s="486"/>
      <c r="F87" s="486"/>
      <c r="G87" s="484"/>
      <c r="H87" s="484"/>
      <c r="I87" s="484"/>
    </row>
    <row r="88" spans="2:9" x14ac:dyDescent="0.2">
      <c r="B88" s="486"/>
      <c r="C88" s="486"/>
      <c r="D88" s="486"/>
      <c r="E88" s="486"/>
      <c r="F88" s="486"/>
      <c r="G88" s="484"/>
      <c r="H88" s="484"/>
      <c r="I88" s="484"/>
    </row>
    <row r="89" spans="2:9" ht="15.75" x14ac:dyDescent="0.25">
      <c r="B89" s="483" t="str">
        <f>CONCATENATE("Next, look to see if delinquent tax for ",G14," is budgeted. Often this line is budgeted at $0 or left")</f>
        <v>Next, look to see if delinquent tax for 2025 is budgeted. Often this line is budgeted at $0 or left</v>
      </c>
      <c r="C89" s="486"/>
      <c r="D89" s="486"/>
      <c r="E89" s="486"/>
      <c r="F89" s="486"/>
      <c r="G89" s="484"/>
      <c r="H89" s="484"/>
      <c r="I89" s="484"/>
    </row>
    <row r="90" spans="2:9" ht="15.75" x14ac:dyDescent="0.25">
      <c r="B90" s="483" t="s">
        <v>423</v>
      </c>
      <c r="C90" s="486"/>
      <c r="D90" s="486"/>
      <c r="E90" s="486"/>
      <c r="F90" s="486"/>
      <c r="G90" s="484"/>
      <c r="H90" s="484"/>
      <c r="I90" s="484"/>
    </row>
    <row r="91" spans="2:9" ht="15.75" x14ac:dyDescent="0.25">
      <c r="B91" s="483" t="s">
        <v>424</v>
      </c>
      <c r="C91" s="486"/>
      <c r="D91" s="486"/>
      <c r="E91" s="486"/>
      <c r="F91" s="486"/>
      <c r="G91" s="484"/>
      <c r="H91" s="484"/>
      <c r="I91" s="484"/>
    </row>
    <row r="92" spans="2:9" ht="15.75" x14ac:dyDescent="0.25">
      <c r="B92" s="483" t="s">
        <v>425</v>
      </c>
      <c r="C92" s="486"/>
      <c r="D92" s="486"/>
      <c r="E92" s="486"/>
      <c r="F92" s="486"/>
      <c r="G92" s="484"/>
      <c r="H92" s="484"/>
      <c r="I92" s="484"/>
    </row>
    <row r="93" spans="2:9" x14ac:dyDescent="0.2">
      <c r="B93" s="486"/>
      <c r="C93" s="486"/>
      <c r="D93" s="486"/>
      <c r="E93" s="486"/>
      <c r="F93" s="486"/>
      <c r="G93" s="484"/>
      <c r="H93" s="484"/>
      <c r="I93" s="484"/>
    </row>
    <row r="94" spans="2:9" ht="15.75" x14ac:dyDescent="0.25">
      <c r="B94" s="485" t="s">
        <v>426</v>
      </c>
      <c r="C94" s="486"/>
      <c r="D94" s="486"/>
      <c r="E94" s="486"/>
      <c r="F94" s="486"/>
      <c r="G94" s="484"/>
      <c r="H94" s="484"/>
      <c r="I94" s="484"/>
    </row>
    <row r="95" spans="2:9" x14ac:dyDescent="0.2">
      <c r="B95" s="486"/>
      <c r="C95" s="486"/>
      <c r="D95" s="486"/>
      <c r="E95" s="486"/>
      <c r="F95" s="486"/>
      <c r="G95" s="484"/>
      <c r="H95" s="484"/>
      <c r="I95" s="484"/>
    </row>
    <row r="96" spans="2:9" ht="15.75" x14ac:dyDescent="0.25">
      <c r="B96" s="483" t="s">
        <v>427</v>
      </c>
      <c r="C96" s="486"/>
      <c r="D96" s="486"/>
      <c r="E96" s="486"/>
      <c r="F96" s="486"/>
      <c r="G96" s="484"/>
      <c r="H96" s="484"/>
      <c r="I96" s="484"/>
    </row>
    <row r="97" spans="2:9" ht="15.75" x14ac:dyDescent="0.25">
      <c r="B97" s="483" t="s">
        <v>428</v>
      </c>
      <c r="C97" s="486"/>
      <c r="D97" s="486"/>
      <c r="E97" s="486"/>
      <c r="F97" s="486"/>
      <c r="G97" s="484"/>
      <c r="H97" s="484"/>
      <c r="I97" s="484"/>
    </row>
    <row r="98" spans="2:9" x14ac:dyDescent="0.2">
      <c r="B98" s="486"/>
      <c r="C98" s="486"/>
      <c r="D98" s="486"/>
      <c r="E98" s="486"/>
      <c r="F98" s="486"/>
      <c r="G98" s="484"/>
      <c r="H98" s="484"/>
      <c r="I98" s="484"/>
    </row>
    <row r="99" spans="2:9" ht="15.75" x14ac:dyDescent="0.25">
      <c r="B99" s="483" t="s">
        <v>429</v>
      </c>
      <c r="C99" s="486"/>
      <c r="D99" s="486"/>
      <c r="E99" s="486"/>
      <c r="F99" s="486"/>
      <c r="G99" s="484"/>
      <c r="H99" s="484"/>
      <c r="I99" s="484"/>
    </row>
    <row r="100" spans="2:9" ht="15.75" x14ac:dyDescent="0.25">
      <c r="B100" s="483" t="s">
        <v>430</v>
      </c>
      <c r="C100" s="486"/>
      <c r="D100" s="486"/>
      <c r="E100" s="486"/>
      <c r="F100" s="486"/>
      <c r="G100" s="484"/>
      <c r="H100" s="484"/>
      <c r="I100" s="484"/>
    </row>
    <row r="101" spans="2:9" ht="15.75" x14ac:dyDescent="0.25">
      <c r="B101" s="483" t="s">
        <v>431</v>
      </c>
      <c r="C101" s="486"/>
      <c r="D101" s="486"/>
      <c r="E101" s="486"/>
      <c r="F101" s="486"/>
      <c r="G101" s="484"/>
      <c r="H101" s="484"/>
      <c r="I101" s="484"/>
    </row>
    <row r="102" spans="2:9" ht="15.75" x14ac:dyDescent="0.25">
      <c r="B102" s="483" t="s">
        <v>432</v>
      </c>
      <c r="C102" s="486"/>
      <c r="D102" s="486"/>
      <c r="E102" s="486"/>
      <c r="F102" s="486"/>
      <c r="G102" s="484"/>
      <c r="H102" s="484"/>
      <c r="I102" s="484"/>
    </row>
    <row r="103" spans="2:9" ht="15.75" x14ac:dyDescent="0.25">
      <c r="B103" s="605" t="s">
        <v>541</v>
      </c>
      <c r="C103" s="606"/>
      <c r="D103" s="606"/>
      <c r="E103" s="606"/>
      <c r="F103" s="606"/>
      <c r="G103" s="484"/>
      <c r="H103" s="484"/>
      <c r="I103" s="484"/>
    </row>
    <row r="106" spans="2:9" x14ac:dyDescent="0.2">
      <c r="G106" s="487"/>
    </row>
  </sheetData>
  <sheetProtection sheet="1"/>
  <mergeCells count="6">
    <mergeCell ref="B41:I41"/>
    <mergeCell ref="B2:I2"/>
    <mergeCell ref="B3:I3"/>
    <mergeCell ref="B5:I5"/>
    <mergeCell ref="B10:I10"/>
    <mergeCell ref="B34:I34"/>
  </mergeCells>
  <hyperlinks>
    <hyperlink ref="B103" r:id="rId1" xr:uid="{00000000-0004-0000-0B00-000000000000}"/>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F0"/>
    <pageSetUpPr fitToPage="1"/>
  </sheetPr>
  <dimension ref="B1:K134"/>
  <sheetViews>
    <sheetView zoomScaleNormal="100" zoomScaleSheetLayoutView="100" workbookViewId="0">
      <selection activeCell="B18" sqref="B18"/>
    </sheetView>
  </sheetViews>
  <sheetFormatPr defaultColWidth="8.88671875" defaultRowHeight="15.75" x14ac:dyDescent="0.2"/>
  <cols>
    <col min="1" max="1" width="2.44140625" style="18" customWidth="1"/>
    <col min="2" max="2" width="31.109375" style="18" customWidth="1"/>
    <col min="3" max="4" width="15.77734375" style="18" customWidth="1"/>
    <col min="5" max="5" width="16.33203125" style="18" customWidth="1"/>
    <col min="6" max="6" width="8.109375" style="18" customWidth="1"/>
    <col min="7" max="7" width="10.21875" style="18" customWidth="1"/>
    <col min="8" max="8" width="8.88671875" style="18" customWidth="1"/>
    <col min="9" max="9" width="5.6640625" style="18" customWidth="1"/>
    <col min="10" max="10" width="10" style="18" customWidth="1"/>
    <col min="11" max="16384" width="8.88671875" style="18"/>
  </cols>
  <sheetData>
    <row r="1" spans="2:5" x14ac:dyDescent="0.2">
      <c r="B1" s="39">
        <f>inputPrYr!D3</f>
        <v>0</v>
      </c>
      <c r="C1" s="20"/>
      <c r="D1" s="20"/>
      <c r="E1" s="73">
        <f>inputPrYr!C6</f>
        <v>2025</v>
      </c>
    </row>
    <row r="2" spans="2:5" x14ac:dyDescent="0.2">
      <c r="B2" s="20"/>
      <c r="C2" s="20"/>
      <c r="D2" s="20"/>
      <c r="E2" s="101"/>
    </row>
    <row r="3" spans="2:5" x14ac:dyDescent="0.2">
      <c r="B3" s="154"/>
      <c r="C3" s="20"/>
      <c r="D3" s="20"/>
      <c r="E3" s="73"/>
    </row>
    <row r="4" spans="2:5" x14ac:dyDescent="0.2">
      <c r="B4" s="264" t="s">
        <v>125</v>
      </c>
      <c r="C4" s="155"/>
      <c r="D4" s="155"/>
      <c r="E4" s="155"/>
    </row>
    <row r="5" spans="2:5" x14ac:dyDescent="0.2">
      <c r="B5" s="102" t="s">
        <v>59</v>
      </c>
      <c r="C5" s="156" t="s">
        <v>377</v>
      </c>
      <c r="D5" s="157" t="s">
        <v>378</v>
      </c>
      <c r="E5" s="81" t="s">
        <v>379</v>
      </c>
    </row>
    <row r="6" spans="2:5" x14ac:dyDescent="0.2">
      <c r="B6" s="357" t="str">
        <f>inputPrYr!B18</f>
        <v>General</v>
      </c>
      <c r="C6" s="252" t="str">
        <f>CONCATENATE("Actual for ",E1-2,"")</f>
        <v>Actual for 2023</v>
      </c>
      <c r="D6" s="252" t="str">
        <f>CONCATENATE("Estimate for ",E1-1,"")</f>
        <v>Estimate for 2024</v>
      </c>
      <c r="E6" s="86" t="str">
        <f>CONCATENATE("Year for ",E1,"")</f>
        <v>Year for 2025</v>
      </c>
    </row>
    <row r="7" spans="2:5" x14ac:dyDescent="0.2">
      <c r="B7" s="158" t="s">
        <v>140</v>
      </c>
      <c r="C7" s="159"/>
      <c r="D7" s="161">
        <f>C109</f>
        <v>0</v>
      </c>
      <c r="E7" s="134">
        <f>D109</f>
        <v>0</v>
      </c>
    </row>
    <row r="8" spans="2:5" x14ac:dyDescent="0.2">
      <c r="B8" s="162" t="s">
        <v>142</v>
      </c>
      <c r="C8" s="96"/>
      <c r="D8" s="96"/>
      <c r="E8" s="44"/>
    </row>
    <row r="9" spans="2:5" x14ac:dyDescent="0.2">
      <c r="B9" s="158" t="s">
        <v>60</v>
      </c>
      <c r="C9" s="163"/>
      <c r="D9" s="161">
        <f>IF(inputPrYr!H21&gt;0,inputPrYr!G22,inputPrYr!E18)</f>
        <v>0</v>
      </c>
      <c r="E9" s="165" t="s">
        <v>49</v>
      </c>
    </row>
    <row r="10" spans="2:5" x14ac:dyDescent="0.2">
      <c r="B10" s="158" t="s">
        <v>61</v>
      </c>
      <c r="C10" s="163"/>
      <c r="D10" s="163"/>
      <c r="E10" s="166"/>
    </row>
    <row r="11" spans="2:5" x14ac:dyDescent="0.2">
      <c r="B11" s="158" t="s">
        <v>62</v>
      </c>
      <c r="C11" s="163"/>
      <c r="D11" s="163"/>
      <c r="E11" s="134">
        <f>Mvalloc!D7</f>
        <v>0</v>
      </c>
    </row>
    <row r="12" spans="2:5" x14ac:dyDescent="0.2">
      <c r="B12" s="158" t="s">
        <v>63</v>
      </c>
      <c r="C12" s="163"/>
      <c r="D12" s="163"/>
      <c r="E12" s="134">
        <f>Mvalloc!E7</f>
        <v>0</v>
      </c>
    </row>
    <row r="13" spans="2:5" x14ac:dyDescent="0.2">
      <c r="B13" s="158" t="s">
        <v>132</v>
      </c>
      <c r="C13" s="163"/>
      <c r="D13" s="163"/>
      <c r="E13" s="134">
        <f>Mvalloc!F7</f>
        <v>0</v>
      </c>
    </row>
    <row r="14" spans="2:5" x14ac:dyDescent="0.2">
      <c r="B14" s="158" t="s">
        <v>518</v>
      </c>
      <c r="C14" s="163"/>
      <c r="D14" s="163"/>
      <c r="E14" s="134">
        <f>Mvalloc!G7</f>
        <v>0</v>
      </c>
    </row>
    <row r="15" spans="2:5" x14ac:dyDescent="0.2">
      <c r="B15" s="158" t="s">
        <v>519</v>
      </c>
      <c r="C15" s="163"/>
      <c r="D15" s="163"/>
      <c r="E15" s="134">
        <f>Mvalloc!H7</f>
        <v>0</v>
      </c>
    </row>
    <row r="16" spans="2:5" x14ac:dyDescent="0.2">
      <c r="B16" s="158" t="s">
        <v>133</v>
      </c>
      <c r="C16" s="163"/>
      <c r="D16" s="163"/>
      <c r="E16" s="134">
        <f>inputOth!E19</f>
        <v>0</v>
      </c>
    </row>
    <row r="17" spans="2:5" x14ac:dyDescent="0.2">
      <c r="B17" s="159"/>
      <c r="C17" s="163"/>
      <c r="D17" s="163"/>
      <c r="E17" s="166"/>
    </row>
    <row r="18" spans="2:5" x14ac:dyDescent="0.2">
      <c r="B18" s="159" t="s">
        <v>66</v>
      </c>
      <c r="C18" s="163"/>
      <c r="D18" s="163"/>
      <c r="E18" s="166"/>
    </row>
    <row r="19" spans="2:5" x14ac:dyDescent="0.2">
      <c r="B19" s="159" t="s">
        <v>64</v>
      </c>
      <c r="C19" s="163"/>
      <c r="D19" s="163"/>
      <c r="E19" s="166"/>
    </row>
    <row r="20" spans="2:5" x14ac:dyDescent="0.2">
      <c r="B20" s="359" t="s">
        <v>364</v>
      </c>
      <c r="C20" s="163"/>
      <c r="D20" s="163"/>
      <c r="E20" s="166"/>
    </row>
    <row r="21" spans="2:5" x14ac:dyDescent="0.2">
      <c r="B21" s="358" t="s">
        <v>365</v>
      </c>
      <c r="C21" s="163"/>
      <c r="D21" s="163"/>
      <c r="E21" s="166"/>
    </row>
    <row r="22" spans="2:5" x14ac:dyDescent="0.2">
      <c r="B22" s="358" t="s">
        <v>366</v>
      </c>
      <c r="C22" s="163"/>
      <c r="D22" s="163"/>
      <c r="E22" s="166"/>
    </row>
    <row r="23" spans="2:5" x14ac:dyDescent="0.2">
      <c r="B23" s="358" t="s">
        <v>367</v>
      </c>
      <c r="C23" s="163"/>
      <c r="D23" s="163"/>
      <c r="E23" s="166"/>
    </row>
    <row r="24" spans="2:5" x14ac:dyDescent="0.2">
      <c r="B24" s="159"/>
      <c r="C24" s="163"/>
      <c r="D24" s="163"/>
      <c r="E24" s="166"/>
    </row>
    <row r="25" spans="2:5" x14ac:dyDescent="0.2">
      <c r="B25" s="159"/>
      <c r="C25" s="163"/>
      <c r="D25" s="163"/>
      <c r="E25" s="166"/>
    </row>
    <row r="26" spans="2:5" x14ac:dyDescent="0.2">
      <c r="B26" s="159"/>
      <c r="C26" s="163"/>
      <c r="D26" s="163"/>
      <c r="E26" s="166"/>
    </row>
    <row r="27" spans="2:5" x14ac:dyDescent="0.2">
      <c r="B27" s="159"/>
      <c r="C27" s="163"/>
      <c r="D27" s="163"/>
      <c r="E27" s="166"/>
    </row>
    <row r="28" spans="2:5" x14ac:dyDescent="0.2">
      <c r="B28" s="159"/>
      <c r="C28" s="163"/>
      <c r="D28" s="163"/>
      <c r="E28" s="166"/>
    </row>
    <row r="29" spans="2:5" x14ac:dyDescent="0.2">
      <c r="B29" s="159"/>
      <c r="C29" s="163"/>
      <c r="D29" s="163"/>
      <c r="E29" s="166"/>
    </row>
    <row r="30" spans="2:5" x14ac:dyDescent="0.2">
      <c r="B30" s="159"/>
      <c r="C30" s="163"/>
      <c r="D30" s="163"/>
      <c r="E30" s="166"/>
    </row>
    <row r="31" spans="2:5" x14ac:dyDescent="0.2">
      <c r="B31" s="159"/>
      <c r="C31" s="163"/>
      <c r="D31" s="163"/>
      <c r="E31" s="166"/>
    </row>
    <row r="32" spans="2:5" x14ac:dyDescent="0.2">
      <c r="B32" s="159"/>
      <c r="C32" s="163"/>
      <c r="D32" s="163"/>
      <c r="E32" s="166"/>
    </row>
    <row r="33" spans="2:5" x14ac:dyDescent="0.2">
      <c r="B33" s="159"/>
      <c r="C33" s="163"/>
      <c r="D33" s="163"/>
      <c r="E33" s="166"/>
    </row>
    <row r="34" spans="2:5" x14ac:dyDescent="0.2">
      <c r="B34" s="159"/>
      <c r="C34" s="163"/>
      <c r="D34" s="163"/>
      <c r="E34" s="166"/>
    </row>
    <row r="35" spans="2:5" x14ac:dyDescent="0.2">
      <c r="B35" s="159"/>
      <c r="C35" s="163"/>
      <c r="D35" s="163"/>
      <c r="E35" s="166"/>
    </row>
    <row r="36" spans="2:5" x14ac:dyDescent="0.2">
      <c r="B36" s="159"/>
      <c r="C36" s="163"/>
      <c r="D36" s="163"/>
      <c r="E36" s="166"/>
    </row>
    <row r="37" spans="2:5" x14ac:dyDescent="0.2">
      <c r="B37" s="159"/>
      <c r="C37" s="163"/>
      <c r="D37" s="163"/>
      <c r="E37" s="166"/>
    </row>
    <row r="38" spans="2:5" x14ac:dyDescent="0.2">
      <c r="B38" s="159"/>
      <c r="C38" s="163"/>
      <c r="D38" s="163"/>
      <c r="E38" s="166"/>
    </row>
    <row r="39" spans="2:5" x14ac:dyDescent="0.2">
      <c r="B39" s="159"/>
      <c r="C39" s="163"/>
      <c r="D39" s="163"/>
      <c r="E39" s="166"/>
    </row>
    <row r="40" spans="2:5" x14ac:dyDescent="0.2">
      <c r="B40" s="159"/>
      <c r="C40" s="163"/>
      <c r="D40" s="163"/>
      <c r="E40" s="166"/>
    </row>
    <row r="41" spans="2:5" x14ac:dyDescent="0.2">
      <c r="B41" s="159"/>
      <c r="C41" s="163"/>
      <c r="D41" s="163"/>
      <c r="E41" s="166"/>
    </row>
    <row r="42" spans="2:5" x14ac:dyDescent="0.2">
      <c r="B42" s="159"/>
      <c r="C42" s="163"/>
      <c r="D42" s="163"/>
      <c r="E42" s="166"/>
    </row>
    <row r="43" spans="2:5" x14ac:dyDescent="0.2">
      <c r="B43" s="159"/>
      <c r="C43" s="163"/>
      <c r="D43" s="163"/>
      <c r="E43" s="166"/>
    </row>
    <row r="44" spans="2:5" x14ac:dyDescent="0.2">
      <c r="B44" s="159"/>
      <c r="C44" s="163"/>
      <c r="D44" s="163"/>
      <c r="E44" s="166"/>
    </row>
    <row r="45" spans="2:5" x14ac:dyDescent="0.2">
      <c r="B45" s="159"/>
      <c r="C45" s="163"/>
      <c r="D45" s="163"/>
      <c r="E45" s="166"/>
    </row>
    <row r="46" spans="2:5" x14ac:dyDescent="0.2">
      <c r="B46" s="159"/>
      <c r="C46" s="163"/>
      <c r="D46" s="163"/>
      <c r="E46" s="166"/>
    </row>
    <row r="47" spans="2:5" x14ac:dyDescent="0.2">
      <c r="B47" s="159"/>
      <c r="C47" s="163"/>
      <c r="D47" s="163"/>
      <c r="E47" s="166"/>
    </row>
    <row r="48" spans="2:5" x14ac:dyDescent="0.2">
      <c r="B48" s="159"/>
      <c r="C48" s="163"/>
      <c r="D48" s="163"/>
      <c r="E48" s="166"/>
    </row>
    <row r="49" spans="2:5" x14ac:dyDescent="0.2">
      <c r="B49" s="159"/>
      <c r="C49" s="163"/>
      <c r="D49" s="163"/>
      <c r="E49" s="166"/>
    </row>
    <row r="50" spans="2:5" x14ac:dyDescent="0.2">
      <c r="B50" s="159" t="s">
        <v>65</v>
      </c>
      <c r="C50" s="163"/>
      <c r="D50" s="163"/>
      <c r="E50" s="166"/>
    </row>
    <row r="51" spans="2:5" x14ac:dyDescent="0.2">
      <c r="B51" s="167" t="s">
        <v>67</v>
      </c>
      <c r="C51" s="163"/>
      <c r="D51" s="163"/>
      <c r="E51" s="166"/>
    </row>
    <row r="52" spans="2:5" x14ac:dyDescent="0.2">
      <c r="B52" s="180" t="s">
        <v>8</v>
      </c>
      <c r="C52" s="163"/>
      <c r="D52" s="163"/>
      <c r="E52" s="666">
        <f>'NR Rebate'!E6*-1</f>
        <v>0</v>
      </c>
    </row>
    <row r="53" spans="2:5" x14ac:dyDescent="0.2">
      <c r="B53" s="96" t="s">
        <v>9</v>
      </c>
      <c r="C53" s="163"/>
      <c r="D53" s="163"/>
      <c r="E53" s="166"/>
    </row>
    <row r="54" spans="2:5" x14ac:dyDescent="0.2">
      <c r="B54" s="158" t="s">
        <v>370</v>
      </c>
      <c r="C54" s="168" t="str">
        <f>IF(C55*0.1&lt;C53,"Exceed 10% Rule","")</f>
        <v/>
      </c>
      <c r="D54" s="168" t="str">
        <f>IF(D55*0.1&lt;D53,"Exceed 10% Rule","")</f>
        <v/>
      </c>
      <c r="E54" s="202" t="str">
        <f>IF(E55*0.1+E115&lt;E53,"Exceed 10% Rule","")</f>
        <v/>
      </c>
    </row>
    <row r="55" spans="2:5" x14ac:dyDescent="0.2">
      <c r="B55" s="170" t="s">
        <v>68</v>
      </c>
      <c r="C55" s="172">
        <f>SUM(C9:C53)</f>
        <v>0</v>
      </c>
      <c r="D55" s="172">
        <f>SUM(D9:D53)</f>
        <v>0</v>
      </c>
      <c r="E55" s="173">
        <f>SUM(E10:E53)</f>
        <v>0</v>
      </c>
    </row>
    <row r="56" spans="2:5" x14ac:dyDescent="0.2">
      <c r="B56" s="170" t="s">
        <v>69</v>
      </c>
      <c r="C56" s="172">
        <f>C7+C55</f>
        <v>0</v>
      </c>
      <c r="D56" s="172">
        <f>D7+D55</f>
        <v>0</v>
      </c>
      <c r="E56" s="173">
        <f>E7+E55</f>
        <v>0</v>
      </c>
    </row>
    <row r="57" spans="2:5" x14ac:dyDescent="0.2">
      <c r="B57" s="20"/>
      <c r="C57" s="20"/>
      <c r="D57" s="20"/>
      <c r="E57" s="20"/>
    </row>
    <row r="58" spans="2:5" x14ac:dyDescent="0.2">
      <c r="B58" s="73" t="s">
        <v>78</v>
      </c>
      <c r="C58" s="102">
        <f>IF(inputPrYr!D20&gt;0,7,6)</f>
        <v>6</v>
      </c>
      <c r="D58" s="103"/>
      <c r="E58" s="103"/>
    </row>
    <row r="59" spans="2:5" x14ac:dyDescent="0.2">
      <c r="B59" s="103"/>
      <c r="C59" s="103"/>
      <c r="D59" s="103"/>
      <c r="E59" s="103"/>
    </row>
    <row r="60" spans="2:5" x14ac:dyDescent="0.2">
      <c r="B60" s="39">
        <f>inputPrYr!D3</f>
        <v>0</v>
      </c>
      <c r="C60" s="20"/>
      <c r="D60" s="20"/>
      <c r="E60" s="101"/>
    </row>
    <row r="61" spans="2:5" x14ac:dyDescent="0.2">
      <c r="B61" s="20"/>
      <c r="C61" s="20"/>
      <c r="D61" s="20"/>
      <c r="E61" s="73"/>
    </row>
    <row r="62" spans="2:5" x14ac:dyDescent="0.2">
      <c r="B62" s="174" t="s">
        <v>124</v>
      </c>
      <c r="C62" s="128"/>
      <c r="D62" s="128"/>
      <c r="E62" s="128"/>
    </row>
    <row r="63" spans="2:5" x14ac:dyDescent="0.2">
      <c r="B63" s="20" t="s">
        <v>59</v>
      </c>
      <c r="C63" s="156" t="s">
        <v>377</v>
      </c>
      <c r="D63" s="157" t="s">
        <v>385</v>
      </c>
      <c r="E63" s="81" t="s">
        <v>379</v>
      </c>
    </row>
    <row r="64" spans="2:5" x14ac:dyDescent="0.2">
      <c r="B64" s="39" t="str">
        <f>inputPrYr!B18</f>
        <v>General</v>
      </c>
      <c r="C64" s="252" t="str">
        <f>C6</f>
        <v>Actual for 2023</v>
      </c>
      <c r="D64" s="252" t="str">
        <f>D6</f>
        <v>Estimate for 2024</v>
      </c>
      <c r="E64" s="86" t="str">
        <f>E6</f>
        <v>Year for 2025</v>
      </c>
    </row>
    <row r="65" spans="2:6" x14ac:dyDescent="0.2">
      <c r="B65" s="175" t="s">
        <v>69</v>
      </c>
      <c r="C65" s="161">
        <f>C56</f>
        <v>0</v>
      </c>
      <c r="D65" s="161">
        <f>D56</f>
        <v>0</v>
      </c>
      <c r="E65" s="134">
        <f>E56</f>
        <v>0</v>
      </c>
    </row>
    <row r="66" spans="2:6" x14ac:dyDescent="0.2">
      <c r="B66" s="162" t="s">
        <v>71</v>
      </c>
      <c r="C66" s="96"/>
      <c r="D66" s="96"/>
      <c r="E66" s="44"/>
    </row>
    <row r="67" spans="2:6" x14ac:dyDescent="0.2">
      <c r="B67" s="158">
        <f>'General Detail'!A7</f>
        <v>0</v>
      </c>
      <c r="C67" s="176">
        <f>'General Detail'!B15</f>
        <v>0</v>
      </c>
      <c r="D67" s="176">
        <f>'General Detail'!C15</f>
        <v>0</v>
      </c>
      <c r="E67" s="42">
        <f>'General Detail'!D15</f>
        <v>0</v>
      </c>
    </row>
    <row r="68" spans="2:6" x14ac:dyDescent="0.2">
      <c r="B68" s="158">
        <f>'General Detail'!A16</f>
        <v>0</v>
      </c>
      <c r="C68" s="176">
        <f>'General Detail'!B22</f>
        <v>0</v>
      </c>
      <c r="D68" s="176">
        <f>'General Detail'!C22</f>
        <v>0</v>
      </c>
      <c r="E68" s="42">
        <f>'General Detail'!D22</f>
        <v>0</v>
      </c>
      <c r="F68" s="177"/>
    </row>
    <row r="69" spans="2:6" x14ac:dyDescent="0.2">
      <c r="B69" s="158">
        <f>'General Detail'!A23</f>
        <v>0</v>
      </c>
      <c r="C69" s="176">
        <f>'General Detail'!B29</f>
        <v>0</v>
      </c>
      <c r="D69" s="176">
        <f>'General Detail'!C29</f>
        <v>0</v>
      </c>
      <c r="E69" s="42">
        <f>'General Detail'!D29</f>
        <v>0</v>
      </c>
      <c r="F69" s="177"/>
    </row>
    <row r="70" spans="2:6" x14ac:dyDescent="0.2">
      <c r="B70" s="158">
        <f>'General Detail'!A30</f>
        <v>0</v>
      </c>
      <c r="C70" s="176">
        <f>'General Detail'!B35</f>
        <v>0</v>
      </c>
      <c r="D70" s="176">
        <f>'General Detail'!C35</f>
        <v>0</v>
      </c>
      <c r="E70" s="42">
        <f>'General Detail'!D35</f>
        <v>0</v>
      </c>
    </row>
    <row r="71" spans="2:6" x14ac:dyDescent="0.2">
      <c r="B71" s="158">
        <f>'General Detail'!A36</f>
        <v>0</v>
      </c>
      <c r="C71" s="176">
        <f>'General Detail'!B42</f>
        <v>0</v>
      </c>
      <c r="D71" s="176">
        <f>'General Detail'!C42</f>
        <v>0</v>
      </c>
      <c r="E71" s="42">
        <f>'General Detail'!D42</f>
        <v>0</v>
      </c>
    </row>
    <row r="72" spans="2:6" x14ac:dyDescent="0.2">
      <c r="B72" s="158">
        <f>'General Detail'!A43</f>
        <v>0</v>
      </c>
      <c r="C72" s="176">
        <f>'General Detail'!B49</f>
        <v>0</v>
      </c>
      <c r="D72" s="176">
        <f>'General Detail'!C49</f>
        <v>0</v>
      </c>
      <c r="E72" s="42">
        <f>'General Detail'!D49</f>
        <v>0</v>
      </c>
    </row>
    <row r="73" spans="2:6" x14ac:dyDescent="0.2">
      <c r="B73" s="158">
        <f>'General Detail'!A50</f>
        <v>0</v>
      </c>
      <c r="C73" s="176">
        <f>'General Detail'!B56</f>
        <v>0</v>
      </c>
      <c r="D73" s="176">
        <f>'General Detail'!C56</f>
        <v>0</v>
      </c>
      <c r="E73" s="42">
        <f>'General Detail'!D56</f>
        <v>0</v>
      </c>
    </row>
    <row r="74" spans="2:6" x14ac:dyDescent="0.2">
      <c r="B74" s="158">
        <f>'General Detail'!A57</f>
        <v>0</v>
      </c>
      <c r="C74" s="176">
        <f>'General Detail'!B63</f>
        <v>0</v>
      </c>
      <c r="D74" s="176">
        <f>'General Detail'!C63</f>
        <v>0</v>
      </c>
      <c r="E74" s="42">
        <f>'General Detail'!D63</f>
        <v>0</v>
      </c>
    </row>
    <row r="75" spans="2:6" x14ac:dyDescent="0.2">
      <c r="B75" s="158">
        <f>'General Detail'!A75</f>
        <v>0</v>
      </c>
      <c r="C75" s="176">
        <f>'General Detail'!B81</f>
        <v>0</v>
      </c>
      <c r="D75" s="176">
        <f>'General Detail'!C81</f>
        <v>0</v>
      </c>
      <c r="E75" s="42">
        <f>'General Detail'!D81</f>
        <v>0</v>
      </c>
    </row>
    <row r="76" spans="2:6" x14ac:dyDescent="0.2">
      <c r="B76" s="158">
        <f>'General Detail'!A82</f>
        <v>0</v>
      </c>
      <c r="C76" s="176">
        <f>'General Detail'!B88</f>
        <v>0</v>
      </c>
      <c r="D76" s="176">
        <f>'General Detail'!C88</f>
        <v>0</v>
      </c>
      <c r="E76" s="42">
        <f>'General Detail'!D88</f>
        <v>0</v>
      </c>
    </row>
    <row r="77" spans="2:6" x14ac:dyDescent="0.2">
      <c r="B77" s="158">
        <f>'General Detail'!A89</f>
        <v>0</v>
      </c>
      <c r="C77" s="176">
        <f>'General Detail'!B95</f>
        <v>0</v>
      </c>
      <c r="D77" s="176">
        <f>'General Detail'!C95</f>
        <v>0</v>
      </c>
      <c r="E77" s="42">
        <f>'General Detail'!D95</f>
        <v>0</v>
      </c>
    </row>
    <row r="78" spans="2:6" x14ac:dyDescent="0.2">
      <c r="B78" s="158">
        <f>'General Detail'!A96</f>
        <v>0</v>
      </c>
      <c r="C78" s="176">
        <f>'General Detail'!B101</f>
        <v>0</v>
      </c>
      <c r="D78" s="176">
        <f>'General Detail'!C101</f>
        <v>0</v>
      </c>
      <c r="E78" s="42">
        <f>'General Detail'!D101</f>
        <v>0</v>
      </c>
    </row>
    <row r="79" spans="2:6" x14ac:dyDescent="0.2">
      <c r="B79" s="158">
        <f>'General Detail'!A102</f>
        <v>0</v>
      </c>
      <c r="C79" s="176">
        <f>'General Detail'!B108</f>
        <v>0</v>
      </c>
      <c r="D79" s="176">
        <f>'General Detail'!C108</f>
        <v>0</v>
      </c>
      <c r="E79" s="42">
        <f>'General Detail'!D108</f>
        <v>0</v>
      </c>
    </row>
    <row r="80" spans="2:6" x14ac:dyDescent="0.2">
      <c r="B80" s="158">
        <f>'General Detail'!A109</f>
        <v>0</v>
      </c>
      <c r="C80" s="176">
        <f>'General Detail'!B115</f>
        <v>0</v>
      </c>
      <c r="D80" s="176">
        <f>'General Detail'!C115</f>
        <v>0</v>
      </c>
      <c r="E80" s="42">
        <f>'General Detail'!D115</f>
        <v>0</v>
      </c>
    </row>
    <row r="81" spans="2:10" x14ac:dyDescent="0.2">
      <c r="B81" s="158">
        <f>'General Detail'!A116</f>
        <v>0</v>
      </c>
      <c r="C81" s="176">
        <f>'General Detail'!B122</f>
        <v>0</v>
      </c>
      <c r="D81" s="176">
        <f>'General Detail'!C122</f>
        <v>0</v>
      </c>
      <c r="E81" s="42">
        <f>'General Detail'!D122</f>
        <v>0</v>
      </c>
    </row>
    <row r="82" spans="2:10" x14ac:dyDescent="0.2">
      <c r="B82" s="158">
        <f>'General Detail'!A123</f>
        <v>0</v>
      </c>
      <c r="C82" s="176">
        <f>'General Detail'!B129</f>
        <v>0</v>
      </c>
      <c r="D82" s="176">
        <f>'General Detail'!C129</f>
        <v>0</v>
      </c>
      <c r="E82" s="42">
        <f>'General Detail'!D129</f>
        <v>0</v>
      </c>
    </row>
    <row r="83" spans="2:10" x14ac:dyDescent="0.2">
      <c r="B83" s="178" t="s">
        <v>331</v>
      </c>
      <c r="C83" s="253">
        <f>SUM(C67:C82)</f>
        <v>0</v>
      </c>
      <c r="D83" s="253">
        <f>SUM(D67:D82)</f>
        <v>0</v>
      </c>
      <c r="E83" s="190">
        <f>SUM(E67:E82)</f>
        <v>0</v>
      </c>
    </row>
    <row r="84" spans="2:10" x14ac:dyDescent="0.2">
      <c r="B84" s="167"/>
      <c r="C84" s="163"/>
      <c r="D84" s="163"/>
      <c r="E84" s="166"/>
    </row>
    <row r="85" spans="2:10" x14ac:dyDescent="0.2">
      <c r="B85" s="167"/>
      <c r="C85" s="163"/>
      <c r="D85" s="163"/>
      <c r="E85" s="166"/>
    </row>
    <row r="86" spans="2:10" x14ac:dyDescent="0.2">
      <c r="B86" s="167"/>
      <c r="C86" s="163"/>
      <c r="D86" s="163"/>
      <c r="E86" s="166"/>
    </row>
    <row r="87" spans="2:10" x14ac:dyDescent="0.2">
      <c r="B87" s="167"/>
      <c r="C87" s="163"/>
      <c r="D87" s="163"/>
      <c r="E87" s="166"/>
    </row>
    <row r="88" spans="2:10" x14ac:dyDescent="0.2">
      <c r="B88" s="167"/>
      <c r="C88" s="163"/>
      <c r="D88" s="163"/>
      <c r="E88" s="166"/>
      <c r="G88" s="867" t="str">
        <f>CONCATENATE("Desired Carryover Into ",E1+1,"")</f>
        <v>Desired Carryover Into 2026</v>
      </c>
      <c r="H88" s="868"/>
      <c r="I88" s="868"/>
      <c r="J88" s="869"/>
    </row>
    <row r="89" spans="2:10" x14ac:dyDescent="0.2">
      <c r="B89" s="179"/>
      <c r="C89" s="163"/>
      <c r="D89" s="163"/>
      <c r="E89" s="166"/>
      <c r="G89" s="501"/>
      <c r="H89" s="502"/>
      <c r="I89" s="502"/>
      <c r="J89" s="503"/>
    </row>
    <row r="90" spans="2:10" x14ac:dyDescent="0.2">
      <c r="B90" s="179"/>
      <c r="C90" s="163"/>
      <c r="D90" s="163"/>
      <c r="E90" s="166"/>
      <c r="G90" s="504" t="s">
        <v>368</v>
      </c>
      <c r="H90" s="505"/>
      <c r="I90" s="505"/>
      <c r="J90" s="506">
        <v>0</v>
      </c>
    </row>
    <row r="91" spans="2:10" x14ac:dyDescent="0.2">
      <c r="B91" s="179"/>
      <c r="C91" s="163"/>
      <c r="D91" s="163"/>
      <c r="E91" s="166"/>
      <c r="G91" s="507" t="s">
        <v>369</v>
      </c>
      <c r="H91" s="508"/>
      <c r="I91" s="509"/>
      <c r="J91" s="510" t="str">
        <f>IF(J90=0,"",ROUND((J90+E115-G103)/inputOth!E9*1000,3)-General!G108)</f>
        <v/>
      </c>
    </row>
    <row r="92" spans="2:10" x14ac:dyDescent="0.2">
      <c r="B92" s="179"/>
      <c r="C92" s="163"/>
      <c r="D92" s="163"/>
      <c r="E92" s="166"/>
      <c r="G92" s="511" t="str">
        <f>CONCATENATE("",E1," Total Expenditures Must Be:")</f>
        <v>2025 Total Expenditures Must Be:</v>
      </c>
      <c r="H92" s="512"/>
      <c r="I92" s="513"/>
      <c r="J92" s="514">
        <f>IF(J90&gt;0,IF(E112&lt;E56,IF(J90=G103,E112,((J90-G103)*(1-D114))+E56),E112+(J90-G103)),0)</f>
        <v>0</v>
      </c>
    </row>
    <row r="93" spans="2:10" x14ac:dyDescent="0.2">
      <c r="B93" s="179"/>
      <c r="C93" s="163"/>
      <c r="D93" s="163"/>
      <c r="E93" s="166"/>
      <c r="G93" s="515" t="s">
        <v>442</v>
      </c>
      <c r="H93" s="516"/>
      <c r="I93" s="517"/>
      <c r="J93" s="518">
        <f>IF(J90&gt;0,J92-E112,0)</f>
        <v>0</v>
      </c>
    </row>
    <row r="94" spans="2:10" x14ac:dyDescent="0.2">
      <c r="B94" s="179"/>
      <c r="C94" s="163"/>
      <c r="D94" s="163"/>
      <c r="E94" s="166"/>
    </row>
    <row r="95" spans="2:10" x14ac:dyDescent="0.2">
      <c r="B95" s="179"/>
      <c r="C95" s="163"/>
      <c r="D95" s="163"/>
      <c r="E95" s="166"/>
      <c r="G95" s="867" t="str">
        <f>CONCATENATE("Projected Carryover Into ",E1+1,"")</f>
        <v>Projected Carryover Into 2026</v>
      </c>
      <c r="H95" s="870"/>
      <c r="I95" s="870"/>
      <c r="J95" s="871"/>
    </row>
    <row r="96" spans="2:10" x14ac:dyDescent="0.2">
      <c r="B96" s="179"/>
      <c r="C96" s="163"/>
      <c r="D96" s="163"/>
      <c r="E96" s="166"/>
      <c r="G96" s="501"/>
      <c r="H96" s="502"/>
      <c r="I96" s="502"/>
      <c r="J96" s="503"/>
    </row>
    <row r="97" spans="2:11" x14ac:dyDescent="0.2">
      <c r="B97" s="179"/>
      <c r="C97" s="163"/>
      <c r="D97" s="163"/>
      <c r="E97" s="166"/>
      <c r="G97" s="519">
        <f>D109</f>
        <v>0</v>
      </c>
      <c r="H97" s="520" t="str">
        <f>CONCATENATE("",E1-1," Ending Cash Balance (est.)")</f>
        <v>2024 Ending Cash Balance (est.)</v>
      </c>
      <c r="I97" s="521"/>
      <c r="J97" s="503"/>
    </row>
    <row r="98" spans="2:11" x14ac:dyDescent="0.2">
      <c r="B98" s="179"/>
      <c r="C98" s="163"/>
      <c r="D98" s="163"/>
      <c r="E98" s="166"/>
      <c r="G98" s="519">
        <f>E55</f>
        <v>0</v>
      </c>
      <c r="H98" s="505" t="str">
        <f>CONCATENATE("",E1," Non-AV Receipts (est.)")</f>
        <v>2025 Non-AV Receipts (est.)</v>
      </c>
      <c r="I98" s="521"/>
      <c r="J98" s="503"/>
    </row>
    <row r="99" spans="2:11" x14ac:dyDescent="0.2">
      <c r="B99" s="179"/>
      <c r="C99" s="163"/>
      <c r="D99" s="163"/>
      <c r="E99" s="166"/>
      <c r="G99" s="522">
        <f>IF(E114&gt;0,E113,E115)</f>
        <v>0</v>
      </c>
      <c r="H99" s="505" t="str">
        <f>CONCATENATE("",E1," Ad Valorem Tax (est.)")</f>
        <v>2025 Ad Valorem Tax (est.)</v>
      </c>
      <c r="I99" s="521"/>
      <c r="J99" s="503"/>
      <c r="K99" s="523" t="str">
        <f>IF(G99=E115,"","Note: Does not include Delinquent Taxes")</f>
        <v/>
      </c>
    </row>
    <row r="100" spans="2:11" x14ac:dyDescent="0.2">
      <c r="B100" s="179"/>
      <c r="C100" s="163"/>
      <c r="D100" s="163"/>
      <c r="E100" s="166"/>
      <c r="G100" s="519">
        <f>SUM(G97:G99)</f>
        <v>0</v>
      </c>
      <c r="H100" s="505" t="str">
        <f>CONCATENATE("Total ",E1," Resources Available")</f>
        <v>Total 2025 Resources Available</v>
      </c>
      <c r="I100" s="521"/>
      <c r="J100" s="503"/>
    </row>
    <row r="101" spans="2:11" x14ac:dyDescent="0.2">
      <c r="B101" s="179"/>
      <c r="C101" s="163"/>
      <c r="D101" s="163"/>
      <c r="E101" s="166"/>
      <c r="G101" s="524"/>
      <c r="H101" s="505"/>
      <c r="I101" s="505"/>
      <c r="J101" s="503"/>
    </row>
    <row r="102" spans="2:11" x14ac:dyDescent="0.2">
      <c r="B102" s="179"/>
      <c r="C102" s="163"/>
      <c r="D102" s="163"/>
      <c r="E102" s="166"/>
      <c r="G102" s="522">
        <f>C108*0.05+C108</f>
        <v>0</v>
      </c>
      <c r="H102" s="505" t="str">
        <f>CONCATENATE("Less ",E1-2," Expenditures + 5%")</f>
        <v>Less 2023 Expenditures + 5%</v>
      </c>
      <c r="I102" s="521"/>
      <c r="J102" s="503"/>
    </row>
    <row r="103" spans="2:11" x14ac:dyDescent="0.2">
      <c r="B103" s="179"/>
      <c r="C103" s="163"/>
      <c r="D103" s="163"/>
      <c r="E103" s="166"/>
      <c r="G103" s="525">
        <f>G100-G102</f>
        <v>0</v>
      </c>
      <c r="H103" s="526" t="str">
        <f>CONCATENATE("Projected ",E1+1," Carryover (est.)")</f>
        <v>Projected 2026 Carryover (est.)</v>
      </c>
      <c r="I103" s="527"/>
      <c r="J103" s="528"/>
    </row>
    <row r="104" spans="2:11" x14ac:dyDescent="0.2">
      <c r="B104" s="179"/>
      <c r="C104" s="163"/>
      <c r="D104" s="163"/>
      <c r="E104" s="166"/>
    </row>
    <row r="105" spans="2:11" x14ac:dyDescent="0.2">
      <c r="B105" s="180" t="str">
        <f>CONCATENATE("Cash Reserve (",E1," column)")</f>
        <v>Cash Reserve (2025 column)</v>
      </c>
      <c r="C105" s="163"/>
      <c r="D105" s="163"/>
      <c r="E105" s="166"/>
      <c r="G105" s="872" t="s">
        <v>648</v>
      </c>
      <c r="H105" s="873"/>
      <c r="I105" s="873"/>
      <c r="J105" s="874"/>
    </row>
    <row r="106" spans="2:11" x14ac:dyDescent="0.2">
      <c r="B106" s="180" t="s">
        <v>9</v>
      </c>
      <c r="C106" s="163"/>
      <c r="D106" s="163"/>
      <c r="E106" s="166"/>
      <c r="G106" s="875"/>
      <c r="H106" s="876"/>
      <c r="I106" s="876"/>
      <c r="J106" s="877"/>
    </row>
    <row r="107" spans="2:11" x14ac:dyDescent="0.2">
      <c r="B107" s="180" t="s">
        <v>371</v>
      </c>
      <c r="C107" s="168" t="str">
        <f>IF(C108*0.1&lt;C106,"Exceed 10% Rule","")</f>
        <v/>
      </c>
      <c r="D107" s="168" t="str">
        <f>IF(D108*0.1&lt;D106,"Exceed 10% Rule","")</f>
        <v/>
      </c>
      <c r="E107" s="202" t="str">
        <f>IF(E108*0.1&lt;E106,"Exceed 10% Rule","")</f>
        <v/>
      </c>
      <c r="G107" s="533" t="str">
        <f>'Budget Hearing Notice'!H15</f>
        <v xml:space="preserve">  </v>
      </c>
      <c r="H107" s="530" t="str">
        <f>CONCATENATE("",E1," Estimated Fund Mill Rate")</f>
        <v>2025 Estimated Fund Mill Rate</v>
      </c>
      <c r="I107" s="531"/>
      <c r="J107" s="532"/>
    </row>
    <row r="108" spans="2:11" x14ac:dyDescent="0.2">
      <c r="B108" s="170" t="s">
        <v>75</v>
      </c>
      <c r="C108" s="172">
        <f>SUM(C83:C106)</f>
        <v>0</v>
      </c>
      <c r="D108" s="172">
        <f>SUM(D83:D106)</f>
        <v>0</v>
      </c>
      <c r="E108" s="173">
        <f>SUM(E83:E106)</f>
        <v>0</v>
      </c>
      <c r="G108" s="729" t="str">
        <f>'Budget Hearing Notice'!E15</f>
        <v xml:space="preserve">  </v>
      </c>
      <c r="H108" s="530" t="str">
        <f>CONCATENATE("",E1-1," Fund Mill Rate")</f>
        <v>2024 Fund Mill Rate</v>
      </c>
      <c r="I108" s="531"/>
      <c r="J108" s="532"/>
    </row>
    <row r="109" spans="2:11" x14ac:dyDescent="0.2">
      <c r="B109" s="87" t="s">
        <v>141</v>
      </c>
      <c r="C109" s="176">
        <f>C56-C108</f>
        <v>0</v>
      </c>
      <c r="D109" s="176">
        <f>D56-D108</f>
        <v>0</v>
      </c>
      <c r="E109" s="165" t="s">
        <v>49</v>
      </c>
      <c r="G109" s="730">
        <f>'Budget Hearing Notice'!H53</f>
        <v>0</v>
      </c>
      <c r="H109" s="731" t="s">
        <v>649</v>
      </c>
      <c r="I109" s="531"/>
      <c r="J109" s="532"/>
    </row>
    <row r="110" spans="2:11" x14ac:dyDescent="0.2">
      <c r="B110" s="102" t="str">
        <f>CONCATENATE("",E1-2,"/",E1-1,"/",E1," Budget Authority Amount:")</f>
        <v>2023/2024/2025 Budget Authority Amount:</v>
      </c>
      <c r="C110" s="584">
        <f>inputOth!B66</f>
        <v>0</v>
      </c>
      <c r="D110" s="584">
        <f>inputPrYr!D18</f>
        <v>0</v>
      </c>
      <c r="E110" s="134">
        <f>E108</f>
        <v>0</v>
      </c>
      <c r="G110" s="533">
        <f>'Budget Hearing Notice'!H52</f>
        <v>0</v>
      </c>
      <c r="H110" s="530" t="str">
        <f>CONCATENATE(E1," Estimated Total Mill Rate")</f>
        <v>2025 Estimated Total Mill Rate</v>
      </c>
      <c r="I110" s="531"/>
      <c r="J110" s="532"/>
    </row>
    <row r="111" spans="2:11" x14ac:dyDescent="0.2">
      <c r="B111" s="73"/>
      <c r="C111" s="861" t="s">
        <v>329</v>
      </c>
      <c r="D111" s="862"/>
      <c r="E111" s="166"/>
      <c r="G111" s="534">
        <f>'Budget Hearing Notice'!E52</f>
        <v>0</v>
      </c>
      <c r="H111" s="530" t="str">
        <f>CONCATENATE(E1-1," Total Mill Rate")</f>
        <v>2024 Total Mill Rate</v>
      </c>
      <c r="I111" s="531"/>
      <c r="J111" s="532"/>
    </row>
    <row r="112" spans="2:11" x14ac:dyDescent="0.2">
      <c r="B112" s="354" t="str">
        <f>CONCATENATE(C133,"     ",D133)</f>
        <v xml:space="preserve">     </v>
      </c>
      <c r="C112" s="863" t="s">
        <v>330</v>
      </c>
      <c r="D112" s="864"/>
      <c r="E112" s="134">
        <f>E108+E111</f>
        <v>0</v>
      </c>
      <c r="F112" s="181"/>
      <c r="G112" s="563"/>
      <c r="H112" s="539"/>
      <c r="I112" s="539"/>
      <c r="J112" s="570"/>
    </row>
    <row r="113" spans="2:10" x14ac:dyDescent="0.2">
      <c r="B113" s="354" t="str">
        <f>CONCATENATE(C134,"     ",D134)</f>
        <v xml:space="preserve">     </v>
      </c>
      <c r="C113" s="182"/>
      <c r="D113" s="101" t="s">
        <v>76</v>
      </c>
      <c r="E113" s="42">
        <f>IF(E112-E56&gt;0,E112-E56,0)</f>
        <v>0</v>
      </c>
      <c r="F113" s="316" t="str">
        <f>IF(E108/0.95-E108&lt;E111,"Exceeds 5%","")</f>
        <v/>
      </c>
      <c r="G113" s="878" t="s">
        <v>650</v>
      </c>
      <c r="H113" s="879"/>
      <c r="I113" s="879"/>
      <c r="J113" s="882" t="str">
        <f>IF(G110&gt;G109, "Yes", "No")</f>
        <v>No</v>
      </c>
    </row>
    <row r="114" spans="2:10" x14ac:dyDescent="0.2">
      <c r="B114" s="101"/>
      <c r="C114" s="258" t="s">
        <v>328</v>
      </c>
      <c r="D114" s="493">
        <f>inputOth!$E$53</f>
        <v>0</v>
      </c>
      <c r="E114" s="134">
        <f>ROUND(IF(D114&gt;0,(E113*D114),0),0)</f>
        <v>0</v>
      </c>
      <c r="G114" s="880"/>
      <c r="H114" s="881"/>
      <c r="I114" s="881"/>
      <c r="J114" s="883"/>
    </row>
    <row r="115" spans="2:10" ht="16.5" thickBot="1" x14ac:dyDescent="0.25">
      <c r="B115" s="20"/>
      <c r="C115" s="865" t="str">
        <f>CONCATENATE("Amount of  ",$E$1-1," Ad Valorem Tax")</f>
        <v>Amount of  2024 Ad Valorem Tax</v>
      </c>
      <c r="D115" s="866"/>
      <c r="E115" s="494">
        <f>E113+E114</f>
        <v>0</v>
      </c>
      <c r="G115" s="859" t="str">
        <f>IF(J113="Yes", "Follow procedure prescribed by KSA 79-2988 to exceed the Revenue Neutral Rate.", " ")</f>
        <v xml:space="preserve"> </v>
      </c>
      <c r="H115" s="859"/>
      <c r="I115" s="859"/>
      <c r="J115" s="859"/>
    </row>
    <row r="116" spans="2:10" ht="16.5" thickTop="1" x14ac:dyDescent="0.2">
      <c r="B116" s="20"/>
      <c r="C116" s="73"/>
      <c r="D116" s="20"/>
      <c r="E116" s="20"/>
      <c r="G116" s="860"/>
      <c r="H116" s="860"/>
      <c r="I116" s="860"/>
      <c r="J116" s="860"/>
    </row>
    <row r="117" spans="2:10" x14ac:dyDescent="0.2">
      <c r="B117" s="698" t="s">
        <v>529</v>
      </c>
      <c r="C117" s="668"/>
      <c r="D117" s="61"/>
      <c r="E117" s="677"/>
      <c r="G117" s="860"/>
      <c r="H117" s="860"/>
      <c r="I117" s="860"/>
      <c r="J117" s="860"/>
    </row>
    <row r="118" spans="2:10" x14ac:dyDescent="0.2">
      <c r="B118" s="563"/>
      <c r="C118" s="20"/>
      <c r="D118" s="20"/>
      <c r="E118" s="570"/>
    </row>
    <row r="119" spans="2:10" x14ac:dyDescent="0.2">
      <c r="B119" s="498"/>
      <c r="C119" s="35"/>
      <c r="D119" s="35"/>
      <c r="E119" s="41"/>
    </row>
    <row r="120" spans="2:10" x14ac:dyDescent="0.2">
      <c r="B120" s="20"/>
      <c r="C120" s="20"/>
      <c r="D120" s="20"/>
      <c r="E120" s="20"/>
    </row>
    <row r="121" spans="2:10" x14ac:dyDescent="0.2">
      <c r="B121" s="73" t="s">
        <v>70</v>
      </c>
      <c r="C121" s="102" t="str">
        <f>CONCATENATE("",C58,"b")</f>
        <v>6b</v>
      </c>
      <c r="D121" s="103"/>
      <c r="E121" s="103"/>
    </row>
    <row r="123" spans="2:10" x14ac:dyDescent="0.2">
      <c r="B123" s="56"/>
    </row>
    <row r="126" spans="2:10" x14ac:dyDescent="0.2">
      <c r="B126" s="16"/>
      <c r="C126" s="16"/>
    </row>
    <row r="131" spans="3:4" hidden="1" x14ac:dyDescent="0.2"/>
    <row r="132" spans="3:4" hidden="1" x14ac:dyDescent="0.2"/>
    <row r="133" spans="3:4" x14ac:dyDescent="0.2">
      <c r="C133" s="353" t="str">
        <f>IF(C108&gt;C110,"See Tab A","")</f>
        <v/>
      </c>
      <c r="D133" s="353" t="str">
        <f>IF(D108&gt;D110,"See Tab C","")</f>
        <v/>
      </c>
    </row>
    <row r="134" spans="3:4" x14ac:dyDescent="0.2">
      <c r="C134" s="353" t="str">
        <f>IF(C109&lt;0,"See Tab B","")</f>
        <v/>
      </c>
      <c r="D134" s="353" t="str">
        <f>IF(D109&lt;0,"See Tab D","")</f>
        <v/>
      </c>
    </row>
  </sheetData>
  <sheetProtection sheet="1"/>
  <mergeCells count="9">
    <mergeCell ref="G115:J117"/>
    <mergeCell ref="C111:D111"/>
    <mergeCell ref="C112:D112"/>
    <mergeCell ref="C115:D115"/>
    <mergeCell ref="G88:J88"/>
    <mergeCell ref="G95:J95"/>
    <mergeCell ref="G105:J106"/>
    <mergeCell ref="G113:I114"/>
    <mergeCell ref="J113:J114"/>
  </mergeCells>
  <phoneticPr fontId="0" type="noConversion"/>
  <conditionalFormatting sqref="C53">
    <cfRule type="cellIs" dxfId="338" priority="11" stopIfTrue="1" operator="greaterThan">
      <formula>$C$55*0.1</formula>
    </cfRule>
  </conditionalFormatting>
  <conditionalFormatting sqref="C106">
    <cfRule type="cellIs" dxfId="337" priority="8" stopIfTrue="1" operator="greaterThan">
      <formula>$C$108*0.1</formula>
    </cfRule>
  </conditionalFormatting>
  <conditionalFormatting sqref="C108">
    <cfRule type="cellIs" dxfId="336" priority="6" stopIfTrue="1" operator="greaterThan">
      <formula>$C$110</formula>
    </cfRule>
  </conditionalFormatting>
  <conditionalFormatting sqref="C109">
    <cfRule type="cellIs" dxfId="335" priority="7" stopIfTrue="1" operator="lessThan">
      <formula>0</formula>
    </cfRule>
  </conditionalFormatting>
  <conditionalFormatting sqref="D53">
    <cfRule type="cellIs" dxfId="334" priority="10" stopIfTrue="1" operator="greaterThan">
      <formula>$D$55*0.1</formula>
    </cfRule>
  </conditionalFormatting>
  <conditionalFormatting sqref="D106">
    <cfRule type="cellIs" dxfId="333" priority="9" stopIfTrue="1" operator="greaterThan">
      <formula>$D$108*0.1</formula>
    </cfRule>
  </conditionalFormatting>
  <conditionalFormatting sqref="D108">
    <cfRule type="cellIs" dxfId="332" priority="5" stopIfTrue="1" operator="greaterThan">
      <formula>$D$110</formula>
    </cfRule>
  </conditionalFormatting>
  <conditionalFormatting sqref="D109">
    <cfRule type="cellIs" dxfId="331" priority="2" stopIfTrue="1" operator="lessThan">
      <formula>0</formula>
    </cfRule>
  </conditionalFormatting>
  <conditionalFormatting sqref="E53">
    <cfRule type="cellIs" dxfId="330" priority="12" stopIfTrue="1" operator="greaterThan">
      <formula>$E$55*0.1+E115</formula>
    </cfRule>
  </conditionalFormatting>
  <conditionalFormatting sqref="E106">
    <cfRule type="cellIs" dxfId="329" priority="3" stopIfTrue="1" operator="greaterThan">
      <formula>$E$108*0.1</formula>
    </cfRule>
  </conditionalFormatting>
  <conditionalFormatting sqref="E111">
    <cfRule type="cellIs" dxfId="328" priority="4" stopIfTrue="1" operator="greaterThan">
      <formula>$E$108/0.95-$E$108</formula>
    </cfRule>
  </conditionalFormatting>
  <conditionalFormatting sqref="J113">
    <cfRule type="containsText" dxfId="327" priority="1" operator="containsText" text="Yes">
      <formula>NOT(ISERROR(SEARCH("Yes",J113)))</formula>
    </cfRule>
  </conditionalFormatting>
  <pageMargins left="0.5" right="0.5" top="1" bottom="0.5" header="0.5" footer="0.5"/>
  <pageSetup scale="70" fitToHeight="2" orientation="portrait" blackAndWhite="1" horizontalDpi="120" verticalDpi="144" r:id="rId1"/>
  <headerFooter alignWithMargins="0">
    <oddHeader>&amp;RState of Kansas
City</oddHeader>
  </headerFooter>
  <rowBreaks count="2" manualBreakCount="2">
    <brk id="58" min="1" max="4" man="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F0"/>
    <pageSetUpPr fitToPage="1"/>
  </sheetPr>
  <dimension ref="A1:D135"/>
  <sheetViews>
    <sheetView zoomScaleNormal="100" workbookViewId="0">
      <selection activeCell="L17" sqref="L17"/>
    </sheetView>
  </sheetViews>
  <sheetFormatPr defaultColWidth="8.88671875" defaultRowHeight="15.75" x14ac:dyDescent="0.2"/>
  <cols>
    <col min="1" max="1" width="28.33203125" style="16" customWidth="1"/>
    <col min="2" max="3" width="15.77734375" style="16" customWidth="1"/>
    <col min="4" max="4" width="16.109375" style="16" customWidth="1"/>
    <col min="5" max="16384" width="8.88671875" style="16"/>
  </cols>
  <sheetData>
    <row r="1" spans="1:4" x14ac:dyDescent="0.2">
      <c r="A1" s="39">
        <f>inputPrYr!D3</f>
        <v>0</v>
      </c>
      <c r="B1" s="20"/>
      <c r="C1" s="102"/>
      <c r="D1" s="20">
        <f>inputPrYr!C6</f>
        <v>2025</v>
      </c>
    </row>
    <row r="2" spans="1:4" x14ac:dyDescent="0.2">
      <c r="A2" s="20"/>
      <c r="B2" s="20"/>
      <c r="C2" s="20"/>
      <c r="D2" s="102"/>
    </row>
    <row r="3" spans="1:4" x14ac:dyDescent="0.2">
      <c r="A3" s="154"/>
      <c r="B3" s="155"/>
      <c r="C3" s="155"/>
      <c r="D3" s="155"/>
    </row>
    <row r="4" spans="1:4" x14ac:dyDescent="0.2">
      <c r="A4" s="132" t="s">
        <v>59</v>
      </c>
      <c r="B4" s="183" t="s">
        <v>377</v>
      </c>
      <c r="C4" s="81" t="s">
        <v>378</v>
      </c>
      <c r="D4" s="81" t="s">
        <v>379</v>
      </c>
    </row>
    <row r="5" spans="1:4" x14ac:dyDescent="0.2">
      <c r="A5" s="35" t="s">
        <v>276</v>
      </c>
      <c r="B5" s="86" t="str">
        <f>CONCATENATE("Actual for ",D1-2,"")</f>
        <v>Actual for 2023</v>
      </c>
      <c r="C5" s="86" t="str">
        <f>CONCATENATE("Estimate for ",D1-1,"")</f>
        <v>Estimate for 2024</v>
      </c>
      <c r="D5" s="86" t="str">
        <f>CONCATENATE("Year for ",D1,"")</f>
        <v>Year for 2025</v>
      </c>
    </row>
    <row r="6" spans="1:4" x14ac:dyDescent="0.2">
      <c r="A6" s="132" t="s">
        <v>71</v>
      </c>
      <c r="B6" s="44"/>
      <c r="C6" s="44"/>
      <c r="D6" s="44"/>
    </row>
    <row r="7" spans="1:4" x14ac:dyDescent="0.2">
      <c r="A7" s="184"/>
      <c r="B7" s="44"/>
      <c r="C7" s="44"/>
      <c r="D7" s="44"/>
    </row>
    <row r="8" spans="1:4" x14ac:dyDescent="0.2">
      <c r="A8" s="185" t="s">
        <v>79</v>
      </c>
      <c r="B8" s="166"/>
      <c r="C8" s="166"/>
      <c r="D8" s="166"/>
    </row>
    <row r="9" spans="1:4" x14ac:dyDescent="0.2">
      <c r="A9" s="185" t="s">
        <v>72</v>
      </c>
      <c r="B9" s="166"/>
      <c r="C9" s="166"/>
      <c r="D9" s="166"/>
    </row>
    <row r="10" spans="1:4" x14ac:dyDescent="0.2">
      <c r="A10" s="185" t="s">
        <v>73</v>
      </c>
      <c r="B10" s="166"/>
      <c r="C10" s="166"/>
      <c r="D10" s="166"/>
    </row>
    <row r="11" spans="1:4" x14ac:dyDescent="0.2">
      <c r="A11" s="185" t="s">
        <v>74</v>
      </c>
      <c r="B11" s="166"/>
      <c r="C11" s="166"/>
      <c r="D11" s="166"/>
    </row>
    <row r="12" spans="1:4" x14ac:dyDescent="0.2">
      <c r="A12" s="185"/>
      <c r="B12" s="166"/>
      <c r="C12" s="166"/>
      <c r="D12" s="166"/>
    </row>
    <row r="13" spans="1:4" x14ac:dyDescent="0.2">
      <c r="A13" s="33"/>
      <c r="B13" s="166"/>
      <c r="C13" s="166"/>
      <c r="D13" s="166"/>
    </row>
    <row r="14" spans="1:4" x14ac:dyDescent="0.2">
      <c r="A14" s="33"/>
      <c r="B14" s="166"/>
      <c r="C14" s="166"/>
      <c r="D14" s="166"/>
    </row>
    <row r="15" spans="1:4" x14ac:dyDescent="0.2">
      <c r="A15" s="132" t="s">
        <v>35</v>
      </c>
      <c r="B15" s="171">
        <f>SUM(B8:B14)</f>
        <v>0</v>
      </c>
      <c r="C15" s="171">
        <f>SUM(C8:C14)</f>
        <v>0</v>
      </c>
      <c r="D15" s="171">
        <f>SUM(D8:D14)</f>
        <v>0</v>
      </c>
    </row>
    <row r="16" spans="1:4" x14ac:dyDescent="0.2">
      <c r="A16" s="186"/>
      <c r="B16" s="39"/>
      <c r="C16" s="39"/>
      <c r="D16" s="39"/>
    </row>
    <row r="17" spans="1:4" x14ac:dyDescent="0.2">
      <c r="A17" s="185" t="s">
        <v>79</v>
      </c>
      <c r="B17" s="166"/>
      <c r="C17" s="166"/>
      <c r="D17" s="166"/>
    </row>
    <row r="18" spans="1:4" x14ac:dyDescent="0.2">
      <c r="A18" s="185" t="s">
        <v>72</v>
      </c>
      <c r="B18" s="166"/>
      <c r="C18" s="166"/>
      <c r="D18" s="166"/>
    </row>
    <row r="19" spans="1:4" x14ac:dyDescent="0.2">
      <c r="A19" s="185" t="s">
        <v>73</v>
      </c>
      <c r="B19" s="166"/>
      <c r="C19" s="166"/>
      <c r="D19" s="166"/>
    </row>
    <row r="20" spans="1:4" x14ac:dyDescent="0.2">
      <c r="A20" s="185" t="s">
        <v>74</v>
      </c>
      <c r="B20" s="166"/>
      <c r="C20" s="166"/>
      <c r="D20" s="166"/>
    </row>
    <row r="21" spans="1:4" x14ac:dyDescent="0.2">
      <c r="A21" s="185"/>
      <c r="B21" s="166"/>
      <c r="C21" s="166"/>
      <c r="D21" s="166"/>
    </row>
    <row r="22" spans="1:4" x14ac:dyDescent="0.2">
      <c r="A22" s="132" t="s">
        <v>35</v>
      </c>
      <c r="B22" s="171">
        <f>SUM(B17:B21)</f>
        <v>0</v>
      </c>
      <c r="C22" s="171">
        <f>SUM(C17:C21)</f>
        <v>0</v>
      </c>
      <c r="D22" s="171">
        <f>SUM(D17:D21)</f>
        <v>0</v>
      </c>
    </row>
    <row r="23" spans="1:4" x14ac:dyDescent="0.2">
      <c r="A23" s="186"/>
      <c r="B23" s="39"/>
      <c r="C23" s="39"/>
      <c r="D23" s="39"/>
    </row>
    <row r="24" spans="1:4" x14ac:dyDescent="0.2">
      <c r="A24" s="185" t="s">
        <v>79</v>
      </c>
      <c r="B24" s="166"/>
      <c r="C24" s="166"/>
      <c r="D24" s="166"/>
    </row>
    <row r="25" spans="1:4" x14ac:dyDescent="0.2">
      <c r="A25" s="185" t="s">
        <v>72</v>
      </c>
      <c r="B25" s="166"/>
      <c r="C25" s="166"/>
      <c r="D25" s="166"/>
    </row>
    <row r="26" spans="1:4" x14ac:dyDescent="0.2">
      <c r="A26" s="185" t="s">
        <v>73</v>
      </c>
      <c r="B26" s="166"/>
      <c r="C26" s="166"/>
      <c r="D26" s="166"/>
    </row>
    <row r="27" spans="1:4" x14ac:dyDescent="0.2">
      <c r="A27" s="185" t="s">
        <v>74</v>
      </c>
      <c r="B27" s="166"/>
      <c r="C27" s="166"/>
      <c r="D27" s="166"/>
    </row>
    <row r="28" spans="1:4" x14ac:dyDescent="0.2">
      <c r="A28" s="185"/>
      <c r="B28" s="166"/>
      <c r="C28" s="166"/>
      <c r="D28" s="166"/>
    </row>
    <row r="29" spans="1:4" x14ac:dyDescent="0.2">
      <c r="A29" s="132" t="s">
        <v>35</v>
      </c>
      <c r="B29" s="171">
        <f>SUM(B24:B28)</f>
        <v>0</v>
      </c>
      <c r="C29" s="171">
        <f>SUM(C24:C28)</f>
        <v>0</v>
      </c>
      <c r="D29" s="171">
        <f>SUM(D24:D28)</f>
        <v>0</v>
      </c>
    </row>
    <row r="30" spans="1:4" x14ac:dyDescent="0.2">
      <c r="A30" s="186"/>
      <c r="B30" s="39"/>
      <c r="C30" s="39"/>
      <c r="D30" s="39"/>
    </row>
    <row r="31" spans="1:4" x14ac:dyDescent="0.2">
      <c r="A31" s="185" t="s">
        <v>79</v>
      </c>
      <c r="B31" s="166"/>
      <c r="C31" s="166"/>
      <c r="D31" s="166"/>
    </row>
    <row r="32" spans="1:4" x14ac:dyDescent="0.2">
      <c r="A32" s="185" t="s">
        <v>72</v>
      </c>
      <c r="B32" s="166"/>
      <c r="C32" s="166"/>
      <c r="D32" s="166"/>
    </row>
    <row r="33" spans="1:4" x14ac:dyDescent="0.2">
      <c r="A33" s="185" t="s">
        <v>73</v>
      </c>
      <c r="B33" s="166"/>
      <c r="C33" s="166"/>
      <c r="D33" s="166"/>
    </row>
    <row r="34" spans="1:4" x14ac:dyDescent="0.2">
      <c r="A34" s="185" t="s">
        <v>74</v>
      </c>
      <c r="B34" s="166"/>
      <c r="C34" s="166"/>
      <c r="D34" s="166"/>
    </row>
    <row r="35" spans="1:4" x14ac:dyDescent="0.2">
      <c r="A35" s="132" t="s">
        <v>35</v>
      </c>
      <c r="B35" s="171">
        <f>SUM(B31:B34)</f>
        <v>0</v>
      </c>
      <c r="C35" s="171">
        <f>SUM(C31:C34)</f>
        <v>0</v>
      </c>
      <c r="D35" s="171">
        <f>SUM(D31:D34)</f>
        <v>0</v>
      </c>
    </row>
    <row r="36" spans="1:4" x14ac:dyDescent="0.2">
      <c r="A36" s="186"/>
      <c r="B36" s="39"/>
      <c r="C36" s="39"/>
      <c r="D36" s="39"/>
    </row>
    <row r="37" spans="1:4" x14ac:dyDescent="0.2">
      <c r="A37" s="185" t="s">
        <v>79</v>
      </c>
      <c r="B37" s="166"/>
      <c r="C37" s="166"/>
      <c r="D37" s="166"/>
    </row>
    <row r="38" spans="1:4" x14ac:dyDescent="0.2">
      <c r="A38" s="185" t="s">
        <v>72</v>
      </c>
      <c r="B38" s="166"/>
      <c r="C38" s="166"/>
      <c r="D38" s="166"/>
    </row>
    <row r="39" spans="1:4" x14ac:dyDescent="0.2">
      <c r="A39" s="185" t="s">
        <v>73</v>
      </c>
      <c r="B39" s="166"/>
      <c r="C39" s="166"/>
      <c r="D39" s="166"/>
    </row>
    <row r="40" spans="1:4" x14ac:dyDescent="0.2">
      <c r="A40" s="185" t="s">
        <v>74</v>
      </c>
      <c r="B40" s="166"/>
      <c r="C40" s="166"/>
      <c r="D40" s="166"/>
    </row>
    <row r="41" spans="1:4" x14ac:dyDescent="0.2">
      <c r="A41" s="185"/>
      <c r="B41" s="166"/>
      <c r="C41" s="166"/>
      <c r="D41" s="166"/>
    </row>
    <row r="42" spans="1:4" x14ac:dyDescent="0.2">
      <c r="A42" s="132" t="s">
        <v>35</v>
      </c>
      <c r="B42" s="171">
        <f>SUM(B37:B41)</f>
        <v>0</v>
      </c>
      <c r="C42" s="171">
        <f>SUM(C37:C41)</f>
        <v>0</v>
      </c>
      <c r="D42" s="171">
        <f>SUM(D37:D41)</f>
        <v>0</v>
      </c>
    </row>
    <row r="43" spans="1:4" x14ac:dyDescent="0.2">
      <c r="A43" s="186"/>
      <c r="B43" s="39"/>
      <c r="C43" s="39"/>
      <c r="D43" s="39"/>
    </row>
    <row r="44" spans="1:4" x14ac:dyDescent="0.2">
      <c r="A44" s="185" t="s">
        <v>79</v>
      </c>
      <c r="B44" s="166"/>
      <c r="C44" s="166"/>
      <c r="D44" s="166"/>
    </row>
    <row r="45" spans="1:4" x14ac:dyDescent="0.2">
      <c r="A45" s="185" t="s">
        <v>72</v>
      </c>
      <c r="B45" s="166"/>
      <c r="C45" s="166"/>
      <c r="D45" s="166"/>
    </row>
    <row r="46" spans="1:4" x14ac:dyDescent="0.2">
      <c r="A46" s="185" t="s">
        <v>73</v>
      </c>
      <c r="B46" s="166"/>
      <c r="C46" s="166"/>
      <c r="D46" s="166"/>
    </row>
    <row r="47" spans="1:4" x14ac:dyDescent="0.2">
      <c r="A47" s="185" t="s">
        <v>74</v>
      </c>
      <c r="B47" s="166"/>
      <c r="C47" s="166"/>
      <c r="D47" s="166"/>
    </row>
    <row r="48" spans="1:4" x14ac:dyDescent="0.2">
      <c r="A48" s="185"/>
      <c r="B48" s="166"/>
      <c r="C48" s="166"/>
      <c r="D48" s="166"/>
    </row>
    <row r="49" spans="1:4" x14ac:dyDescent="0.2">
      <c r="A49" s="132" t="s">
        <v>35</v>
      </c>
      <c r="B49" s="171">
        <f>SUM(B44:B48)</f>
        <v>0</v>
      </c>
      <c r="C49" s="171">
        <f>SUM(C44:C48)</f>
        <v>0</v>
      </c>
      <c r="D49" s="171">
        <f>SUM(D44:D48)</f>
        <v>0</v>
      </c>
    </row>
    <row r="50" spans="1:4" x14ac:dyDescent="0.2">
      <c r="A50" s="186"/>
      <c r="B50" s="39"/>
      <c r="C50" s="39"/>
      <c r="D50" s="39"/>
    </row>
    <row r="51" spans="1:4" x14ac:dyDescent="0.2">
      <c r="A51" s="185" t="s">
        <v>79</v>
      </c>
      <c r="B51" s="166"/>
      <c r="C51" s="166"/>
      <c r="D51" s="166"/>
    </row>
    <row r="52" spans="1:4" x14ac:dyDescent="0.2">
      <c r="A52" s="185" t="s">
        <v>72</v>
      </c>
      <c r="B52" s="166"/>
      <c r="C52" s="166"/>
      <c r="D52" s="166"/>
    </row>
    <row r="53" spans="1:4" x14ac:dyDescent="0.2">
      <c r="A53" s="185" t="s">
        <v>73</v>
      </c>
      <c r="B53" s="166"/>
      <c r="C53" s="166"/>
      <c r="D53" s="166"/>
    </row>
    <row r="54" spans="1:4" x14ac:dyDescent="0.2">
      <c r="A54" s="185" t="s">
        <v>74</v>
      </c>
      <c r="B54" s="166"/>
      <c r="C54" s="166"/>
      <c r="D54" s="166"/>
    </row>
    <row r="55" spans="1:4" x14ac:dyDescent="0.2">
      <c r="A55" s="185"/>
      <c r="B55" s="166"/>
      <c r="C55" s="166"/>
      <c r="D55" s="166"/>
    </row>
    <row r="56" spans="1:4" x14ac:dyDescent="0.2">
      <c r="A56" s="132" t="s">
        <v>35</v>
      </c>
      <c r="B56" s="171">
        <f>SUM(B51:B55)</f>
        <v>0</v>
      </c>
      <c r="C56" s="171">
        <f>SUM(C51:C55)</f>
        <v>0</v>
      </c>
      <c r="D56" s="171">
        <f>SUM(D51:D55)</f>
        <v>0</v>
      </c>
    </row>
    <row r="57" spans="1:4" x14ac:dyDescent="0.2">
      <c r="A57" s="186"/>
      <c r="B57" s="39"/>
      <c r="C57" s="39"/>
      <c r="D57" s="39"/>
    </row>
    <row r="58" spans="1:4" x14ac:dyDescent="0.2">
      <c r="A58" s="185" t="s">
        <v>79</v>
      </c>
      <c r="B58" s="166"/>
      <c r="C58" s="166"/>
      <c r="D58" s="166"/>
    </row>
    <row r="59" spans="1:4" x14ac:dyDescent="0.2">
      <c r="A59" s="185" t="s">
        <v>72</v>
      </c>
      <c r="B59" s="166"/>
      <c r="C59" s="166"/>
      <c r="D59" s="166"/>
    </row>
    <row r="60" spans="1:4" x14ac:dyDescent="0.2">
      <c r="A60" s="185" t="s">
        <v>73</v>
      </c>
      <c r="B60" s="166"/>
      <c r="C60" s="166"/>
      <c r="D60" s="166"/>
    </row>
    <row r="61" spans="1:4" x14ac:dyDescent="0.2">
      <c r="A61" s="185" t="s">
        <v>74</v>
      </c>
      <c r="B61" s="166"/>
      <c r="C61" s="166"/>
      <c r="D61" s="166"/>
    </row>
    <row r="62" spans="1:4" x14ac:dyDescent="0.2">
      <c r="A62" s="185"/>
      <c r="B62" s="166"/>
      <c r="C62" s="166"/>
      <c r="D62" s="166"/>
    </row>
    <row r="63" spans="1:4" x14ac:dyDescent="0.2">
      <c r="A63" s="132" t="s">
        <v>35</v>
      </c>
      <c r="B63" s="171">
        <f>SUM(B58:B62)</f>
        <v>0</v>
      </c>
      <c r="C63" s="171">
        <f>SUM(C58:C62)</f>
        <v>0</v>
      </c>
      <c r="D63" s="171">
        <f>SUM(D58:D62)</f>
        <v>0</v>
      </c>
    </row>
    <row r="64" spans="1:4" x14ac:dyDescent="0.2">
      <c r="A64" s="20"/>
      <c r="B64" s="39"/>
      <c r="C64" s="39"/>
      <c r="D64" s="39"/>
    </row>
    <row r="65" spans="1:4" ht="16.5" thickBot="1" x14ac:dyDescent="0.25">
      <c r="A65" s="132" t="s">
        <v>272</v>
      </c>
      <c r="B65" s="187">
        <f>B15+B22+B29+B35+B42+B49+B56+B63</f>
        <v>0</v>
      </c>
      <c r="C65" s="187">
        <f>C15+C22+C29+C35+C42+C49+C56+C63</f>
        <v>0</v>
      </c>
      <c r="D65" s="187">
        <f>D15+D22+D29+D35+D42+D49+D56+D63</f>
        <v>0</v>
      </c>
    </row>
    <row r="66" spans="1:4" ht="16.5" thickTop="1" x14ac:dyDescent="0.2">
      <c r="A66" s="71"/>
      <c r="B66" s="39"/>
      <c r="C66" s="39"/>
      <c r="D66" s="39"/>
    </row>
    <row r="67" spans="1:4" x14ac:dyDescent="0.2">
      <c r="A67" s="73" t="s">
        <v>78</v>
      </c>
      <c r="B67" s="39" t="str">
        <f>CONCATENATE("",General!C58,"c")</f>
        <v>6c</v>
      </c>
      <c r="C67" s="39"/>
      <c r="D67" s="39"/>
    </row>
    <row r="68" spans="1:4" x14ac:dyDescent="0.2">
      <c r="A68" s="20"/>
      <c r="B68" s="39"/>
      <c r="C68" s="39"/>
      <c r="D68" s="39"/>
    </row>
    <row r="69" spans="1:4" x14ac:dyDescent="0.2">
      <c r="A69" s="39">
        <f>A1</f>
        <v>0</v>
      </c>
      <c r="B69" s="20"/>
      <c r="C69" s="102"/>
      <c r="D69" s="20">
        <f>D1</f>
        <v>2025</v>
      </c>
    </row>
    <row r="70" spans="1:4" x14ac:dyDescent="0.2">
      <c r="A70" s="20"/>
      <c r="B70" s="20"/>
      <c r="C70" s="20"/>
      <c r="D70" s="102"/>
    </row>
    <row r="71" spans="1:4" x14ac:dyDescent="0.2">
      <c r="A71" s="154"/>
      <c r="B71" s="155"/>
      <c r="C71" s="155"/>
      <c r="D71" s="155"/>
    </row>
    <row r="72" spans="1:4" x14ac:dyDescent="0.2">
      <c r="A72" s="132" t="s">
        <v>59</v>
      </c>
      <c r="B72" s="183" t="s">
        <v>377</v>
      </c>
      <c r="C72" s="81" t="s">
        <v>378</v>
      </c>
      <c r="D72" s="81" t="s">
        <v>379</v>
      </c>
    </row>
    <row r="73" spans="1:4" x14ac:dyDescent="0.2">
      <c r="A73" s="35" t="s">
        <v>277</v>
      </c>
      <c r="B73" s="86" t="str">
        <f>CONCATENATE("Actual for ",D69-2,"")</f>
        <v>Actual for 2023</v>
      </c>
      <c r="C73" s="86" t="str">
        <f>CONCATENATE("Estimate for ",D69-1,"")</f>
        <v>Estimate for 2024</v>
      </c>
      <c r="D73" s="86" t="str">
        <f>CONCATENATE("Year for ",D69,"")</f>
        <v>Year for 2025</v>
      </c>
    </row>
    <row r="74" spans="1:4" x14ac:dyDescent="0.2">
      <c r="A74" s="132" t="s">
        <v>71</v>
      </c>
      <c r="B74" s="44"/>
      <c r="C74" s="44"/>
      <c r="D74" s="44"/>
    </row>
    <row r="75" spans="1:4" x14ac:dyDescent="0.2">
      <c r="A75" s="184"/>
      <c r="B75" s="44"/>
      <c r="C75" s="44"/>
      <c r="D75" s="44"/>
    </row>
    <row r="76" spans="1:4" x14ac:dyDescent="0.2">
      <c r="A76" s="185" t="s">
        <v>79</v>
      </c>
      <c r="B76" s="166"/>
      <c r="C76" s="166"/>
      <c r="D76" s="166"/>
    </row>
    <row r="77" spans="1:4" x14ac:dyDescent="0.2">
      <c r="A77" s="185" t="s">
        <v>72</v>
      </c>
      <c r="B77" s="166"/>
      <c r="C77" s="166"/>
      <c r="D77" s="166"/>
    </row>
    <row r="78" spans="1:4" x14ac:dyDescent="0.2">
      <c r="A78" s="185" t="s">
        <v>73</v>
      </c>
      <c r="B78" s="166"/>
      <c r="C78" s="166"/>
      <c r="D78" s="166"/>
    </row>
    <row r="79" spans="1:4" x14ac:dyDescent="0.2">
      <c r="A79" s="185" t="s">
        <v>74</v>
      </c>
      <c r="B79" s="166"/>
      <c r="C79" s="166"/>
      <c r="D79" s="166"/>
    </row>
    <row r="80" spans="1:4" x14ac:dyDescent="0.2">
      <c r="A80" s="33"/>
      <c r="B80" s="166"/>
      <c r="C80" s="166"/>
      <c r="D80" s="166"/>
    </row>
    <row r="81" spans="1:4" x14ac:dyDescent="0.2">
      <c r="A81" s="132" t="s">
        <v>35</v>
      </c>
      <c r="B81" s="171">
        <f>SUM(B76:B80)</f>
        <v>0</v>
      </c>
      <c r="C81" s="171">
        <f>SUM(C76:C80)</f>
        <v>0</v>
      </c>
      <c r="D81" s="171">
        <f>SUM(D76:D80)</f>
        <v>0</v>
      </c>
    </row>
    <row r="82" spans="1:4" x14ac:dyDescent="0.2">
      <c r="A82" s="186"/>
      <c r="B82" s="39"/>
      <c r="C82" s="39"/>
      <c r="D82" s="39"/>
    </row>
    <row r="83" spans="1:4" x14ac:dyDescent="0.2">
      <c r="A83" s="185" t="s">
        <v>79</v>
      </c>
      <c r="B83" s="166"/>
      <c r="C83" s="166"/>
      <c r="D83" s="166"/>
    </row>
    <row r="84" spans="1:4" x14ac:dyDescent="0.2">
      <c r="A84" s="185" t="s">
        <v>72</v>
      </c>
      <c r="B84" s="166"/>
      <c r="C84" s="166"/>
      <c r="D84" s="166"/>
    </row>
    <row r="85" spans="1:4" x14ac:dyDescent="0.2">
      <c r="A85" s="185" t="s">
        <v>73</v>
      </c>
      <c r="B85" s="166"/>
      <c r="C85" s="166"/>
      <c r="D85" s="166"/>
    </row>
    <row r="86" spans="1:4" x14ac:dyDescent="0.2">
      <c r="A86" s="185" t="s">
        <v>74</v>
      </c>
      <c r="B86" s="166"/>
      <c r="C86" s="166"/>
      <c r="D86" s="166"/>
    </row>
    <row r="87" spans="1:4" x14ac:dyDescent="0.2">
      <c r="A87" s="185"/>
      <c r="B87" s="166"/>
      <c r="C87" s="166"/>
      <c r="D87" s="166"/>
    </row>
    <row r="88" spans="1:4" x14ac:dyDescent="0.2">
      <c r="A88" s="132" t="s">
        <v>35</v>
      </c>
      <c r="B88" s="171">
        <f>SUM(B83:B87)</f>
        <v>0</v>
      </c>
      <c r="C88" s="171">
        <f>SUM(C83:C87)</f>
        <v>0</v>
      </c>
      <c r="D88" s="171">
        <f>SUM(D83:D87)</f>
        <v>0</v>
      </c>
    </row>
    <row r="89" spans="1:4" x14ac:dyDescent="0.2">
      <c r="A89" s="186"/>
      <c r="B89" s="39"/>
      <c r="C89" s="39"/>
      <c r="D89" s="39"/>
    </row>
    <row r="90" spans="1:4" x14ac:dyDescent="0.2">
      <c r="A90" s="185" t="s">
        <v>79</v>
      </c>
      <c r="B90" s="166"/>
      <c r="C90" s="166"/>
      <c r="D90" s="166"/>
    </row>
    <row r="91" spans="1:4" x14ac:dyDescent="0.2">
      <c r="A91" s="185" t="s">
        <v>72</v>
      </c>
      <c r="B91" s="166"/>
      <c r="C91" s="166"/>
      <c r="D91" s="166"/>
    </row>
    <row r="92" spans="1:4" x14ac:dyDescent="0.2">
      <c r="A92" s="185" t="s">
        <v>73</v>
      </c>
      <c r="B92" s="166"/>
      <c r="C92" s="166"/>
      <c r="D92" s="166"/>
    </row>
    <row r="93" spans="1:4" x14ac:dyDescent="0.2">
      <c r="A93" s="185" t="s">
        <v>74</v>
      </c>
      <c r="B93" s="166"/>
      <c r="C93" s="166"/>
      <c r="D93" s="166"/>
    </row>
    <row r="94" spans="1:4" x14ac:dyDescent="0.2">
      <c r="A94" s="185"/>
      <c r="B94" s="166"/>
      <c r="C94" s="166"/>
      <c r="D94" s="166"/>
    </row>
    <row r="95" spans="1:4" x14ac:dyDescent="0.2">
      <c r="A95" s="132" t="s">
        <v>35</v>
      </c>
      <c r="B95" s="171">
        <f>SUM(B90:B94)</f>
        <v>0</v>
      </c>
      <c r="C95" s="171">
        <f>SUM(C90:C94)</f>
        <v>0</v>
      </c>
      <c r="D95" s="171">
        <f>SUM(D90:D94)</f>
        <v>0</v>
      </c>
    </row>
    <row r="96" spans="1:4" x14ac:dyDescent="0.2">
      <c r="A96" s="186"/>
      <c r="B96" s="39"/>
      <c r="C96" s="39"/>
      <c r="D96" s="39"/>
    </row>
    <row r="97" spans="1:4" x14ac:dyDescent="0.2">
      <c r="A97" s="185" t="s">
        <v>79</v>
      </c>
      <c r="B97" s="166"/>
      <c r="C97" s="166"/>
      <c r="D97" s="166"/>
    </row>
    <row r="98" spans="1:4" x14ac:dyDescent="0.2">
      <c r="A98" s="185" t="s">
        <v>72</v>
      </c>
      <c r="B98" s="166"/>
      <c r="C98" s="166"/>
      <c r="D98" s="166"/>
    </row>
    <row r="99" spans="1:4" x14ac:dyDescent="0.2">
      <c r="A99" s="185" t="s">
        <v>73</v>
      </c>
      <c r="B99" s="166"/>
      <c r="C99" s="166"/>
      <c r="D99" s="166"/>
    </row>
    <row r="100" spans="1:4" x14ac:dyDescent="0.2">
      <c r="A100" s="185" t="s">
        <v>74</v>
      </c>
      <c r="B100" s="166"/>
      <c r="C100" s="166"/>
      <c r="D100" s="166"/>
    </row>
    <row r="101" spans="1:4" x14ac:dyDescent="0.2">
      <c r="A101" s="132" t="s">
        <v>35</v>
      </c>
      <c r="B101" s="171">
        <f>SUM(B97:B100)</f>
        <v>0</v>
      </c>
      <c r="C101" s="171">
        <f>SUM(C97:C100)</f>
        <v>0</v>
      </c>
      <c r="D101" s="171">
        <f>SUM(D97:D100)</f>
        <v>0</v>
      </c>
    </row>
    <row r="102" spans="1:4" x14ac:dyDescent="0.2">
      <c r="A102" s="186"/>
      <c r="B102" s="39"/>
      <c r="C102" s="39"/>
      <c r="D102" s="39"/>
    </row>
    <row r="103" spans="1:4" x14ac:dyDescent="0.2">
      <c r="A103" s="185" t="s">
        <v>79</v>
      </c>
      <c r="B103" s="166"/>
      <c r="C103" s="166"/>
      <c r="D103" s="166"/>
    </row>
    <row r="104" spans="1:4" x14ac:dyDescent="0.2">
      <c r="A104" s="185" t="s">
        <v>72</v>
      </c>
      <c r="B104" s="166"/>
      <c r="C104" s="166"/>
      <c r="D104" s="166"/>
    </row>
    <row r="105" spans="1:4" x14ac:dyDescent="0.2">
      <c r="A105" s="185" t="s">
        <v>73</v>
      </c>
      <c r="B105" s="166"/>
      <c r="C105" s="166"/>
      <c r="D105" s="166"/>
    </row>
    <row r="106" spans="1:4" x14ac:dyDescent="0.2">
      <c r="A106" s="185" t="s">
        <v>74</v>
      </c>
      <c r="B106" s="166"/>
      <c r="C106" s="166"/>
      <c r="D106" s="166"/>
    </row>
    <row r="107" spans="1:4" x14ac:dyDescent="0.2">
      <c r="A107" s="185"/>
      <c r="B107" s="166"/>
      <c r="C107" s="166"/>
      <c r="D107" s="166"/>
    </row>
    <row r="108" spans="1:4" x14ac:dyDescent="0.2">
      <c r="A108" s="132" t="s">
        <v>35</v>
      </c>
      <c r="B108" s="171">
        <f>SUM(B103:B107)</f>
        <v>0</v>
      </c>
      <c r="C108" s="171">
        <f>SUM(C103:C107)</f>
        <v>0</v>
      </c>
      <c r="D108" s="171">
        <f>SUM(D103:D107)</f>
        <v>0</v>
      </c>
    </row>
    <row r="109" spans="1:4" x14ac:dyDescent="0.2">
      <c r="A109" s="186"/>
      <c r="B109" s="39"/>
      <c r="C109" s="39"/>
      <c r="D109" s="39"/>
    </row>
    <row r="110" spans="1:4" x14ac:dyDescent="0.2">
      <c r="A110" s="185" t="s">
        <v>79</v>
      </c>
      <c r="B110" s="166"/>
      <c r="C110" s="166"/>
      <c r="D110" s="166"/>
    </row>
    <row r="111" spans="1:4" x14ac:dyDescent="0.2">
      <c r="A111" s="185" t="s">
        <v>72</v>
      </c>
      <c r="B111" s="166"/>
      <c r="C111" s="166"/>
      <c r="D111" s="166"/>
    </row>
    <row r="112" spans="1:4" x14ac:dyDescent="0.2">
      <c r="A112" s="185" t="s">
        <v>73</v>
      </c>
      <c r="B112" s="166"/>
      <c r="C112" s="166"/>
      <c r="D112" s="166"/>
    </row>
    <row r="113" spans="1:4" x14ac:dyDescent="0.2">
      <c r="A113" s="185" t="s">
        <v>74</v>
      </c>
      <c r="B113" s="166"/>
      <c r="C113" s="166"/>
      <c r="D113" s="166"/>
    </row>
    <row r="114" spans="1:4" x14ac:dyDescent="0.2">
      <c r="A114" s="185"/>
      <c r="B114" s="166"/>
      <c r="C114" s="166"/>
      <c r="D114" s="166"/>
    </row>
    <row r="115" spans="1:4" x14ac:dyDescent="0.2">
      <c r="A115" s="132" t="s">
        <v>35</v>
      </c>
      <c r="B115" s="171">
        <f>SUM(B110:B114)</f>
        <v>0</v>
      </c>
      <c r="C115" s="171">
        <f>SUM(C110:C114)</f>
        <v>0</v>
      </c>
      <c r="D115" s="171">
        <f>SUM(D110:D114)</f>
        <v>0</v>
      </c>
    </row>
    <row r="116" spans="1:4" x14ac:dyDescent="0.2">
      <c r="A116" s="186"/>
      <c r="B116" s="39"/>
      <c r="C116" s="39"/>
      <c r="D116" s="39"/>
    </row>
    <row r="117" spans="1:4" x14ac:dyDescent="0.2">
      <c r="A117" s="185" t="s">
        <v>79</v>
      </c>
      <c r="B117" s="166"/>
      <c r="C117" s="166"/>
      <c r="D117" s="166"/>
    </row>
    <row r="118" spans="1:4" x14ac:dyDescent="0.2">
      <c r="A118" s="185" t="s">
        <v>72</v>
      </c>
      <c r="B118" s="166"/>
      <c r="C118" s="166"/>
      <c r="D118" s="166"/>
    </row>
    <row r="119" spans="1:4" x14ac:dyDescent="0.2">
      <c r="A119" s="185" t="s">
        <v>73</v>
      </c>
      <c r="B119" s="166"/>
      <c r="C119" s="166"/>
      <c r="D119" s="166"/>
    </row>
    <row r="120" spans="1:4" x14ac:dyDescent="0.2">
      <c r="A120" s="185" t="s">
        <v>74</v>
      </c>
      <c r="B120" s="166"/>
      <c r="C120" s="166"/>
      <c r="D120" s="166"/>
    </row>
    <row r="121" spans="1:4" x14ac:dyDescent="0.2">
      <c r="A121" s="185"/>
      <c r="B121" s="166"/>
      <c r="C121" s="166"/>
      <c r="D121" s="166"/>
    </row>
    <row r="122" spans="1:4" x14ac:dyDescent="0.2">
      <c r="A122" s="132" t="s">
        <v>35</v>
      </c>
      <c r="B122" s="171">
        <f>SUM(B117:B121)</f>
        <v>0</v>
      </c>
      <c r="C122" s="171">
        <f>SUM(C117:C121)</f>
        <v>0</v>
      </c>
      <c r="D122" s="171">
        <f>SUM(D117:D121)</f>
        <v>0</v>
      </c>
    </row>
    <row r="123" spans="1:4" x14ac:dyDescent="0.2">
      <c r="A123" s="186"/>
      <c r="B123" s="39"/>
      <c r="C123" s="39"/>
      <c r="D123" s="39"/>
    </row>
    <row r="124" spans="1:4" x14ac:dyDescent="0.2">
      <c r="A124" s="185" t="s">
        <v>79</v>
      </c>
      <c r="B124" s="166"/>
      <c r="C124" s="166"/>
      <c r="D124" s="166"/>
    </row>
    <row r="125" spans="1:4" x14ac:dyDescent="0.2">
      <c r="A125" s="185" t="s">
        <v>72</v>
      </c>
      <c r="B125" s="166"/>
      <c r="C125" s="166"/>
      <c r="D125" s="166"/>
    </row>
    <row r="126" spans="1:4" x14ac:dyDescent="0.2">
      <c r="A126" s="185" t="s">
        <v>73</v>
      </c>
      <c r="B126" s="166"/>
      <c r="C126" s="166"/>
      <c r="D126" s="166"/>
    </row>
    <row r="127" spans="1:4" x14ac:dyDescent="0.2">
      <c r="A127" s="185" t="s">
        <v>74</v>
      </c>
      <c r="B127" s="166"/>
      <c r="C127" s="166"/>
      <c r="D127" s="166"/>
    </row>
    <row r="128" spans="1:4" x14ac:dyDescent="0.2">
      <c r="A128" s="185"/>
      <c r="B128" s="166"/>
      <c r="C128" s="166"/>
      <c r="D128" s="166"/>
    </row>
    <row r="129" spans="1:4" x14ac:dyDescent="0.2">
      <c r="A129" s="132" t="s">
        <v>35</v>
      </c>
      <c r="B129" s="171">
        <f>SUM(B124:B128)</f>
        <v>0</v>
      </c>
      <c r="C129" s="171">
        <f>SUM(C124:C128)</f>
        <v>0</v>
      </c>
      <c r="D129" s="241">
        <f>SUM(D124:D128)</f>
        <v>0</v>
      </c>
    </row>
    <row r="130" spans="1:4" x14ac:dyDescent="0.2">
      <c r="A130" s="132"/>
      <c r="B130" s="39"/>
      <c r="C130" s="39"/>
      <c r="D130" s="39"/>
    </row>
    <row r="131" spans="1:4" x14ac:dyDescent="0.2">
      <c r="A131" s="30" t="s">
        <v>274</v>
      </c>
      <c r="B131" s="242">
        <f>B81+B88+B95+B101+B108+B115+B122+B129</f>
        <v>0</v>
      </c>
      <c r="C131" s="242">
        <f>C81+C88+C95+C101+C108+C115+C122+C129</f>
        <v>0</v>
      </c>
      <c r="D131" s="242">
        <f>D81+D88+D95+D101+D108+D115+D122+D129</f>
        <v>0</v>
      </c>
    </row>
    <row r="132" spans="1:4" x14ac:dyDescent="0.2">
      <c r="A132" s="132" t="s">
        <v>273</v>
      </c>
      <c r="B132" s="171">
        <f>B65</f>
        <v>0</v>
      </c>
      <c r="C132" s="171">
        <f>C65</f>
        <v>0</v>
      </c>
      <c r="D132" s="171">
        <f>D65</f>
        <v>0</v>
      </c>
    </row>
    <row r="133" spans="1:4" ht="16.5" thickBot="1" x14ac:dyDescent="0.25">
      <c r="A133" s="132" t="s">
        <v>275</v>
      </c>
      <c r="B133" s="187">
        <f>SUM(B131:B132)</f>
        <v>0</v>
      </c>
      <c r="C133" s="187">
        <f>SUM(C131:C132)</f>
        <v>0</v>
      </c>
      <c r="D133" s="187">
        <f>SUM(D131:D132)</f>
        <v>0</v>
      </c>
    </row>
    <row r="134" spans="1:4" ht="16.5" thickTop="1" x14ac:dyDescent="0.2">
      <c r="A134" s="71" t="s">
        <v>17</v>
      </c>
      <c r="B134" s="39"/>
      <c r="C134" s="39"/>
      <c r="D134" s="39"/>
    </row>
    <row r="135" spans="1:4" x14ac:dyDescent="0.2">
      <c r="A135" s="73" t="s">
        <v>78</v>
      </c>
      <c r="B135" s="39" t="str">
        <f>CONCATENATE("",General!C58,"d")</f>
        <v>6d</v>
      </c>
      <c r="C135" s="39"/>
      <c r="D135" s="39"/>
    </row>
  </sheetData>
  <sheetProtection sheet="1"/>
  <phoneticPr fontId="0" type="noConversion"/>
  <pageMargins left="0.5" right="0.5" top="1" bottom="0.5" header="0.5" footer="0.5"/>
  <pageSetup scale="69" fitToHeight="2" orientation="portrait" blackAndWhite="1" horizontalDpi="300" verticalDpi="300" r:id="rId1"/>
  <headerFooter alignWithMargins="0">
    <oddHeader>&amp;RState of Kansas
City</oddHeader>
  </headerFooter>
  <rowBreaks count="3" manualBreakCount="3">
    <brk id="67" max="16383" man="1"/>
    <brk id="69" max="16383" man="1"/>
    <brk id="135" max="16383" man="1"/>
  </rowBreaks>
  <colBreaks count="3" manualBreakCount="3">
    <brk id="1" max="1048575" man="1"/>
    <brk id="2" max="1048575" man="1"/>
    <brk id="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F0"/>
    <pageSetUpPr fitToPage="1"/>
  </sheetPr>
  <dimension ref="B1:P74"/>
  <sheetViews>
    <sheetView zoomScaleNormal="100" workbookViewId="0">
      <selection activeCell="B7" sqref="B7"/>
    </sheetView>
  </sheetViews>
  <sheetFormatPr defaultColWidth="8.88671875" defaultRowHeight="15.75" x14ac:dyDescent="0.2"/>
  <cols>
    <col min="1" max="1" width="2.44140625" style="371" customWidth="1"/>
    <col min="2" max="2" width="31.109375" style="371" customWidth="1"/>
    <col min="3" max="4" width="15.77734375" style="371" customWidth="1"/>
    <col min="5" max="5" width="16.21875" style="371" customWidth="1"/>
    <col min="6" max="6" width="8.109375" style="371" customWidth="1"/>
    <col min="7" max="7" width="10.21875" style="371" customWidth="1"/>
    <col min="8" max="8" width="8.88671875" style="371"/>
    <col min="9" max="9" width="5.5546875" style="371" customWidth="1"/>
    <col min="10" max="10" width="10" style="371" customWidth="1"/>
    <col min="11" max="16384" width="8.88671875" style="371"/>
  </cols>
  <sheetData>
    <row r="1" spans="2:5" x14ac:dyDescent="0.2">
      <c r="B1" s="368">
        <f>(inputPrYr!D3)</f>
        <v>0</v>
      </c>
      <c r="C1" s="369"/>
      <c r="D1" s="369"/>
      <c r="E1" s="370">
        <f>inputPrYr!$C$6</f>
        <v>2025</v>
      </c>
    </row>
    <row r="2" spans="2:5" x14ac:dyDescent="0.2">
      <c r="B2" s="369"/>
      <c r="C2" s="369"/>
      <c r="D2" s="369"/>
      <c r="E2" s="372"/>
    </row>
    <row r="3" spans="2:5" x14ac:dyDescent="0.2">
      <c r="B3" s="373" t="s">
        <v>125</v>
      </c>
      <c r="C3" s="374"/>
      <c r="D3" s="374"/>
      <c r="E3" s="374"/>
    </row>
    <row r="4" spans="2:5" x14ac:dyDescent="0.2">
      <c r="B4" s="375" t="s">
        <v>59</v>
      </c>
      <c r="C4" s="376" t="s">
        <v>377</v>
      </c>
      <c r="D4" s="377" t="s">
        <v>378</v>
      </c>
      <c r="E4" s="378" t="s">
        <v>379</v>
      </c>
    </row>
    <row r="5" spans="2:5" x14ac:dyDescent="0.2">
      <c r="B5" s="379" t="str">
        <f>+(inputPrYr!B19)</f>
        <v>Debt Service</v>
      </c>
      <c r="C5" s="380" t="str">
        <f>CONCATENATE("Actual for ",E1-2,"")</f>
        <v>Actual for 2023</v>
      </c>
      <c r="D5" s="380" t="str">
        <f>CONCATENATE("Estimate for ",E1-1,"")</f>
        <v>Estimate for 2024</v>
      </c>
      <c r="E5" s="381" t="str">
        <f>CONCATENATE("Year for ",E1,"")</f>
        <v>Year for 2025</v>
      </c>
    </row>
    <row r="6" spans="2:5" x14ac:dyDescent="0.2">
      <c r="B6" s="382" t="s">
        <v>140</v>
      </c>
      <c r="C6" s="383"/>
      <c r="D6" s="384">
        <f>C54</f>
        <v>0</v>
      </c>
      <c r="E6" s="385">
        <f>D54</f>
        <v>0</v>
      </c>
    </row>
    <row r="7" spans="2:5" x14ac:dyDescent="0.2">
      <c r="B7" s="386" t="s">
        <v>142</v>
      </c>
      <c r="C7" s="387"/>
      <c r="D7" s="384"/>
      <c r="E7" s="388"/>
    </row>
    <row r="8" spans="2:5" x14ac:dyDescent="0.2">
      <c r="B8" s="382" t="s">
        <v>60</v>
      </c>
      <c r="C8" s="383"/>
      <c r="D8" s="384">
        <f>IF(inputPrYr!H21&gt;0,inputPrYr!G23,inputPrYr!E19)</f>
        <v>0</v>
      </c>
      <c r="E8" s="389" t="s">
        <v>49</v>
      </c>
    </row>
    <row r="9" spans="2:5" x14ac:dyDescent="0.2">
      <c r="B9" s="382" t="s">
        <v>61</v>
      </c>
      <c r="C9" s="383"/>
      <c r="D9" s="390"/>
      <c r="E9" s="391"/>
    </row>
    <row r="10" spans="2:5" x14ac:dyDescent="0.2">
      <c r="B10" s="382" t="s">
        <v>62</v>
      </c>
      <c r="C10" s="383"/>
      <c r="D10" s="390"/>
      <c r="E10" s="392" t="str">
        <f>Mvalloc!D8</f>
        <v xml:space="preserve">  </v>
      </c>
    </row>
    <row r="11" spans="2:5" x14ac:dyDescent="0.2">
      <c r="B11" s="382" t="s">
        <v>63</v>
      </c>
      <c r="C11" s="383"/>
      <c r="D11" s="390"/>
      <c r="E11" s="392" t="str">
        <f>Mvalloc!E8</f>
        <v xml:space="preserve"> </v>
      </c>
    </row>
    <row r="12" spans="2:5" x14ac:dyDescent="0.2">
      <c r="B12" s="393" t="s">
        <v>132</v>
      </c>
      <c r="C12" s="383"/>
      <c r="D12" s="390"/>
      <c r="E12" s="392" t="str">
        <f>Mvalloc!F8</f>
        <v xml:space="preserve"> </v>
      </c>
    </row>
    <row r="13" spans="2:5" x14ac:dyDescent="0.2">
      <c r="B13" s="158" t="s">
        <v>518</v>
      </c>
      <c r="C13" s="383"/>
      <c r="D13" s="390"/>
      <c r="E13" s="392" t="str">
        <f>Mvalloc!G8</f>
        <v xml:space="preserve"> </v>
      </c>
    </row>
    <row r="14" spans="2:5" x14ac:dyDescent="0.2">
      <c r="B14" s="158" t="s">
        <v>519</v>
      </c>
      <c r="C14" s="383"/>
      <c r="D14" s="390"/>
      <c r="E14" s="392" t="str">
        <f>Mvalloc!H8</f>
        <v xml:space="preserve"> </v>
      </c>
    </row>
    <row r="15" spans="2:5" x14ac:dyDescent="0.2">
      <c r="B15" s="358"/>
      <c r="C15" s="383"/>
      <c r="D15" s="390"/>
      <c r="E15" s="391"/>
    </row>
    <row r="16" spans="2:5" x14ac:dyDescent="0.2">
      <c r="B16" s="359"/>
      <c r="C16" s="383"/>
      <c r="D16" s="390"/>
      <c r="E16" s="391"/>
    </row>
    <row r="17" spans="2:10" x14ac:dyDescent="0.2">
      <c r="B17" s="358"/>
      <c r="C17" s="383"/>
      <c r="D17" s="390"/>
      <c r="E17" s="391"/>
    </row>
    <row r="18" spans="2:10" x14ac:dyDescent="0.25">
      <c r="B18" s="394"/>
      <c r="C18" s="383"/>
      <c r="D18" s="390"/>
      <c r="E18" s="391"/>
    </row>
    <row r="19" spans="2:10" x14ac:dyDescent="0.2">
      <c r="B19" s="358"/>
      <c r="C19" s="383"/>
      <c r="D19" s="390"/>
      <c r="E19" s="391"/>
    </row>
    <row r="20" spans="2:10" x14ac:dyDescent="0.2">
      <c r="B20" s="358"/>
      <c r="C20" s="395"/>
      <c r="D20" s="390"/>
      <c r="E20" s="391"/>
    </row>
    <row r="21" spans="2:10" x14ac:dyDescent="0.2">
      <c r="B21" s="358"/>
      <c r="C21" s="395"/>
      <c r="D21" s="390"/>
      <c r="E21" s="391"/>
    </row>
    <row r="22" spans="2:10" x14ac:dyDescent="0.2">
      <c r="B22" s="358"/>
      <c r="C22" s="383"/>
      <c r="D22" s="390"/>
      <c r="E22" s="391"/>
    </row>
    <row r="23" spans="2:10" x14ac:dyDescent="0.2">
      <c r="B23" s="358"/>
      <c r="C23" s="383"/>
      <c r="D23" s="390"/>
      <c r="E23" s="391"/>
    </row>
    <row r="24" spans="2:10" x14ac:dyDescent="0.2">
      <c r="B24" s="396" t="s">
        <v>67</v>
      </c>
      <c r="C24" s="383"/>
      <c r="D24" s="390"/>
      <c r="E24" s="391"/>
    </row>
    <row r="25" spans="2:10" x14ac:dyDescent="0.2">
      <c r="B25" s="397" t="s">
        <v>8</v>
      </c>
      <c r="C25" s="383"/>
      <c r="D25" s="390"/>
      <c r="E25" s="392">
        <f>'NR Rebate'!E7*-1</f>
        <v>0</v>
      </c>
    </row>
    <row r="26" spans="2:10" x14ac:dyDescent="0.2">
      <c r="B26" s="397" t="s">
        <v>9</v>
      </c>
      <c r="C26" s="395"/>
      <c r="D26" s="390"/>
      <c r="E26" s="398"/>
    </row>
    <row r="27" spans="2:10" x14ac:dyDescent="0.2">
      <c r="B27" s="397" t="s">
        <v>370</v>
      </c>
      <c r="C27" s="399" t="str">
        <f>IF(C28*0.1&lt;C26,"Exceed 10% Rule","")</f>
        <v/>
      </c>
      <c r="D27" s="400" t="str">
        <f>IF(D28*0.1&lt;D26,"Exceed 10% Rule","")</f>
        <v/>
      </c>
      <c r="E27" s="401" t="str">
        <f>IF(E28*0.1+E60&lt;E26,"Exceed 10% Rule","")</f>
        <v/>
      </c>
    </row>
    <row r="28" spans="2:10" x14ac:dyDescent="0.2">
      <c r="B28" s="402" t="s">
        <v>68</v>
      </c>
      <c r="C28" s="403">
        <f>SUM(C8:C26)</f>
        <v>0</v>
      </c>
      <c r="D28" s="404">
        <f>SUM(D8:D26)</f>
        <v>0</v>
      </c>
      <c r="E28" s="405">
        <f>SUM(E8:E26)</f>
        <v>0</v>
      </c>
    </row>
    <row r="29" spans="2:10" x14ac:dyDescent="0.2">
      <c r="B29" s="402" t="s">
        <v>69</v>
      </c>
      <c r="C29" s="403">
        <f>C6+C28</f>
        <v>0</v>
      </c>
      <c r="D29" s="404">
        <f>D6+D28</f>
        <v>0</v>
      </c>
      <c r="E29" s="406">
        <f>E6+E28</f>
        <v>0</v>
      </c>
    </row>
    <row r="30" spans="2:10" x14ac:dyDescent="0.2">
      <c r="B30" s="386" t="s">
        <v>71</v>
      </c>
      <c r="C30" s="407"/>
      <c r="D30" s="408"/>
      <c r="E30" s="392"/>
    </row>
    <row r="31" spans="2:10" x14ac:dyDescent="0.25">
      <c r="B31" s="409"/>
      <c r="C31" s="395"/>
      <c r="D31" s="390"/>
      <c r="E31" s="410"/>
      <c r="G31" s="884" t="str">
        <f>CONCATENATE("Desired Carryover Into ",E1+1,"")</f>
        <v>Desired Carryover Into 2026</v>
      </c>
      <c r="H31" s="885"/>
      <c r="I31" s="885"/>
      <c r="J31" s="886"/>
    </row>
    <row r="32" spans="2:10" x14ac:dyDescent="0.25">
      <c r="B32" s="411"/>
      <c r="C32" s="395"/>
      <c r="D32" s="390"/>
      <c r="E32" s="410"/>
      <c r="G32" s="417"/>
      <c r="H32" s="418"/>
      <c r="I32" s="419"/>
      <c r="J32" s="420"/>
    </row>
    <row r="33" spans="2:11" x14ac:dyDescent="0.25">
      <c r="B33" s="411"/>
      <c r="C33" s="395"/>
      <c r="D33" s="390"/>
      <c r="E33" s="410"/>
      <c r="G33" s="421" t="s">
        <v>368</v>
      </c>
      <c r="H33" s="419"/>
      <c r="I33" s="419"/>
      <c r="J33" s="422">
        <v>0</v>
      </c>
    </row>
    <row r="34" spans="2:11" x14ac:dyDescent="0.25">
      <c r="B34" s="411"/>
      <c r="C34" s="395"/>
      <c r="D34" s="390"/>
      <c r="E34" s="410"/>
      <c r="G34" s="417" t="s">
        <v>369</v>
      </c>
      <c r="H34" s="418"/>
      <c r="I34" s="418"/>
      <c r="J34" s="423" t="str">
        <f>IF(J33=0,"",ROUND((J33+E60-G46)/inputOth!E9*1000,3)-G51)</f>
        <v/>
      </c>
    </row>
    <row r="35" spans="2:11" x14ac:dyDescent="0.25">
      <c r="B35" s="411"/>
      <c r="C35" s="395"/>
      <c r="D35" s="390"/>
      <c r="E35" s="410"/>
      <c r="G35" s="424" t="str">
        <f>CONCATENATE("",E1," Tot Exp/Non-Appr Must Be:")</f>
        <v>2025 Tot Exp/Non-Appr Must Be:</v>
      </c>
      <c r="H35" s="425"/>
      <c r="I35" s="426"/>
      <c r="J35" s="427">
        <f>IF(J33&gt;0,IF(E57&lt;E29,IF(J33=G46,E57,((J33-G46)*(1-D59))+E29),E57+(J33-G46)),0)</f>
        <v>0</v>
      </c>
    </row>
    <row r="36" spans="2:11" x14ac:dyDescent="0.25">
      <c r="B36" s="412"/>
      <c r="C36" s="395"/>
      <c r="D36" s="390"/>
      <c r="E36" s="391"/>
      <c r="G36" s="428" t="s">
        <v>380</v>
      </c>
      <c r="H36" s="429"/>
      <c r="I36" s="429"/>
      <c r="J36" s="430">
        <f>IF(J33&gt;0,J35-E57,0)</f>
        <v>0</v>
      </c>
    </row>
    <row r="37" spans="2:11" x14ac:dyDescent="0.25">
      <c r="B37" s="412"/>
      <c r="C37" s="395"/>
      <c r="D37" s="390"/>
      <c r="E37" s="391"/>
    </row>
    <row r="38" spans="2:11" x14ac:dyDescent="0.25">
      <c r="B38" s="412"/>
      <c r="C38" s="395"/>
      <c r="D38" s="390"/>
      <c r="E38" s="391"/>
      <c r="G38" s="884" t="str">
        <f>CONCATENATE("Projected Carryover Into ",E1+1,"")</f>
        <v>Projected Carryover Into 2026</v>
      </c>
      <c r="H38" s="885"/>
      <c r="I38" s="885"/>
      <c r="J38" s="886"/>
    </row>
    <row r="39" spans="2:11" x14ac:dyDescent="0.25">
      <c r="B39" s="412"/>
      <c r="C39" s="395"/>
      <c r="D39" s="390"/>
      <c r="E39" s="391"/>
      <c r="G39" s="431"/>
      <c r="H39" s="418"/>
      <c r="I39" s="418"/>
      <c r="J39" s="432"/>
    </row>
    <row r="40" spans="2:11" x14ac:dyDescent="0.25">
      <c r="B40" s="412"/>
      <c r="C40" s="395"/>
      <c r="D40" s="390"/>
      <c r="E40" s="391"/>
      <c r="G40" s="433">
        <f>D54</f>
        <v>0</v>
      </c>
      <c r="H40" s="434" t="str">
        <f>CONCATENATE("",E1-1," Ending Cash Balance (est.)")</f>
        <v>2024 Ending Cash Balance (est.)</v>
      </c>
      <c r="I40" s="435"/>
      <c r="J40" s="432"/>
    </row>
    <row r="41" spans="2:11" x14ac:dyDescent="0.25">
      <c r="B41" s="412"/>
      <c r="C41" s="395"/>
      <c r="D41" s="390"/>
      <c r="E41" s="391"/>
      <c r="G41" s="433">
        <f>E28</f>
        <v>0</v>
      </c>
      <c r="H41" s="419" t="str">
        <f>CONCATENATE("",E1," Non-AV Receipts (est.)")</f>
        <v>2025 Non-AV Receipts (est.)</v>
      </c>
      <c r="I41" s="435"/>
      <c r="J41" s="432"/>
    </row>
    <row r="42" spans="2:11" x14ac:dyDescent="0.25">
      <c r="B42" s="412"/>
      <c r="C42" s="395"/>
      <c r="D42" s="390"/>
      <c r="E42" s="391"/>
      <c r="G42" s="440">
        <f>IF(E59&gt;0,E58,E60)</f>
        <v>0</v>
      </c>
      <c r="H42" s="419" t="str">
        <f>CONCATENATE("",E1," Ad Valorem Tax (est.)")</f>
        <v>2025 Ad Valorem Tax (est.)</v>
      </c>
      <c r="I42" s="435"/>
      <c r="J42" s="432"/>
      <c r="K42" s="441" t="str">
        <f>IF(G42=E60,"","Note: Does not include Delinquent Taxes")</f>
        <v/>
      </c>
    </row>
    <row r="43" spans="2:11" x14ac:dyDescent="0.25">
      <c r="B43" s="412"/>
      <c r="C43" s="395"/>
      <c r="D43" s="390"/>
      <c r="E43" s="391"/>
      <c r="G43" s="433">
        <f>SUM(G40:G42)</f>
        <v>0</v>
      </c>
      <c r="H43" s="419" t="str">
        <f>CONCATENATE("Total ",E1," Resources Available")</f>
        <v>Total 2025 Resources Available</v>
      </c>
      <c r="I43" s="435"/>
      <c r="J43" s="432"/>
    </row>
    <row r="44" spans="2:11" x14ac:dyDescent="0.25">
      <c r="B44" s="412"/>
      <c r="C44" s="395"/>
      <c r="D44" s="390"/>
      <c r="E44" s="391"/>
      <c r="G44" s="446"/>
      <c r="H44" s="419"/>
      <c r="I44" s="419"/>
      <c r="J44" s="432"/>
    </row>
    <row r="45" spans="2:11" x14ac:dyDescent="0.2">
      <c r="B45" s="409"/>
      <c r="C45" s="395"/>
      <c r="D45" s="390"/>
      <c r="E45" s="416"/>
      <c r="G45" s="440">
        <f>ROUND(C53*0.05+C53,0)</f>
        <v>0</v>
      </c>
      <c r="H45" s="419" t="str">
        <f>CONCATENATE("Less ",E1-2," Expenditures + 5%")</f>
        <v>Less 2023 Expenditures + 5%</v>
      </c>
      <c r="I45" s="435"/>
      <c r="J45" s="432"/>
    </row>
    <row r="46" spans="2:11" x14ac:dyDescent="0.2">
      <c r="B46" s="409"/>
      <c r="C46" s="395"/>
      <c r="D46" s="390"/>
      <c r="E46" s="391"/>
      <c r="G46" s="451">
        <f>G43-G45</f>
        <v>0</v>
      </c>
      <c r="H46" s="452" t="str">
        <f>CONCATENATE("Projected ",E1+1," Carryover (est.)")</f>
        <v>Projected 2026 Carryover (est.)</v>
      </c>
      <c r="I46" s="453"/>
      <c r="J46" s="454"/>
    </row>
    <row r="47" spans="2:11" x14ac:dyDescent="0.2">
      <c r="B47" s="409"/>
      <c r="C47" s="395"/>
      <c r="D47" s="390"/>
      <c r="E47" s="391"/>
    </row>
    <row r="48" spans="2:11" x14ac:dyDescent="0.2">
      <c r="B48" s="409"/>
      <c r="C48" s="395"/>
      <c r="D48" s="390"/>
      <c r="E48" s="391"/>
      <c r="G48" s="872" t="s">
        <v>648</v>
      </c>
      <c r="H48" s="873"/>
      <c r="I48" s="873"/>
      <c r="J48" s="874"/>
    </row>
    <row r="49" spans="2:16" x14ac:dyDescent="0.2">
      <c r="B49" s="409"/>
      <c r="C49" s="395"/>
      <c r="D49" s="390"/>
      <c r="E49" s="391"/>
      <c r="G49" s="875"/>
      <c r="H49" s="876"/>
      <c r="I49" s="876"/>
      <c r="J49" s="877"/>
    </row>
    <row r="50" spans="2:16" x14ac:dyDescent="0.2">
      <c r="B50" s="397" t="str">
        <f>CONCATENATE("Cash Reserve (",E1," column)")</f>
        <v>Cash Reserve (2025 column)</v>
      </c>
      <c r="C50" s="395"/>
      <c r="D50" s="390"/>
      <c r="E50" s="391"/>
      <c r="G50" s="533" t="str">
        <f>'Budget Hearing Notice'!H16</f>
        <v xml:space="preserve">  </v>
      </c>
      <c r="H50" s="530" t="str">
        <f>CONCATENATE("",E1," Estimated Fund Mill Rate")</f>
        <v>2025 Estimated Fund Mill Rate</v>
      </c>
      <c r="I50" s="531"/>
      <c r="J50" s="532"/>
    </row>
    <row r="51" spans="2:16" x14ac:dyDescent="0.2">
      <c r="B51" s="397" t="s">
        <v>9</v>
      </c>
      <c r="C51" s="395"/>
      <c r="D51" s="390"/>
      <c r="E51" s="391"/>
      <c r="G51" s="729" t="str">
        <f>'Budget Hearing Notice'!E16</f>
        <v xml:space="preserve">  </v>
      </c>
      <c r="H51" s="530" t="str">
        <f>CONCATENATE("",E1-1," Fund Mill Rate")</f>
        <v>2024 Fund Mill Rate</v>
      </c>
      <c r="I51" s="531"/>
      <c r="J51" s="532"/>
    </row>
    <row r="52" spans="2:16" x14ac:dyDescent="0.2">
      <c r="B52" s="397" t="s">
        <v>371</v>
      </c>
      <c r="C52" s="399" t="str">
        <f>IF(C53*0.1&lt;C51,"Exceed 10% Rule","")</f>
        <v/>
      </c>
      <c r="D52" s="400" t="str">
        <f>IF(D53*0.1&lt;D51,"Exceed 10% Rule","")</f>
        <v/>
      </c>
      <c r="E52" s="401" t="str">
        <f>IF(E53*0.1&lt;E51,"Exceed 10% Rule","")</f>
        <v/>
      </c>
      <c r="G52" s="730">
        <f>'Budget Hearing Notice'!H53</f>
        <v>0</v>
      </c>
      <c r="H52" s="731" t="s">
        <v>649</v>
      </c>
      <c r="I52" s="531"/>
      <c r="J52" s="532"/>
    </row>
    <row r="53" spans="2:16" x14ac:dyDescent="0.2">
      <c r="B53" s="402" t="s">
        <v>75</v>
      </c>
      <c r="C53" s="403">
        <f>SUM(C31:C51)</f>
        <v>0</v>
      </c>
      <c r="D53" s="404">
        <f>SUM(D31:D51)</f>
        <v>0</v>
      </c>
      <c r="E53" s="405">
        <f>SUM(E31:E51)</f>
        <v>0</v>
      </c>
      <c r="G53" s="533">
        <f>'Budget Hearing Notice'!H52</f>
        <v>0</v>
      </c>
      <c r="H53" s="530" t="str">
        <f>CONCATENATE(E1," Estimated Total Mill Rate")</f>
        <v>2025 Estimated Total Mill Rate</v>
      </c>
      <c r="I53" s="531"/>
      <c r="J53" s="532"/>
    </row>
    <row r="54" spans="2:16" x14ac:dyDescent="0.2">
      <c r="B54" s="382" t="s">
        <v>141</v>
      </c>
      <c r="C54" s="436">
        <f>C29-C53</f>
        <v>0</v>
      </c>
      <c r="D54" s="437">
        <f>D29-D53</f>
        <v>0</v>
      </c>
      <c r="E54" s="389" t="s">
        <v>49</v>
      </c>
      <c r="G54" s="534">
        <f>'Budget Hearing Notice'!E52</f>
        <v>0</v>
      </c>
      <c r="H54" s="530" t="str">
        <f>CONCATENATE(E1-1," Total Mill Rate")</f>
        <v>2024 Total Mill Rate</v>
      </c>
      <c r="I54" s="531"/>
      <c r="J54" s="532"/>
    </row>
    <row r="55" spans="2:16" x14ac:dyDescent="0.2">
      <c r="B55" s="608" t="str">
        <f>CONCATENATE("",E1-2,"/",E1-1,"/",E1," Budget Authority Amount:")</f>
        <v>2023/2024/2025 Budget Authority Amount:</v>
      </c>
      <c r="C55" s="408">
        <f>inputOth!B67</f>
        <v>0</v>
      </c>
      <c r="D55" s="408">
        <f>inputPrYr!D19</f>
        <v>0</v>
      </c>
      <c r="E55" s="607">
        <f>E53</f>
        <v>0</v>
      </c>
      <c r="F55" s="439"/>
      <c r="G55" s="563"/>
      <c r="H55" s="539"/>
      <c r="I55" s="539"/>
      <c r="J55" s="570"/>
    </row>
    <row r="56" spans="2:16" x14ac:dyDescent="0.2">
      <c r="B56" s="438"/>
      <c r="C56" s="861" t="s">
        <v>329</v>
      </c>
      <c r="D56" s="862"/>
      <c r="E56" s="442"/>
      <c r="F56" s="443" t="str">
        <f>IF(E53/0.95-E53&lt;E56,"Exceeds 5%","")</f>
        <v/>
      </c>
      <c r="G56" s="878" t="s">
        <v>650</v>
      </c>
      <c r="H56" s="879"/>
      <c r="I56" s="879"/>
      <c r="J56" s="882" t="str">
        <f>IF(G53&gt;G52, "Yes", "No")</f>
        <v>No</v>
      </c>
    </row>
    <row r="57" spans="2:16" x14ac:dyDescent="0.2">
      <c r="B57" s="444" t="str">
        <f>CONCATENATE(C73,"     ",D73)</f>
        <v xml:space="preserve">     </v>
      </c>
      <c r="C57" s="863" t="s">
        <v>330</v>
      </c>
      <c r="D57" s="864"/>
      <c r="E57" s="445">
        <f>E53+E56</f>
        <v>0</v>
      </c>
      <c r="G57" s="880"/>
      <c r="H57" s="881"/>
      <c r="I57" s="881"/>
      <c r="J57" s="883"/>
      <c r="K57" s="732"/>
    </row>
    <row r="58" spans="2:16" x14ac:dyDescent="0.2">
      <c r="B58" s="444" t="str">
        <f>CONCATENATE(C74,"     ",D74)</f>
        <v xml:space="preserve">     </v>
      </c>
      <c r="C58" s="447"/>
      <c r="D58" s="372" t="s">
        <v>76</v>
      </c>
      <c r="E58" s="448">
        <f>IF(E57-E29&gt;0,E57-E29,0)</f>
        <v>0</v>
      </c>
      <c r="G58" s="859" t="str">
        <f>IF(J56="Yes", "Follow procedure prescribed by KSA 79-2988 to exceed the Revenue Neutral Rate.", " ")</f>
        <v xml:space="preserve"> </v>
      </c>
      <c r="H58" s="859"/>
      <c r="I58" s="859"/>
      <c r="J58" s="859"/>
    </row>
    <row r="59" spans="2:16" x14ac:dyDescent="0.2">
      <c r="B59" s="449"/>
      <c r="C59" s="258" t="s">
        <v>328</v>
      </c>
      <c r="D59" s="450">
        <f>inputOth!E53</f>
        <v>0</v>
      </c>
      <c r="E59" s="445">
        <f>ROUND(IF(D59&gt;0,(E58*D59),0),0)</f>
        <v>0</v>
      </c>
      <c r="G59" s="860"/>
      <c r="H59" s="860"/>
      <c r="I59" s="860"/>
      <c r="J59" s="860"/>
    </row>
    <row r="60" spans="2:16" ht="16.5" thickBot="1" x14ac:dyDescent="0.25">
      <c r="B60" s="369"/>
      <c r="C60" s="887" t="str">
        <f>CONCATENATE("Amount of  ",E1-1," Ad Valorem Tax")</f>
        <v>Amount of  2024 Ad Valorem Tax</v>
      </c>
      <c r="D60" s="888"/>
      <c r="E60" s="455">
        <f>E58+E59</f>
        <v>0</v>
      </c>
      <c r="G60" s="860"/>
      <c r="H60" s="860"/>
      <c r="I60" s="860"/>
      <c r="J60" s="860"/>
    </row>
    <row r="61" spans="2:16" ht="16.5" thickTop="1" x14ac:dyDescent="0.2">
      <c r="B61" s="372"/>
      <c r="C61" s="369"/>
      <c r="D61" s="369"/>
      <c r="E61" s="369"/>
    </row>
    <row r="62" spans="2:16" x14ac:dyDescent="0.2">
      <c r="B62" s="699" t="s">
        <v>529</v>
      </c>
      <c r="C62" s="678"/>
      <c r="D62" s="678"/>
      <c r="E62" s="679"/>
      <c r="L62" s="414"/>
    </row>
    <row r="63" spans="2:16" x14ac:dyDescent="0.2">
      <c r="B63" s="680"/>
      <c r="C63" s="418"/>
      <c r="D63" s="418"/>
      <c r="E63" s="432"/>
    </row>
    <row r="64" spans="2:16" x14ac:dyDescent="0.2">
      <c r="B64" s="681"/>
      <c r="C64" s="682"/>
      <c r="D64" s="682"/>
      <c r="E64" s="683"/>
      <c r="F64" s="414"/>
      <c r="L64" s="456"/>
      <c r="M64" s="457"/>
      <c r="N64" s="458"/>
      <c r="O64" s="458"/>
      <c r="P64" s="459"/>
    </row>
    <row r="65" spans="2:16" x14ac:dyDescent="0.2">
      <c r="B65" s="372"/>
      <c r="C65" s="369"/>
      <c r="D65" s="369"/>
      <c r="E65" s="369"/>
      <c r="M65" s="460"/>
      <c r="O65" s="460"/>
      <c r="P65" s="459"/>
    </row>
    <row r="66" spans="2:16" x14ac:dyDescent="0.2">
      <c r="B66" s="438" t="s">
        <v>78</v>
      </c>
      <c r="C66" s="746"/>
      <c r="D66" s="418"/>
      <c r="E66" s="369"/>
      <c r="M66" s="460"/>
      <c r="O66" s="460"/>
      <c r="P66" s="463"/>
    </row>
    <row r="67" spans="2:16" ht="14.25" customHeight="1" x14ac:dyDescent="0.2"/>
    <row r="68" spans="2:16" x14ac:dyDescent="0.2">
      <c r="C68" s="413"/>
      <c r="D68" s="413"/>
      <c r="E68" s="456"/>
    </row>
    <row r="69" spans="2:16" hidden="1" x14ac:dyDescent="0.2">
      <c r="C69" s="460"/>
      <c r="E69" s="456"/>
    </row>
    <row r="70" spans="2:16" hidden="1" x14ac:dyDescent="0.2">
      <c r="C70" s="461"/>
      <c r="D70" s="462"/>
      <c r="E70" s="456"/>
    </row>
    <row r="71" spans="2:16" x14ac:dyDescent="0.2">
      <c r="C71" s="415"/>
    </row>
    <row r="72" spans="2:16" x14ac:dyDescent="0.2">
      <c r="C72" s="415"/>
    </row>
    <row r="73" spans="2:16" x14ac:dyDescent="0.2">
      <c r="C73" s="464" t="str">
        <f>IF(C53&gt;C55,"See Tab A","")</f>
        <v/>
      </c>
      <c r="D73" s="465" t="str">
        <f>IF(D53&gt;D55,"See Tab C","")</f>
        <v/>
      </c>
    </row>
    <row r="74" spans="2:16" x14ac:dyDescent="0.2">
      <c r="C74" s="465" t="str">
        <f>IF(C54&lt;0,"See Tab B","")</f>
        <v/>
      </c>
      <c r="D74" s="465" t="str">
        <f>IF(D54&lt;0,"See Tab D","")</f>
        <v/>
      </c>
    </row>
  </sheetData>
  <sheetProtection sheet="1"/>
  <mergeCells count="9">
    <mergeCell ref="G58:J60"/>
    <mergeCell ref="G31:J31"/>
    <mergeCell ref="G38:J38"/>
    <mergeCell ref="C56:D56"/>
    <mergeCell ref="C57:D57"/>
    <mergeCell ref="C60:D60"/>
    <mergeCell ref="G48:J49"/>
    <mergeCell ref="G56:I57"/>
    <mergeCell ref="J56:J57"/>
  </mergeCells>
  <conditionalFormatting sqref="C26">
    <cfRule type="cellIs" dxfId="326" priority="6" stopIfTrue="1" operator="greaterThan">
      <formula>$C$28*0.1</formula>
    </cfRule>
  </conditionalFormatting>
  <conditionalFormatting sqref="C51">
    <cfRule type="cellIs" dxfId="325" priority="8" stopIfTrue="1" operator="greaterThan">
      <formula>$C$53*0.1</formula>
    </cfRule>
  </conditionalFormatting>
  <conditionalFormatting sqref="C53">
    <cfRule type="cellIs" dxfId="324" priority="9" stopIfTrue="1" operator="greaterThan">
      <formula>$C$55</formula>
    </cfRule>
  </conditionalFormatting>
  <conditionalFormatting sqref="C54">
    <cfRule type="cellIs" dxfId="323" priority="10" stopIfTrue="1" operator="lessThan">
      <formula>0</formula>
    </cfRule>
  </conditionalFormatting>
  <conditionalFormatting sqref="D26">
    <cfRule type="cellIs" dxfId="322" priority="5" stopIfTrue="1" operator="greaterThan">
      <formula>$D$28*0.1</formula>
    </cfRule>
  </conditionalFormatting>
  <conditionalFormatting sqref="D51">
    <cfRule type="cellIs" dxfId="321" priority="7" stopIfTrue="1" operator="greaterThan">
      <formula>$D$53*0.1</formula>
    </cfRule>
  </conditionalFormatting>
  <conditionalFormatting sqref="D53">
    <cfRule type="cellIs" dxfId="320" priority="2" stopIfTrue="1" operator="greaterThan">
      <formula>$D$55</formula>
    </cfRule>
  </conditionalFormatting>
  <conditionalFormatting sqref="D54">
    <cfRule type="cellIs" dxfId="319" priority="3" stopIfTrue="1" operator="lessThan">
      <formula>0</formula>
    </cfRule>
  </conditionalFormatting>
  <conditionalFormatting sqref="E26">
    <cfRule type="cellIs" dxfId="318" priority="4" stopIfTrue="1" operator="greaterThan">
      <formula>$E$28*0.1+E60</formula>
    </cfRule>
  </conditionalFormatting>
  <conditionalFormatting sqref="E51">
    <cfRule type="cellIs" dxfId="317" priority="12" stopIfTrue="1" operator="greaterThan">
      <formula>$E$53*0.1</formula>
    </cfRule>
  </conditionalFormatting>
  <conditionalFormatting sqref="E56">
    <cfRule type="cellIs" dxfId="316" priority="11" stopIfTrue="1" operator="greaterThan">
      <formula>$E$53/0.95-$E$53</formula>
    </cfRule>
  </conditionalFormatting>
  <conditionalFormatting sqref="J56">
    <cfRule type="containsText" dxfId="315" priority="1" operator="containsText" text="Yes">
      <formula>NOT(ISERROR(SEARCH("Yes",J56)))</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F0"/>
    <pageSetUpPr fitToPage="1"/>
  </sheetPr>
  <dimension ref="B1:K101"/>
  <sheetViews>
    <sheetView zoomScaleNormal="100" workbookViewId="0">
      <selection activeCell="C73" sqref="C73"/>
    </sheetView>
  </sheetViews>
  <sheetFormatPr defaultColWidth="8.88671875" defaultRowHeight="15.75" x14ac:dyDescent="0.2"/>
  <cols>
    <col min="1" max="1" width="2.44140625" style="18" customWidth="1"/>
    <col min="2" max="2" width="31.109375" style="18" customWidth="1"/>
    <col min="3" max="4" width="15.77734375" style="18" customWidth="1"/>
    <col min="5" max="5" width="16.21875" style="18" customWidth="1"/>
    <col min="6" max="6" width="8.109375" style="18" customWidth="1"/>
    <col min="7" max="7" width="10.21875" style="18" customWidth="1"/>
    <col min="8" max="8" width="8.88671875" style="18"/>
    <col min="9" max="9" width="5.77734375" style="18" customWidth="1"/>
    <col min="10" max="10" width="10.88671875" style="18" customWidth="1"/>
    <col min="11" max="16384" width="8.88671875" style="18"/>
  </cols>
  <sheetData>
    <row r="1" spans="2:10" x14ac:dyDescent="0.2">
      <c r="B1" s="276">
        <f>inputPrYr!D3</f>
        <v>0</v>
      </c>
      <c r="C1" s="276"/>
      <c r="D1" s="261"/>
      <c r="E1" s="269">
        <f>inputPrYr!C6</f>
        <v>2025</v>
      </c>
    </row>
    <row r="2" spans="2:10" x14ac:dyDescent="0.2">
      <c r="B2" s="261"/>
      <c r="C2" s="261"/>
      <c r="D2" s="261"/>
      <c r="E2" s="278"/>
    </row>
    <row r="3" spans="2:10" x14ac:dyDescent="0.2">
      <c r="B3" s="264" t="s">
        <v>125</v>
      </c>
      <c r="C3" s="264"/>
      <c r="D3" s="280"/>
      <c r="E3" s="270"/>
    </row>
    <row r="4" spans="2:10" x14ac:dyDescent="0.2">
      <c r="B4" s="263" t="s">
        <v>59</v>
      </c>
      <c r="C4" s="292" t="s">
        <v>377</v>
      </c>
      <c r="D4" s="291" t="s">
        <v>378</v>
      </c>
      <c r="E4" s="271" t="s">
        <v>379</v>
      </c>
    </row>
    <row r="5" spans="2:10" x14ac:dyDescent="0.2">
      <c r="B5" s="301" t="str">
        <f>inputPrYr!B20</f>
        <v>Library</v>
      </c>
      <c r="C5" s="293" t="str">
        <f>CONCATENATE("Actual for ",E1-2,"")</f>
        <v>Actual for 2023</v>
      </c>
      <c r="D5" s="293" t="str">
        <f>CONCATENATE("Estimate for ",E1-1,"")</f>
        <v>Estimate for 2024</v>
      </c>
      <c r="E5" s="279" t="str">
        <f>CONCATENATE("Year for ",E1,"")</f>
        <v>Year for 2025</v>
      </c>
    </row>
    <row r="6" spans="2:10" x14ac:dyDescent="0.2">
      <c r="B6" s="272" t="s">
        <v>140</v>
      </c>
      <c r="C6" s="297"/>
      <c r="D6" s="296">
        <f>C34</f>
        <v>0</v>
      </c>
      <c r="E6" s="273">
        <f>D34</f>
        <v>0</v>
      </c>
    </row>
    <row r="7" spans="2:10" x14ac:dyDescent="0.2">
      <c r="B7" s="272" t="s">
        <v>142</v>
      </c>
      <c r="C7" s="274"/>
      <c r="D7" s="296"/>
      <c r="E7" s="273"/>
    </row>
    <row r="8" spans="2:10" x14ac:dyDescent="0.2">
      <c r="B8" s="272" t="s">
        <v>60</v>
      </c>
      <c r="C8" s="294"/>
      <c r="D8" s="296">
        <f>IF(inputPrYr!H21&gt;0,inputPrYr!G24,inputPrYr!E20)</f>
        <v>0</v>
      </c>
      <c r="E8" s="288" t="s">
        <v>49</v>
      </c>
    </row>
    <row r="9" spans="2:10" x14ac:dyDescent="0.2">
      <c r="B9" s="272" t="s">
        <v>61</v>
      </c>
      <c r="C9" s="294"/>
      <c r="D9" s="298"/>
      <c r="E9" s="265"/>
    </row>
    <row r="10" spans="2:10" x14ac:dyDescent="0.2">
      <c r="B10" s="272" t="s">
        <v>62</v>
      </c>
      <c r="C10" s="294"/>
      <c r="D10" s="298"/>
      <c r="E10" s="273" t="str">
        <f>Mvalloc!D9</f>
        <v xml:space="preserve">  </v>
      </c>
      <c r="G10" s="889" t="str">
        <f>CONCATENATE("Desired Carryover Into ",E1+1,"")</f>
        <v>Desired Carryover Into 2026</v>
      </c>
      <c r="H10" s="870"/>
      <c r="I10" s="870"/>
      <c r="J10" s="871"/>
    </row>
    <row r="11" spans="2:10" x14ac:dyDescent="0.2">
      <c r="B11" s="272" t="s">
        <v>63</v>
      </c>
      <c r="C11" s="294"/>
      <c r="D11" s="298"/>
      <c r="E11" s="273" t="str">
        <f>Mvalloc!E9</f>
        <v xml:space="preserve"> </v>
      </c>
      <c r="G11" s="538"/>
      <c r="H11" s="539"/>
      <c r="I11" s="540"/>
      <c r="J11" s="541"/>
    </row>
    <row r="12" spans="2:10" x14ac:dyDescent="0.2">
      <c r="B12" s="275" t="s">
        <v>132</v>
      </c>
      <c r="C12" s="294"/>
      <c r="D12" s="298"/>
      <c r="E12" s="273" t="str">
        <f>Mvalloc!F9</f>
        <v xml:space="preserve"> </v>
      </c>
      <c r="G12" s="542" t="s">
        <v>368</v>
      </c>
      <c r="H12" s="540"/>
      <c r="I12" s="540"/>
      <c r="J12" s="543">
        <v>0</v>
      </c>
    </row>
    <row r="13" spans="2:10" x14ac:dyDescent="0.2">
      <c r="B13" s="158" t="s">
        <v>518</v>
      </c>
      <c r="C13" s="294"/>
      <c r="D13" s="298"/>
      <c r="E13" s="273" t="str">
        <f>Mvalloc!G9</f>
        <v xml:space="preserve"> </v>
      </c>
      <c r="G13" s="538" t="s">
        <v>369</v>
      </c>
      <c r="H13" s="539"/>
      <c r="I13" s="539"/>
      <c r="J13" s="544" t="str">
        <f>IF(J12=0,"",ROUND((J12+E40-G25)/inputOth!E9*1000,3)-G30)</f>
        <v/>
      </c>
    </row>
    <row r="14" spans="2:10" x14ac:dyDescent="0.2">
      <c r="B14" s="158" t="s">
        <v>519</v>
      </c>
      <c r="C14" s="294"/>
      <c r="D14" s="298"/>
      <c r="E14" s="273" t="str">
        <f>Mvalloc!H9</f>
        <v xml:space="preserve"> </v>
      </c>
      <c r="G14" s="545" t="str">
        <f>CONCATENATE("",E1," Tot Exp/Non-Appr Must Be:")</f>
        <v>2025 Tot Exp/Non-Appr Must Be:</v>
      </c>
      <c r="H14" s="546"/>
      <c r="I14" s="547"/>
      <c r="J14" s="548">
        <f>IF(J12&gt;0,IF(E37&lt;E22,IF(J12=G25,E37,((J12-G25)*(1-D39))+E22),E37+(J12-G25)),0)</f>
        <v>0</v>
      </c>
    </row>
    <row r="15" spans="2:10" x14ac:dyDescent="0.2">
      <c r="B15" s="289"/>
      <c r="C15" s="294"/>
      <c r="D15" s="298"/>
      <c r="E15" s="265"/>
      <c r="G15" s="549" t="s">
        <v>380</v>
      </c>
      <c r="H15" s="550"/>
      <c r="I15" s="550"/>
      <c r="J15" s="518">
        <f>IF(J12&gt;0,J14-E37,0)</f>
        <v>0</v>
      </c>
    </row>
    <row r="16" spans="2:10" x14ac:dyDescent="0.2">
      <c r="B16" s="289"/>
      <c r="C16" s="294"/>
      <c r="D16" s="298"/>
      <c r="E16" s="265"/>
      <c r="G16" s="260"/>
      <c r="H16" s="260"/>
      <c r="I16" s="260"/>
    </row>
    <row r="17" spans="2:11" x14ac:dyDescent="0.2">
      <c r="B17" s="285" t="s">
        <v>67</v>
      </c>
      <c r="C17" s="294"/>
      <c r="D17" s="298"/>
      <c r="E17" s="265"/>
      <c r="F17" s="260"/>
      <c r="G17" s="890" t="str">
        <f>CONCATENATE("Projected Carryover Into ",E1+1,"")</f>
        <v>Projected Carryover Into 2026</v>
      </c>
      <c r="H17" s="870"/>
      <c r="I17" s="870"/>
      <c r="J17" s="871"/>
    </row>
    <row r="18" spans="2:11" x14ac:dyDescent="0.2">
      <c r="B18" s="287" t="s">
        <v>8</v>
      </c>
      <c r="C18" s="294"/>
      <c r="D18" s="298"/>
      <c r="E18" s="610">
        <f>'NR Rebate'!E8*-1</f>
        <v>0</v>
      </c>
      <c r="F18" s="260"/>
      <c r="G18" s="551"/>
      <c r="H18" s="508"/>
      <c r="I18" s="508"/>
      <c r="J18" s="552"/>
    </row>
    <row r="19" spans="2:11" x14ac:dyDescent="0.2">
      <c r="B19" s="272" t="s">
        <v>9</v>
      </c>
      <c r="C19" s="163"/>
      <c r="D19" s="163"/>
      <c r="E19" s="31"/>
      <c r="F19" s="260"/>
      <c r="G19" s="553">
        <f>D34</f>
        <v>0</v>
      </c>
      <c r="H19" s="554" t="str">
        <f>CONCATENATE("",E1-1," Ending Cash Balance (est.)")</f>
        <v>2024 Ending Cash Balance (est.)</v>
      </c>
      <c r="I19" s="555"/>
      <c r="J19" s="552"/>
    </row>
    <row r="20" spans="2:11" x14ac:dyDescent="0.2">
      <c r="B20" s="272" t="s">
        <v>370</v>
      </c>
      <c r="C20" s="168" t="str">
        <f>IF(C21*0.1&lt;C19,"Exceed 10% Rule","")</f>
        <v/>
      </c>
      <c r="D20" s="168" t="str">
        <f>IF(D21*0.1&lt;D19,"Exceed 10% Rule","")</f>
        <v/>
      </c>
      <c r="E20" s="202" t="str">
        <f>IF(E21*0.1+E40&lt;E19,"Exceed 10% Rule","")</f>
        <v/>
      </c>
      <c r="F20" s="260"/>
      <c r="G20" s="553">
        <f>E21</f>
        <v>0</v>
      </c>
      <c r="H20" s="556" t="str">
        <f>CONCATENATE("",E1," Non-AV Receipts (est.)")</f>
        <v>2025 Non-AV Receipts (est.)</v>
      </c>
      <c r="I20" s="508"/>
      <c r="J20" s="552"/>
    </row>
    <row r="21" spans="2:11" x14ac:dyDescent="0.2">
      <c r="B21" s="282" t="s">
        <v>68</v>
      </c>
      <c r="C21" s="299">
        <f>SUM(C8:C19)</f>
        <v>0</v>
      </c>
      <c r="D21" s="299">
        <f>SUM(D8:D19)</f>
        <v>0</v>
      </c>
      <c r="E21" s="290">
        <f>SUM(E9:E19)</f>
        <v>0</v>
      </c>
      <c r="F21" s="260"/>
      <c r="G21" s="557">
        <f>IF(E39&gt;0,E38,E40)</f>
        <v>0</v>
      </c>
      <c r="H21" s="556" t="str">
        <f>CONCATENATE("",E1," Ad Valorem Tax (est.)")</f>
        <v>2025 Ad Valorem Tax (est.)</v>
      </c>
      <c r="I21" s="508"/>
      <c r="J21" s="552"/>
      <c r="K21" s="523" t="str">
        <f>IF(G21=E40,"","Note: Does not include Delinquent Taxes")</f>
        <v/>
      </c>
    </row>
    <row r="22" spans="2:11" x14ac:dyDescent="0.2">
      <c r="B22" s="282" t="s">
        <v>69</v>
      </c>
      <c r="C22" s="299">
        <f>SUM(C6+C21)</f>
        <v>0</v>
      </c>
      <c r="D22" s="299">
        <f>SUM(D6+D21)</f>
        <v>0</v>
      </c>
      <c r="E22" s="290">
        <f>SUM(E6+E21)</f>
        <v>0</v>
      </c>
      <c r="F22" s="260"/>
      <c r="G22" s="553">
        <f>SUM(G19:G21)</f>
        <v>0</v>
      </c>
      <c r="H22" s="556" t="str">
        <f>CONCATENATE("Total ",E1," Resources Available")</f>
        <v>Total 2025 Resources Available</v>
      </c>
      <c r="I22" s="555"/>
      <c r="J22" s="552"/>
    </row>
    <row r="23" spans="2:11" x14ac:dyDescent="0.2">
      <c r="B23" s="272" t="s">
        <v>71</v>
      </c>
      <c r="C23" s="272"/>
      <c r="D23" s="296"/>
      <c r="E23" s="273"/>
      <c r="F23" s="260"/>
      <c r="G23" s="558"/>
      <c r="H23" s="556"/>
      <c r="I23" s="508"/>
      <c r="J23" s="552"/>
    </row>
    <row r="24" spans="2:11" x14ac:dyDescent="0.2">
      <c r="B24" s="289"/>
      <c r="C24" s="320"/>
      <c r="D24" s="298"/>
      <c r="E24" s="265"/>
      <c r="F24" s="260"/>
      <c r="G24" s="573">
        <f>ROUND(C33*0.05+C33,0)</f>
        <v>0</v>
      </c>
      <c r="H24" s="572" t="str">
        <f>CONCATENATE("Less ",E1-2," Expenditures + 5%")</f>
        <v>Less 2023 Expenditures + 5%</v>
      </c>
      <c r="I24" s="508"/>
      <c r="J24" s="552"/>
    </row>
    <row r="25" spans="2:11" x14ac:dyDescent="0.2">
      <c r="B25" s="289"/>
      <c r="C25" s="320"/>
      <c r="D25" s="298"/>
      <c r="E25" s="265"/>
      <c r="F25" s="260"/>
      <c r="G25" s="559">
        <f>SUM(G22-G24)</f>
        <v>0</v>
      </c>
      <c r="H25" s="560" t="str">
        <f>CONCATENATE("Projected ",E1+1," carryover (est.)")</f>
        <v>Projected 2026 carryover (est.)</v>
      </c>
      <c r="I25" s="561"/>
      <c r="J25" s="562"/>
    </row>
    <row r="26" spans="2:11" x14ac:dyDescent="0.2">
      <c r="B26" s="289"/>
      <c r="C26" s="320"/>
      <c r="D26" s="298"/>
      <c r="E26" s="265"/>
      <c r="F26" s="260"/>
    </row>
    <row r="27" spans="2:11" x14ac:dyDescent="0.2">
      <c r="B27" s="289"/>
      <c r="C27" s="320"/>
      <c r="D27" s="298"/>
      <c r="E27" s="265"/>
      <c r="F27" s="260"/>
      <c r="G27" s="872" t="s">
        <v>648</v>
      </c>
      <c r="H27" s="873"/>
      <c r="I27" s="873"/>
      <c r="J27" s="874"/>
    </row>
    <row r="28" spans="2:11" x14ac:dyDescent="0.2">
      <c r="B28" s="289"/>
      <c r="C28" s="320"/>
      <c r="D28" s="298"/>
      <c r="E28" s="265"/>
      <c r="F28" s="260"/>
      <c r="G28" s="875"/>
      <c r="H28" s="876"/>
      <c r="I28" s="876"/>
      <c r="J28" s="877"/>
    </row>
    <row r="29" spans="2:11" x14ac:dyDescent="0.2">
      <c r="B29" s="289"/>
      <c r="C29" s="320"/>
      <c r="D29" s="298"/>
      <c r="E29" s="265"/>
      <c r="F29" s="260"/>
      <c r="G29" s="533" t="str">
        <f>'Budget Hearing Notice'!H17</f>
        <v/>
      </c>
      <c r="H29" s="530" t="str">
        <f>CONCATENATE("",E1," Estimated Fund Mill Rate")</f>
        <v>2025 Estimated Fund Mill Rate</v>
      </c>
      <c r="I29" s="531"/>
      <c r="J29" s="532"/>
    </row>
    <row r="30" spans="2:11" x14ac:dyDescent="0.2">
      <c r="B30" s="289"/>
      <c r="C30" s="320"/>
      <c r="D30" s="298"/>
      <c r="E30" s="265"/>
      <c r="F30" s="260"/>
      <c r="G30" s="729" t="str">
        <f>'Budget Hearing Notice'!E17</f>
        <v xml:space="preserve">  </v>
      </c>
      <c r="H30" s="530" t="str">
        <f>CONCATENATE("",E1-1," Fund Mill Rate")</f>
        <v>2024 Fund Mill Rate</v>
      </c>
      <c r="I30" s="531"/>
      <c r="J30" s="532"/>
    </row>
    <row r="31" spans="2:11" x14ac:dyDescent="0.2">
      <c r="B31" s="287" t="s">
        <v>9</v>
      </c>
      <c r="C31" s="320"/>
      <c r="D31" s="298"/>
      <c r="E31" s="265"/>
      <c r="F31" s="260"/>
      <c r="G31" s="730">
        <f>'Budget Hearing Notice'!H53</f>
        <v>0</v>
      </c>
      <c r="H31" s="731" t="s">
        <v>649</v>
      </c>
      <c r="I31" s="531"/>
      <c r="J31" s="532"/>
    </row>
    <row r="32" spans="2:11" x14ac:dyDescent="0.2">
      <c r="B32" s="287" t="s">
        <v>372</v>
      </c>
      <c r="C32" s="168" t="str">
        <f>IF(C33*0.1&lt;C31,"Exceed 10% Rule","")</f>
        <v/>
      </c>
      <c r="D32" s="168" t="str">
        <f>IF(D33*0.1&lt;D31,"Exceed 10% Rule","")</f>
        <v/>
      </c>
      <c r="E32" s="202" t="str">
        <f>IF(E33*0.1&lt;E31,"Exceed 10% Rule","")</f>
        <v/>
      </c>
      <c r="F32" s="260"/>
      <c r="G32" s="533">
        <f>'Budget Hearing Notice'!H52</f>
        <v>0</v>
      </c>
      <c r="H32" s="530" t="str">
        <f>CONCATENATE(E1," Estimated Total Mill Rate")</f>
        <v>2025 Estimated Total Mill Rate</v>
      </c>
      <c r="I32" s="531"/>
      <c r="J32" s="532"/>
    </row>
    <row r="33" spans="2:10" x14ac:dyDescent="0.2">
      <c r="B33" s="282" t="s">
        <v>75</v>
      </c>
      <c r="C33" s="295">
        <f>SUM(C24:C31)</f>
        <v>0</v>
      </c>
      <c r="D33" s="295">
        <f>SUM(D24:D31)</f>
        <v>0</v>
      </c>
      <c r="E33" s="286">
        <f>SUM(E24:E31)</f>
        <v>0</v>
      </c>
      <c r="F33" s="260"/>
      <c r="G33" s="534">
        <f>'Budget Hearing Notice'!E52</f>
        <v>0</v>
      </c>
      <c r="H33" s="530" t="str">
        <f>CONCATENATE(E1-1," Total Mill Rate")</f>
        <v>2024 Total Mill Rate</v>
      </c>
      <c r="I33" s="531"/>
      <c r="J33" s="532"/>
    </row>
    <row r="34" spans="2:10" x14ac:dyDescent="0.2">
      <c r="B34" s="272" t="s">
        <v>141</v>
      </c>
      <c r="C34" s="300">
        <f>SUM(C22-C33)</f>
        <v>0</v>
      </c>
      <c r="D34" s="300">
        <f>SUM(D22-D33)</f>
        <v>0</v>
      </c>
      <c r="E34" s="288" t="s">
        <v>49</v>
      </c>
      <c r="F34" s="260"/>
      <c r="G34" s="563"/>
      <c r="H34" s="539"/>
      <c r="I34" s="539"/>
      <c r="J34" s="570"/>
    </row>
    <row r="35" spans="2:10" x14ac:dyDescent="0.2">
      <c r="B35" s="611" t="str">
        <f>CONCATENATE("",E1-2,"/",E1-1,"/",E1," Budget Authority Amount:")</f>
        <v>2023/2024/2025 Budget Authority Amount:</v>
      </c>
      <c r="C35" s="610">
        <f>inputOth!B68</f>
        <v>0</v>
      </c>
      <c r="D35" s="609">
        <f>inputPrYr!D20</f>
        <v>0</v>
      </c>
      <c r="E35" s="273">
        <f>E33</f>
        <v>0</v>
      </c>
      <c r="F35" s="283"/>
      <c r="G35" s="878" t="s">
        <v>650</v>
      </c>
      <c r="H35" s="879"/>
      <c r="I35" s="879"/>
      <c r="J35" s="882" t="str">
        <f>IF(G32&gt;G31, "Yes", "No")</f>
        <v>No</v>
      </c>
    </row>
    <row r="36" spans="2:10" x14ac:dyDescent="0.2">
      <c r="B36" s="277"/>
      <c r="C36" s="861" t="s">
        <v>329</v>
      </c>
      <c r="D36" s="862"/>
      <c r="E36" s="31"/>
      <c r="F36" s="316" t="str">
        <f>IF(E33/0.95-E33&lt;E36,"Exceeds 5%","")</f>
        <v/>
      </c>
      <c r="G36" s="880"/>
      <c r="H36" s="881"/>
      <c r="I36" s="881"/>
      <c r="J36" s="883"/>
    </row>
    <row r="37" spans="2:10" x14ac:dyDescent="0.2">
      <c r="B37" s="354" t="str">
        <f>CONCATENATE(C98,"     ",D98)</f>
        <v xml:space="preserve">     </v>
      </c>
      <c r="C37" s="863" t="s">
        <v>330</v>
      </c>
      <c r="D37" s="864"/>
      <c r="E37" s="273">
        <f>SUM(E33+E36)</f>
        <v>0</v>
      </c>
      <c r="F37" s="260"/>
      <c r="G37" s="859" t="str">
        <f>IF(J35="Yes", "Follow procedure prescribed by KSA 79-2988 to exceed the Revenue Neutral Rate.", " ")</f>
        <v xml:space="preserve"> </v>
      </c>
      <c r="H37" s="859"/>
      <c r="I37" s="859"/>
      <c r="J37" s="859"/>
    </row>
    <row r="38" spans="2:10" x14ac:dyDescent="0.2">
      <c r="B38" s="354" t="str">
        <f>CONCATENATE(C99,"     ",D99)</f>
        <v xml:space="preserve">     </v>
      </c>
      <c r="C38" s="284"/>
      <c r="D38" s="278" t="s">
        <v>76</v>
      </c>
      <c r="E38" s="266">
        <f>IF(E37-E22&gt;0,E37-E22,0)</f>
        <v>0</v>
      </c>
      <c r="F38" s="260"/>
      <c r="G38" s="860"/>
      <c r="H38" s="860"/>
      <c r="I38" s="860"/>
      <c r="J38" s="860"/>
    </row>
    <row r="39" spans="2:10" x14ac:dyDescent="0.2">
      <c r="B39" s="278"/>
      <c r="C39" s="258" t="s">
        <v>328</v>
      </c>
      <c r="D39" s="493">
        <f>inputOth!$E$53</f>
        <v>0</v>
      </c>
      <c r="E39" s="273">
        <f>ROUND(IF(D39&gt;0,(E38*D39),0),0)</f>
        <v>0</v>
      </c>
      <c r="F39" s="260"/>
      <c r="G39" s="860"/>
      <c r="H39" s="860"/>
      <c r="I39" s="860"/>
      <c r="J39" s="860"/>
    </row>
    <row r="40" spans="2:10" ht="16.5" thickBot="1" x14ac:dyDescent="0.25">
      <c r="B40" s="261"/>
      <c r="C40" s="887" t="s">
        <v>333</v>
      </c>
      <c r="D40" s="888"/>
      <c r="E40" s="495">
        <f>SUM(E38:E39)</f>
        <v>0</v>
      </c>
      <c r="F40" s="578" t="str">
        <f>IF('Library Grant'!F31="","",IF('Library Grant'!F31="Qualify","Qualifies for State Library Grant","See 'Library Grant' tab"))</f>
        <v>Qualifies for State Library Grant</v>
      </c>
    </row>
    <row r="41" spans="2:10" ht="16.5" thickTop="1" x14ac:dyDescent="0.2">
      <c r="B41" s="261"/>
      <c r="C41" s="366"/>
      <c r="D41" s="261"/>
      <c r="E41" s="261"/>
      <c r="F41" s="260"/>
    </row>
    <row r="42" spans="2:10" x14ac:dyDescent="0.2">
      <c r="B42" s="263"/>
      <c r="C42" s="263"/>
      <c r="D42" s="280"/>
      <c r="E42" s="280"/>
      <c r="F42" s="260"/>
    </row>
    <row r="43" spans="2:10" x14ac:dyDescent="0.2">
      <c r="B43" s="263" t="s">
        <v>59</v>
      </c>
      <c r="C43" s="292" t="s">
        <v>377</v>
      </c>
      <c r="D43" s="291" t="s">
        <v>378</v>
      </c>
      <c r="E43" s="271" t="s">
        <v>379</v>
      </c>
      <c r="F43" s="260"/>
    </row>
    <row r="44" spans="2:10" x14ac:dyDescent="0.2">
      <c r="B44" s="302" t="s">
        <v>334</v>
      </c>
      <c r="C44" s="293" t="str">
        <f>CONCATENATE("Actual for ",E1-2,"")</f>
        <v>Actual for 2023</v>
      </c>
      <c r="D44" s="293" t="str">
        <f>CONCATENATE("Estimate for ",E1-1,"")</f>
        <v>Estimate for 2024</v>
      </c>
      <c r="E44" s="279" t="str">
        <f>CONCATENATE("Year for ",E1,"")</f>
        <v>Year for 2025</v>
      </c>
      <c r="F44" s="260"/>
    </row>
    <row r="45" spans="2:10" x14ac:dyDescent="0.2">
      <c r="B45" s="272" t="s">
        <v>140</v>
      </c>
      <c r="C45" s="294"/>
      <c r="D45" s="296">
        <f>C74</f>
        <v>0</v>
      </c>
      <c r="E45" s="273">
        <f>D74</f>
        <v>0</v>
      </c>
      <c r="F45" s="260"/>
    </row>
    <row r="46" spans="2:10" x14ac:dyDescent="0.2">
      <c r="B46" s="281" t="s">
        <v>142</v>
      </c>
      <c r="C46" s="272"/>
      <c r="D46" s="296"/>
      <c r="E46" s="273"/>
      <c r="F46" s="260"/>
    </row>
    <row r="47" spans="2:10" x14ac:dyDescent="0.2">
      <c r="B47" s="272" t="s">
        <v>60</v>
      </c>
      <c r="C47" s="294"/>
      <c r="D47" s="296">
        <f>IF(inputPrYr!H21&gt;0,inputPrYr!G38,inputPrYr!E34)</f>
        <v>0</v>
      </c>
      <c r="E47" s="288" t="s">
        <v>49</v>
      </c>
      <c r="F47" s="260"/>
    </row>
    <row r="48" spans="2:10" x14ac:dyDescent="0.2">
      <c r="B48" s="272" t="s">
        <v>61</v>
      </c>
      <c r="C48" s="294"/>
      <c r="D48" s="298"/>
      <c r="E48" s="265"/>
      <c r="F48" s="260"/>
    </row>
    <row r="49" spans="2:10" x14ac:dyDescent="0.2">
      <c r="B49" s="272" t="s">
        <v>62</v>
      </c>
      <c r="C49" s="294"/>
      <c r="D49" s="298"/>
      <c r="E49" s="273" t="str">
        <f>Mvalloc!D20</f>
        <v xml:space="preserve">  </v>
      </c>
      <c r="F49" s="260"/>
    </row>
    <row r="50" spans="2:10" x14ac:dyDescent="0.2">
      <c r="B50" s="272" t="s">
        <v>63</v>
      </c>
      <c r="C50" s="294"/>
      <c r="D50" s="298"/>
      <c r="E50" s="273" t="str">
        <f>Mvalloc!E20</f>
        <v xml:space="preserve"> </v>
      </c>
      <c r="F50" s="260"/>
    </row>
    <row r="51" spans="2:10" x14ac:dyDescent="0.2">
      <c r="B51" s="275" t="s">
        <v>132</v>
      </c>
      <c r="C51" s="294"/>
      <c r="D51" s="298"/>
      <c r="E51" s="273" t="str">
        <f>Mvalloc!F20</f>
        <v xml:space="preserve"> </v>
      </c>
    </row>
    <row r="52" spans="2:10" x14ac:dyDescent="0.2">
      <c r="B52" s="158" t="s">
        <v>518</v>
      </c>
      <c r="C52" s="294"/>
      <c r="D52" s="298"/>
      <c r="E52" s="273" t="str">
        <f>Mvalloc!G20</f>
        <v xml:space="preserve"> </v>
      </c>
    </row>
    <row r="53" spans="2:10" x14ac:dyDescent="0.2">
      <c r="B53" s="158" t="s">
        <v>519</v>
      </c>
      <c r="C53" s="294"/>
      <c r="D53" s="298"/>
      <c r="E53" s="273" t="str">
        <f>Mvalloc!H20</f>
        <v xml:space="preserve"> </v>
      </c>
    </row>
    <row r="54" spans="2:10" x14ac:dyDescent="0.2">
      <c r="B54" s="289"/>
      <c r="C54" s="294"/>
      <c r="D54" s="298"/>
      <c r="E54" s="265"/>
    </row>
    <row r="55" spans="2:10" x14ac:dyDescent="0.2">
      <c r="B55" s="289"/>
      <c r="C55" s="294"/>
      <c r="D55" s="298"/>
      <c r="E55" s="265"/>
    </row>
    <row r="56" spans="2:10" x14ac:dyDescent="0.2">
      <c r="B56" s="289"/>
      <c r="C56" s="294"/>
      <c r="D56" s="298"/>
      <c r="E56" s="265"/>
    </row>
    <row r="57" spans="2:10" x14ac:dyDescent="0.2">
      <c r="B57" s="285" t="s">
        <v>67</v>
      </c>
      <c r="C57" s="294"/>
      <c r="D57" s="298"/>
      <c r="E57" s="265"/>
    </row>
    <row r="58" spans="2:10" x14ac:dyDescent="0.2">
      <c r="B58" s="275" t="s">
        <v>8</v>
      </c>
      <c r="C58" s="294"/>
      <c r="D58" s="298"/>
      <c r="E58" s="610">
        <f>'NR Rebate'!E19*-1</f>
        <v>0</v>
      </c>
    </row>
    <row r="59" spans="2:10" x14ac:dyDescent="0.2">
      <c r="B59" s="272" t="s">
        <v>9</v>
      </c>
      <c r="C59" s="294"/>
      <c r="D59" s="163"/>
      <c r="E59" s="31"/>
      <c r="G59" s="889" t="str">
        <f>CONCATENATE("Desired Carryover Into ",E1+1,"")</f>
        <v>Desired Carryover Into 2026</v>
      </c>
      <c r="H59" s="870"/>
      <c r="I59" s="870"/>
      <c r="J59" s="871"/>
    </row>
    <row r="60" spans="2:10" x14ac:dyDescent="0.2">
      <c r="B60" s="272" t="s">
        <v>370</v>
      </c>
      <c r="C60" s="168" t="str">
        <f>IF(C61*0.1&lt;C59,"Exceed 10% Rule","")</f>
        <v/>
      </c>
      <c r="D60" s="168" t="str">
        <f>IF(D61*0.1&lt;D59,"Exceed 10% Rule","")</f>
        <v/>
      </c>
      <c r="E60" s="202" t="str">
        <f>IF(E61*0.1+E80&lt;E59,"Exceed 10% Rule","")</f>
        <v/>
      </c>
      <c r="G60" s="538"/>
      <c r="H60" s="539"/>
      <c r="I60" s="540"/>
      <c r="J60" s="541"/>
    </row>
    <row r="61" spans="2:10" x14ac:dyDescent="0.2">
      <c r="B61" s="282" t="s">
        <v>68</v>
      </c>
      <c r="C61" s="295">
        <f>SUM(C47:C59)</f>
        <v>0</v>
      </c>
      <c r="D61" s="295">
        <f>SUM(D47:D59)</f>
        <v>0</v>
      </c>
      <c r="E61" s="286">
        <f>SUM(E48:E59)</f>
        <v>0</v>
      </c>
      <c r="G61" s="542" t="s">
        <v>368</v>
      </c>
      <c r="H61" s="540"/>
      <c r="I61" s="540"/>
      <c r="J61" s="543">
        <v>0</v>
      </c>
    </row>
    <row r="62" spans="2:10" x14ac:dyDescent="0.2">
      <c r="B62" s="282" t="s">
        <v>69</v>
      </c>
      <c r="C62" s="295">
        <f>SUM(C45+C61)</f>
        <v>0</v>
      </c>
      <c r="D62" s="295">
        <f>SUM(D45+D61)</f>
        <v>0</v>
      </c>
      <c r="E62" s="286">
        <f>SUM(E45+E61)</f>
        <v>0</v>
      </c>
      <c r="G62" s="538" t="s">
        <v>369</v>
      </c>
      <c r="H62" s="539"/>
      <c r="I62" s="539"/>
      <c r="J62" s="544" t="str">
        <f>IF(J61=0,"",ROUND((J61+E80-G74)/inputOth!E9*1000,3)-G79)</f>
        <v/>
      </c>
    </row>
    <row r="63" spans="2:10" x14ac:dyDescent="0.2">
      <c r="B63" s="272" t="s">
        <v>71</v>
      </c>
      <c r="C63" s="272"/>
      <c r="D63" s="296"/>
      <c r="E63" s="273"/>
      <c r="G63" s="545" t="str">
        <f>CONCATENATE("",E1," Tot Exp/Non-Appr Must Be:")</f>
        <v>2025 Tot Exp/Non-Appr Must Be:</v>
      </c>
      <c r="H63" s="546"/>
      <c r="I63" s="547"/>
      <c r="J63" s="548">
        <f>IF(J61&gt;0,IF(E77&lt;E62,IF(J61=G74,E77,((J61-G74)*(1-D79))+E62),E77+(J61-G74)),0)</f>
        <v>0</v>
      </c>
    </row>
    <row r="64" spans="2:10" x14ac:dyDescent="0.25">
      <c r="B64" s="289"/>
      <c r="C64" s="294"/>
      <c r="D64" s="298"/>
      <c r="E64" s="265"/>
      <c r="F64" s="2"/>
      <c r="G64" s="549" t="s">
        <v>380</v>
      </c>
      <c r="H64" s="550"/>
      <c r="I64" s="550"/>
      <c r="J64" s="518">
        <f>IF(J61&gt;0,J63-E77,0)</f>
        <v>0</v>
      </c>
    </row>
    <row r="65" spans="2:11" x14ac:dyDescent="0.25">
      <c r="B65" s="289"/>
      <c r="C65" s="294"/>
      <c r="D65" s="298"/>
      <c r="E65" s="265"/>
      <c r="F65" s="2"/>
      <c r="G65" s="2"/>
      <c r="H65" s="2"/>
      <c r="I65" s="2"/>
      <c r="J65" s="2"/>
    </row>
    <row r="66" spans="2:11" x14ac:dyDescent="0.25">
      <c r="B66" s="289"/>
      <c r="C66" s="294"/>
      <c r="D66" s="298"/>
      <c r="E66" s="265"/>
      <c r="F66" s="2"/>
      <c r="G66" s="889" t="str">
        <f>CONCATENATE("Projected Carryover Into ",E1+1,"")</f>
        <v>Projected Carryover Into 2026</v>
      </c>
      <c r="H66" s="891"/>
      <c r="I66" s="891"/>
      <c r="J66" s="892"/>
    </row>
    <row r="67" spans="2:11" x14ac:dyDescent="0.25">
      <c r="B67" s="289"/>
      <c r="C67" s="294"/>
      <c r="D67" s="298"/>
      <c r="E67" s="265"/>
      <c r="F67" s="2"/>
      <c r="G67" s="563"/>
      <c r="H67" s="539"/>
      <c r="I67" s="539"/>
      <c r="J67" s="564"/>
    </row>
    <row r="68" spans="2:11" x14ac:dyDescent="0.25">
      <c r="B68" s="289"/>
      <c r="C68" s="294"/>
      <c r="D68" s="298"/>
      <c r="E68" s="265"/>
      <c r="F68" s="2"/>
      <c r="G68" s="565">
        <f>D74</f>
        <v>0</v>
      </c>
      <c r="H68" s="530" t="str">
        <f>CONCATENATE("",E1-1," Ending Cash Balance (est.)")</f>
        <v>2024 Ending Cash Balance (est.)</v>
      </c>
      <c r="I68" s="566"/>
      <c r="J68" s="564"/>
    </row>
    <row r="69" spans="2:11" x14ac:dyDescent="0.25">
      <c r="B69" s="289"/>
      <c r="C69" s="294"/>
      <c r="D69" s="298"/>
      <c r="E69" s="265"/>
      <c r="F69" s="2"/>
      <c r="G69" s="565">
        <f>E61</f>
        <v>0</v>
      </c>
      <c r="H69" s="540" t="str">
        <f>CONCATENATE("",E1," Non-AV Receipts (est.)")</f>
        <v>2025 Non-AV Receipts (est.)</v>
      </c>
      <c r="I69" s="566"/>
      <c r="J69" s="564"/>
    </row>
    <row r="70" spans="2:11" x14ac:dyDescent="0.25">
      <c r="B70" s="289"/>
      <c r="C70" s="294"/>
      <c r="D70" s="298"/>
      <c r="E70" s="265"/>
      <c r="F70"/>
      <c r="G70" s="567">
        <f>IF(E79&gt;0,E78,E80)</f>
        <v>0</v>
      </c>
      <c r="H70" s="540" t="str">
        <f>CONCATENATE("",E1," Ad Valorem Tax (est.)")</f>
        <v>2025 Ad Valorem Tax (est.)</v>
      </c>
      <c r="I70" s="566"/>
      <c r="J70" s="564"/>
      <c r="K70" s="523" t="str">
        <f>IF(G70=E80,"","Note: Does not include Delinquent Taxes")</f>
        <v/>
      </c>
    </row>
    <row r="71" spans="2:11" x14ac:dyDescent="0.25">
      <c r="B71" s="275" t="s">
        <v>9</v>
      </c>
      <c r="C71" s="320"/>
      <c r="D71" s="298"/>
      <c r="E71" s="265"/>
      <c r="F71"/>
      <c r="G71" s="569">
        <f>SUM(G68:G70)</f>
        <v>0</v>
      </c>
      <c r="H71" s="540" t="str">
        <f>CONCATENATE("Total ",E1," Resources Available")</f>
        <v>Total 2025 Resources Available</v>
      </c>
      <c r="I71" s="570"/>
      <c r="J71" s="564"/>
    </row>
    <row r="72" spans="2:11" x14ac:dyDescent="0.25">
      <c r="B72" s="275" t="s">
        <v>371</v>
      </c>
      <c r="C72" s="168" t="str">
        <f>IF(C73*0.1&lt;C71,"Exceed 10% Rule","")</f>
        <v/>
      </c>
      <c r="D72" s="168" t="str">
        <f>IF(D73*0.1&lt;D71,"Exceed 10% Rule","")</f>
        <v/>
      </c>
      <c r="E72" s="202" t="str">
        <f>IF(E73*0.1&lt;E71,"Exceed 10% Rule","")</f>
        <v/>
      </c>
      <c r="F72"/>
      <c r="G72" s="571"/>
      <c r="H72" s="572"/>
      <c r="I72" s="539"/>
      <c r="J72" s="564"/>
    </row>
    <row r="73" spans="2:11" x14ac:dyDescent="0.25">
      <c r="B73" s="282" t="s">
        <v>75</v>
      </c>
      <c r="C73" s="295">
        <f>SUM(C64:C71)</f>
        <v>0</v>
      </c>
      <c r="D73" s="295">
        <f>SUM(D64:D71)</f>
        <v>0</v>
      </c>
      <c r="E73" s="286">
        <f>SUM(E64:E71)</f>
        <v>0</v>
      </c>
      <c r="F73"/>
      <c r="G73" s="573">
        <f>ROUND(C73*0.05+C73,0)</f>
        <v>0</v>
      </c>
      <c r="H73" s="572" t="str">
        <f>CONCATENATE("Less ",E1-2," Expenditures + 5%")</f>
        <v>Less 2023 Expenditures + 5%</v>
      </c>
      <c r="I73" s="570"/>
      <c r="J73" s="564"/>
    </row>
    <row r="74" spans="2:11" x14ac:dyDescent="0.25">
      <c r="B74" s="272" t="s">
        <v>141</v>
      </c>
      <c r="C74" s="300">
        <f>SUM(C62-C73)</f>
        <v>0</v>
      </c>
      <c r="D74" s="300">
        <f>SUM(D62-D73)</f>
        <v>0</v>
      </c>
      <c r="E74" s="288" t="s">
        <v>49</v>
      </c>
      <c r="F74"/>
      <c r="G74" s="574">
        <f>G71-G73</f>
        <v>0</v>
      </c>
      <c r="H74" s="575" t="str">
        <f>CONCATENATE("Projected ",E1+1," carryover (est.)")</f>
        <v>Projected 2026 carryover (est.)</v>
      </c>
      <c r="I74" s="576"/>
      <c r="J74" s="577"/>
    </row>
    <row r="75" spans="2:11" x14ac:dyDescent="0.25">
      <c r="B75" s="611" t="str">
        <f>CONCATENATE("",E1-2,"/",E1-1,"/",E1," Budget Authority Amount:")</f>
        <v>2023/2024/2025 Budget Authority Amount:</v>
      </c>
      <c r="C75" s="610">
        <f>inputOth!B79</f>
        <v>0</v>
      </c>
      <c r="D75" s="610">
        <f>inputPrYr!D34</f>
        <v>0</v>
      </c>
      <c r="E75" s="273">
        <f>E73</f>
        <v>0</v>
      </c>
      <c r="F75" s="181"/>
      <c r="G75" s="2"/>
      <c r="H75" s="2"/>
      <c r="I75" s="2"/>
      <c r="J75" s="2"/>
    </row>
    <row r="76" spans="2:11" x14ac:dyDescent="0.2">
      <c r="B76" s="277"/>
      <c r="C76" s="861" t="s">
        <v>329</v>
      </c>
      <c r="D76" s="862"/>
      <c r="E76" s="31"/>
      <c r="F76" s="568" t="str">
        <f>IF(E73/0.95-E73&lt;E76,"Exceeds 5%","")</f>
        <v/>
      </c>
      <c r="G76" s="893" t="s">
        <v>381</v>
      </c>
      <c r="H76" s="894"/>
      <c r="I76" s="894"/>
      <c r="J76" s="895"/>
    </row>
    <row r="77" spans="2:11" x14ac:dyDescent="0.2">
      <c r="B77" s="354" t="str">
        <f>CONCATENATE(C100,"     ",D100)</f>
        <v xml:space="preserve">     </v>
      </c>
      <c r="C77" s="863" t="s">
        <v>330</v>
      </c>
      <c r="D77" s="864"/>
      <c r="E77" s="273">
        <f>SUM(E73+E76)</f>
        <v>0</v>
      </c>
      <c r="F77"/>
      <c r="G77" s="529"/>
      <c r="H77" s="530"/>
      <c r="I77" s="531"/>
      <c r="J77" s="532"/>
    </row>
    <row r="78" spans="2:11" x14ac:dyDescent="0.2">
      <c r="B78" s="354" t="str">
        <f>CONCATENATE(C101,"     ",D101)</f>
        <v xml:space="preserve">     </v>
      </c>
      <c r="C78" s="284"/>
      <c r="D78" s="278" t="s">
        <v>76</v>
      </c>
      <c r="E78" s="266">
        <f>IF(E77-E62&gt;0,E77-E62,0)</f>
        <v>0</v>
      </c>
      <c r="F78"/>
      <c r="G78" s="533">
        <f>'Budget Hearing Notice'!H54</f>
        <v>0</v>
      </c>
      <c r="H78" s="530" t="str">
        <f>CONCATENATE("",E1," Fund Mill Rate")</f>
        <v>2025 Fund Mill Rate</v>
      </c>
      <c r="I78" s="531"/>
      <c r="J78" s="601" t="str">
        <f>IF(G78&gt;inputOth!E6,"Exceed Mill Rate","")</f>
        <v/>
      </c>
    </row>
    <row r="79" spans="2:11" x14ac:dyDescent="0.25">
      <c r="B79" s="278"/>
      <c r="C79" s="258" t="s">
        <v>328</v>
      </c>
      <c r="D79" s="493">
        <f>inputOth!$E$53</f>
        <v>0</v>
      </c>
      <c r="E79" s="273">
        <f>ROUND(IF(D79&gt;0,(E78*D79),0),0)</f>
        <v>0</v>
      </c>
      <c r="F79" s="602" t="str">
        <f>IF(F80&lt;0,"Reduce","")</f>
        <v/>
      </c>
      <c r="G79" s="534" t="str">
        <f>'Budget Hearing Notice'!E54</f>
        <v xml:space="preserve">  </v>
      </c>
      <c r="H79" s="535" t="str">
        <f>CONCATENATE("",E1-1," Fund Mill Rate")</f>
        <v>2024 Fund Mill Rate</v>
      </c>
      <c r="I79" s="536"/>
      <c r="J79" s="537"/>
    </row>
    <row r="80" spans="2:11" ht="16.5" thickBot="1" x14ac:dyDescent="0.25">
      <c r="B80" s="261"/>
      <c r="C80" s="887" t="str">
        <f>CONCATENATE("Amount of  ",E1-1," Ad Valorem Tax")</f>
        <v>Amount of  2024 Ad Valorem Tax</v>
      </c>
      <c r="D80" s="888"/>
      <c r="E80" s="495">
        <f>SUM(E78:E79)</f>
        <v>0</v>
      </c>
      <c r="F80" s="603" t="str">
        <f>IF(G78&gt;inputOth!E6,ROUND(inputOth!E6*inputOth!E9/1000,0)-'Library-Rec'!E80,"")</f>
        <v/>
      </c>
    </row>
    <row r="81" spans="2:6" ht="16.5" thickTop="1" x14ac:dyDescent="0.2">
      <c r="B81" s="261"/>
      <c r="C81" s="366"/>
      <c r="D81" s="261"/>
      <c r="E81" s="261"/>
      <c r="F81"/>
    </row>
    <row r="82" spans="2:6" x14ac:dyDescent="0.25">
      <c r="B82" s="700" t="s">
        <v>529</v>
      </c>
      <c r="C82" s="684"/>
      <c r="D82" s="685"/>
      <c r="E82" s="686"/>
      <c r="F82" s="2"/>
    </row>
    <row r="83" spans="2:6" x14ac:dyDescent="0.2">
      <c r="B83" s="501"/>
      <c r="C83" s="366"/>
      <c r="D83" s="502"/>
      <c r="E83" s="503"/>
      <c r="F83"/>
    </row>
    <row r="84" spans="2:6" x14ac:dyDescent="0.25">
      <c r="B84" s="687"/>
      <c r="C84" s="688"/>
      <c r="D84" s="689"/>
      <c r="E84" s="690"/>
      <c r="F84" s="2"/>
    </row>
    <row r="85" spans="2:6" x14ac:dyDescent="0.25">
      <c r="B85" s="261"/>
      <c r="C85" s="366"/>
      <c r="D85" s="261"/>
      <c r="E85" s="261"/>
      <c r="F85" s="2"/>
    </row>
    <row r="86" spans="2:6" x14ac:dyDescent="0.25">
      <c r="B86" s="278" t="s">
        <v>78</v>
      </c>
      <c r="C86" s="747"/>
      <c r="D86" s="267"/>
      <c r="E86" s="261"/>
      <c r="F86" s="2"/>
    </row>
    <row r="88" spans="2:6" x14ac:dyDescent="0.2">
      <c r="B88" s="268"/>
      <c r="C88" s="268"/>
      <c r="D88" s="260"/>
      <c r="E88" s="260"/>
    </row>
    <row r="93" spans="2:6" ht="9" customHeight="1" x14ac:dyDescent="0.2">
      <c r="C93" s="262" t="s">
        <v>332</v>
      </c>
      <c r="D93" s="262" t="s">
        <v>332</v>
      </c>
    </row>
    <row r="94" spans="2:6" ht="13.5" hidden="1" customHeight="1" x14ac:dyDescent="0.2">
      <c r="C94" s="262" t="s">
        <v>332</v>
      </c>
      <c r="D94" s="262" t="s">
        <v>332</v>
      </c>
    </row>
    <row r="95" spans="2:6" ht="15.75" hidden="1" customHeight="1" x14ac:dyDescent="0.2"/>
    <row r="96" spans="2:6" ht="15.75" hidden="1" customHeight="1" x14ac:dyDescent="0.2">
      <c r="C96" s="262" t="s">
        <v>332</v>
      </c>
      <c r="D96" s="262" t="s">
        <v>332</v>
      </c>
    </row>
    <row r="97" spans="3:4" ht="13.5" customHeight="1" x14ac:dyDescent="0.2">
      <c r="C97" s="262" t="s">
        <v>332</v>
      </c>
      <c r="D97" s="262" t="s">
        <v>332</v>
      </c>
    </row>
    <row r="98" spans="3:4" x14ac:dyDescent="0.2">
      <c r="C98" s="353" t="str">
        <f>IF(C33&gt;C35,"See Tab A","")</f>
        <v/>
      </c>
      <c r="D98" s="353" t="str">
        <f>IF(D33&gt;D35,"See Tab C","")</f>
        <v/>
      </c>
    </row>
    <row r="99" spans="3:4" x14ac:dyDescent="0.2">
      <c r="C99" s="353" t="str">
        <f>IF(C34&lt;0,"See Tab B","")</f>
        <v/>
      </c>
      <c r="D99" s="353" t="str">
        <f>IF(D34&lt;0,"See Tab D","")</f>
        <v/>
      </c>
    </row>
    <row r="100" spans="3:4" x14ac:dyDescent="0.2">
      <c r="C100" s="353" t="str">
        <f>IF(C73&gt;C75,"See Tab A","")</f>
        <v/>
      </c>
      <c r="D100" s="353" t="str">
        <f>IF(D73&gt;D75,"See Tab C","")</f>
        <v/>
      </c>
    </row>
    <row r="101" spans="3:4" x14ac:dyDescent="0.2">
      <c r="C101" s="353" t="str">
        <f>IF(C74&lt;0,"See Tab B","")</f>
        <v/>
      </c>
      <c r="D101" s="353" t="str">
        <f>IF(D74&lt;0,"See Tab D","")</f>
        <v/>
      </c>
    </row>
  </sheetData>
  <sheetProtection sheet="1"/>
  <mergeCells count="15">
    <mergeCell ref="G10:J10"/>
    <mergeCell ref="G17:J17"/>
    <mergeCell ref="G59:J59"/>
    <mergeCell ref="G66:J66"/>
    <mergeCell ref="G76:J76"/>
    <mergeCell ref="G27:J28"/>
    <mergeCell ref="G35:I36"/>
    <mergeCell ref="J35:J36"/>
    <mergeCell ref="G37:J39"/>
    <mergeCell ref="C80:D80"/>
    <mergeCell ref="C76:D76"/>
    <mergeCell ref="C77:D77"/>
    <mergeCell ref="C36:D36"/>
    <mergeCell ref="C37:D37"/>
    <mergeCell ref="C40:D40"/>
  </mergeCells>
  <phoneticPr fontId="8" type="noConversion"/>
  <conditionalFormatting sqref="C19">
    <cfRule type="cellIs" dxfId="314" priority="13" stopIfTrue="1" operator="greaterThan">
      <formula>$C$21*0.1</formula>
    </cfRule>
  </conditionalFormatting>
  <conditionalFormatting sqref="C31">
    <cfRule type="cellIs" dxfId="313" priority="17" stopIfTrue="1" operator="greaterThan">
      <formula>$C$33*0.1</formula>
    </cfRule>
  </conditionalFormatting>
  <conditionalFormatting sqref="C33">
    <cfRule type="cellIs" dxfId="312" priority="9" stopIfTrue="1" operator="greaterThan">
      <formula>$C$35</formula>
    </cfRule>
  </conditionalFormatting>
  <conditionalFormatting sqref="C59">
    <cfRule type="cellIs" dxfId="311" priority="23" stopIfTrue="1" operator="greaterThan">
      <formula>$C$61*0.1</formula>
    </cfRule>
  </conditionalFormatting>
  <conditionalFormatting sqref="C71">
    <cfRule type="cellIs" dxfId="310" priority="20" stopIfTrue="1" operator="greaterThan">
      <formula>$C$73*0.1</formula>
    </cfRule>
  </conditionalFormatting>
  <conditionalFormatting sqref="C73">
    <cfRule type="cellIs" dxfId="309" priority="5" stopIfTrue="1" operator="greaterThan">
      <formula>$C$75</formula>
    </cfRule>
  </conditionalFormatting>
  <conditionalFormatting sqref="C34:D34 C74:D74">
    <cfRule type="cellIs" dxfId="308" priority="8" stopIfTrue="1" operator="lessThan">
      <formula>0</formula>
    </cfRule>
  </conditionalFormatting>
  <conditionalFormatting sqref="D19 D59">
    <cfRule type="cellIs" dxfId="307" priority="22" stopIfTrue="1" operator="greaterThan">
      <formula>$D$21*0.1</formula>
    </cfRule>
  </conditionalFormatting>
  <conditionalFormatting sqref="D31">
    <cfRule type="cellIs" dxfId="306" priority="16" stopIfTrue="1" operator="greaterThan">
      <formula>$D$33*0.1</formula>
    </cfRule>
  </conditionalFormatting>
  <conditionalFormatting sqref="D33">
    <cfRule type="cellIs" dxfId="305" priority="7" stopIfTrue="1" operator="greaterThan">
      <formula>$D$35</formula>
    </cfRule>
  </conditionalFormatting>
  <conditionalFormatting sqref="D71">
    <cfRule type="cellIs" dxfId="304" priority="19" stopIfTrue="1" operator="greaterThan">
      <formula>$D$73*0.1</formula>
    </cfRule>
  </conditionalFormatting>
  <conditionalFormatting sqref="D73">
    <cfRule type="cellIs" dxfId="303" priority="3" stopIfTrue="1" operator="greaterThan">
      <formula>$D$75</formula>
    </cfRule>
  </conditionalFormatting>
  <conditionalFormatting sqref="E19">
    <cfRule type="cellIs" dxfId="302" priority="12" stopIfTrue="1" operator="greaterThan">
      <formula>$E$21*0.1+E40</formula>
    </cfRule>
  </conditionalFormatting>
  <conditionalFormatting sqref="E31">
    <cfRule type="cellIs" dxfId="301" priority="15" stopIfTrue="1" operator="greaterThan">
      <formula>$E$33*0.1</formula>
    </cfRule>
  </conditionalFormatting>
  <conditionalFormatting sqref="E36">
    <cfRule type="cellIs" dxfId="300" priority="11" stopIfTrue="1" operator="greaterThan">
      <formula>$E$33/0.95-$E$33</formula>
    </cfRule>
  </conditionalFormatting>
  <conditionalFormatting sqref="E59">
    <cfRule type="cellIs" dxfId="299" priority="21" stopIfTrue="1" operator="greaterThan">
      <formula>$E$61*0.1+E80</formula>
    </cfRule>
  </conditionalFormatting>
  <conditionalFormatting sqref="E71">
    <cfRule type="cellIs" dxfId="298" priority="18" stopIfTrue="1" operator="greaterThan">
      <formula>$E$73*0.1</formula>
    </cfRule>
  </conditionalFormatting>
  <conditionalFormatting sqref="E76">
    <cfRule type="cellIs" dxfId="297" priority="10" stopIfTrue="1" operator="greaterThan">
      <formula>$E$73/0.95-$E$73</formula>
    </cfRule>
  </conditionalFormatting>
  <conditionalFormatting sqref="J35">
    <cfRule type="containsText" dxfId="296" priority="1" operator="containsText" text="Yes">
      <formula>NOT(ISERROR(SEARCH("Yes",J35)))</formula>
    </cfRule>
  </conditionalFormatting>
  <pageMargins left="0.75" right="0.75" top="1" bottom="1" header="0.5" footer="0.5"/>
  <pageSetup scale="48" orientation="portrait" blackAndWhite="1"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F0"/>
    <pageSetUpPr fitToPage="1"/>
  </sheetPr>
  <dimension ref="B1:K98"/>
  <sheetViews>
    <sheetView zoomScaleNormal="100" workbookViewId="0">
      <selection activeCell="B2" sqref="B2"/>
    </sheetView>
  </sheetViews>
  <sheetFormatPr defaultColWidth="8.88671875" defaultRowHeight="15.75" x14ac:dyDescent="0.2"/>
  <cols>
    <col min="1" max="1" width="2.44140625" style="18" customWidth="1"/>
    <col min="2" max="2" width="31.109375" style="18" customWidth="1"/>
    <col min="3" max="4" width="15.77734375" style="18" customWidth="1"/>
    <col min="5" max="5" width="16.21875" style="18" customWidth="1"/>
    <col min="6" max="6" width="8.109375" style="18" customWidth="1"/>
    <col min="7" max="7" width="10.21875" style="18" customWidth="1"/>
    <col min="8" max="8" width="8.88671875" style="18"/>
    <col min="9" max="9" width="5.5546875" style="18" customWidth="1"/>
    <col min="10" max="10" width="10" style="18" customWidth="1"/>
    <col min="11" max="16384" width="8.88671875" style="18"/>
  </cols>
  <sheetData>
    <row r="1" spans="2:10" x14ac:dyDescent="0.2">
      <c r="B1" s="39">
        <f>(inputPrYr!D3)</f>
        <v>0</v>
      </c>
      <c r="C1" s="20"/>
      <c r="D1" s="20"/>
      <c r="E1" s="73">
        <f>inputPrYr!C6</f>
        <v>2025</v>
      </c>
    </row>
    <row r="2" spans="2:10" x14ac:dyDescent="0.2">
      <c r="B2" s="20"/>
      <c r="C2" s="20"/>
      <c r="D2" s="20"/>
      <c r="E2" s="101"/>
    </row>
    <row r="3" spans="2:10" x14ac:dyDescent="0.2">
      <c r="B3" s="154" t="s">
        <v>125</v>
      </c>
      <c r="C3" s="110"/>
      <c r="D3" s="110"/>
      <c r="E3" s="126"/>
    </row>
    <row r="4" spans="2:10" x14ac:dyDescent="0.2">
      <c r="B4" s="21" t="s">
        <v>59</v>
      </c>
      <c r="C4" s="292" t="s">
        <v>377</v>
      </c>
      <c r="D4" s="291" t="s">
        <v>378</v>
      </c>
      <c r="E4" s="271" t="s">
        <v>379</v>
      </c>
    </row>
    <row r="5" spans="2:10" x14ac:dyDescent="0.2">
      <c r="B5" s="357">
        <f>inputPrYr!B22</f>
        <v>0</v>
      </c>
      <c r="C5" s="293" t="str">
        <f>CONCATENATE("Actual for ",E1-2,"")</f>
        <v>Actual for 2023</v>
      </c>
      <c r="D5" s="293" t="str">
        <f>CONCATENATE("Estimate for ",E1-1,"")</f>
        <v>Estimate for 2024</v>
      </c>
      <c r="E5" s="279" t="str">
        <f>CONCATENATE("Year for ",E1,"")</f>
        <v>Year for 2025</v>
      </c>
    </row>
    <row r="6" spans="2:10" x14ac:dyDescent="0.2">
      <c r="B6" s="158" t="s">
        <v>140</v>
      </c>
      <c r="C6" s="163"/>
      <c r="D6" s="161">
        <f>C32</f>
        <v>0</v>
      </c>
      <c r="E6" s="134">
        <f>D32</f>
        <v>0</v>
      </c>
    </row>
    <row r="7" spans="2:10" x14ac:dyDescent="0.2">
      <c r="B7" s="162" t="s">
        <v>142</v>
      </c>
      <c r="C7" s="96"/>
      <c r="D7" s="96"/>
      <c r="E7" s="44"/>
    </row>
    <row r="8" spans="2:10" x14ac:dyDescent="0.2">
      <c r="B8" s="87" t="s">
        <v>60</v>
      </c>
      <c r="C8" s="163"/>
      <c r="D8" s="161">
        <f>IF(inputPrYr!H21&gt;0,inputPrYr!G26,inputPrYr!E22)</f>
        <v>0</v>
      </c>
      <c r="E8" s="189" t="s">
        <v>49</v>
      </c>
    </row>
    <row r="9" spans="2:10" x14ac:dyDescent="0.2">
      <c r="B9" s="87" t="s">
        <v>61</v>
      </c>
      <c r="C9" s="163"/>
      <c r="D9" s="163"/>
      <c r="E9" s="31"/>
      <c r="G9" s="889" t="str">
        <f>CONCATENATE("Desired Carryover Into ",E1+1,"")</f>
        <v>Desired Carryover Into 2026</v>
      </c>
      <c r="H9" s="870"/>
      <c r="I9" s="870"/>
      <c r="J9" s="871"/>
    </row>
    <row r="10" spans="2:10" x14ac:dyDescent="0.2">
      <c r="B10" s="87" t="s">
        <v>62</v>
      </c>
      <c r="C10" s="163"/>
      <c r="D10" s="163"/>
      <c r="E10" s="134" t="str">
        <f>Mvalloc!D10</f>
        <v xml:space="preserve">  </v>
      </c>
      <c r="G10" s="538"/>
      <c r="H10" s="539"/>
      <c r="I10" s="540"/>
      <c r="J10" s="541"/>
    </row>
    <row r="11" spans="2:10" x14ac:dyDescent="0.2">
      <c r="B11" s="87" t="s">
        <v>63</v>
      </c>
      <c r="C11" s="163"/>
      <c r="D11" s="163"/>
      <c r="E11" s="134" t="str">
        <f>Mvalloc!E10</f>
        <v xml:space="preserve"> </v>
      </c>
      <c r="G11" s="542" t="s">
        <v>368</v>
      </c>
      <c r="H11" s="540"/>
      <c r="I11" s="540"/>
      <c r="J11" s="543">
        <v>0</v>
      </c>
    </row>
    <row r="12" spans="2:10" x14ac:dyDescent="0.2">
      <c r="B12" s="96" t="s">
        <v>132</v>
      </c>
      <c r="C12" s="163"/>
      <c r="D12" s="163"/>
      <c r="E12" s="134" t="str">
        <f>Mvalloc!F10</f>
        <v xml:space="preserve"> </v>
      </c>
      <c r="G12" s="538" t="s">
        <v>369</v>
      </c>
      <c r="H12" s="539"/>
      <c r="I12" s="539"/>
      <c r="J12" s="544" t="str">
        <f>IF(J11=0,"",ROUND((J11+E38-G24)/inputOth!E9*1000,3)-G29)</f>
        <v/>
      </c>
    </row>
    <row r="13" spans="2:10" x14ac:dyDescent="0.2">
      <c r="B13" s="158" t="s">
        <v>518</v>
      </c>
      <c r="C13" s="163"/>
      <c r="D13" s="163"/>
      <c r="E13" s="134" t="str">
        <f>Mvalloc!G10</f>
        <v xml:space="preserve"> </v>
      </c>
      <c r="G13" s="545" t="str">
        <f>CONCATENATE("",E1," Tot Exp/Non-Appr Must Be:")</f>
        <v>2025 Tot Exp/Non-Appr Must Be:</v>
      </c>
      <c r="H13" s="546"/>
      <c r="I13" s="547"/>
      <c r="J13" s="548">
        <f>IF(J11&gt;0,IF(E35&lt;E22,IF(J11=G24,E35,((J11-G24)*(1-D37))+E22),E35+(J11-G24)),0)</f>
        <v>0</v>
      </c>
    </row>
    <row r="14" spans="2:10" x14ac:dyDescent="0.2">
      <c r="B14" s="158" t="s">
        <v>519</v>
      </c>
      <c r="C14" s="163"/>
      <c r="D14" s="163"/>
      <c r="E14" s="134" t="str">
        <f>Mvalloc!H10</f>
        <v xml:space="preserve"> </v>
      </c>
      <c r="G14" s="549" t="s">
        <v>380</v>
      </c>
      <c r="H14" s="550"/>
      <c r="I14" s="550"/>
      <c r="J14" s="518">
        <f>IF(J11&gt;0,J13-E35,0)</f>
        <v>0</v>
      </c>
    </row>
    <row r="15" spans="2:10" x14ac:dyDescent="0.25">
      <c r="B15" s="179"/>
      <c r="C15" s="163"/>
      <c r="D15" s="163"/>
      <c r="E15" s="31"/>
      <c r="J15" s="2"/>
    </row>
    <row r="16" spans="2:10" x14ac:dyDescent="0.2">
      <c r="B16" s="179"/>
      <c r="C16" s="163"/>
      <c r="D16" s="163"/>
      <c r="E16" s="31"/>
      <c r="G16" s="889" t="str">
        <f>CONCATENATE("Projected Carryover Into ",E1+1,"")</f>
        <v>Projected Carryover Into 2026</v>
      </c>
      <c r="H16" s="896"/>
      <c r="I16" s="896"/>
      <c r="J16" s="892"/>
    </row>
    <row r="17" spans="2:11" x14ac:dyDescent="0.25">
      <c r="B17" s="167" t="s">
        <v>67</v>
      </c>
      <c r="C17" s="163"/>
      <c r="D17" s="163"/>
      <c r="E17" s="31"/>
      <c r="G17" s="538"/>
      <c r="H17" s="540"/>
      <c r="I17" s="540"/>
      <c r="J17" s="564"/>
    </row>
    <row r="18" spans="2:11" x14ac:dyDescent="0.25">
      <c r="B18" s="180" t="s">
        <v>8</v>
      </c>
      <c r="C18" s="163"/>
      <c r="D18" s="163"/>
      <c r="E18" s="666">
        <f>'NR Rebate'!E9*-1</f>
        <v>0</v>
      </c>
      <c r="G18" s="565">
        <f>D32</f>
        <v>0</v>
      </c>
      <c r="H18" s="530" t="str">
        <f>CONCATENATE("",E1-1," Ending Cash Balance (est.)")</f>
        <v>2024 Ending Cash Balance (est.)</v>
      </c>
      <c r="I18" s="566"/>
      <c r="J18" s="564"/>
    </row>
    <row r="19" spans="2:11" x14ac:dyDescent="0.25">
      <c r="B19" s="96" t="s">
        <v>9</v>
      </c>
      <c r="C19" s="163"/>
      <c r="D19" s="163"/>
      <c r="E19" s="31"/>
      <c r="G19" s="565">
        <f>E21</f>
        <v>0</v>
      </c>
      <c r="H19" s="540" t="str">
        <f>CONCATENATE("",E1," Non-AV Receipts (est.)")</f>
        <v>2025 Non-AV Receipts (est.)</v>
      </c>
      <c r="I19" s="566"/>
      <c r="J19" s="564"/>
    </row>
    <row r="20" spans="2:11" x14ac:dyDescent="0.2">
      <c r="B20" s="158" t="s">
        <v>370</v>
      </c>
      <c r="C20" s="168" t="str">
        <f>IF(C21*0.1&lt;C19,"Exceed 10% Rule","")</f>
        <v/>
      </c>
      <c r="D20" s="168" t="str">
        <f>IF(D21*0.1&lt;D19,"Exceed 10% Rule","")</f>
        <v/>
      </c>
      <c r="E20" s="202" t="str">
        <f>IF(E21*0.1+E38&lt;E19,"Exceed 10% Rule","")</f>
        <v/>
      </c>
      <c r="G20" s="567">
        <f>IF(E37&gt;0,E36,E38)</f>
        <v>0</v>
      </c>
      <c r="H20" s="540" t="str">
        <f>CONCATENATE("",E1," Ad Valorem Tax (est.)")</f>
        <v>2025 Ad Valorem Tax (est.)</v>
      </c>
      <c r="I20" s="566"/>
      <c r="J20" s="552"/>
      <c r="K20" s="523" t="str">
        <f>IF(G20=E38,"","Note: Does not include Delinquent Taxes")</f>
        <v/>
      </c>
    </row>
    <row r="21" spans="2:11" x14ac:dyDescent="0.25">
      <c r="B21" s="170" t="s">
        <v>68</v>
      </c>
      <c r="C21" s="172">
        <f>SUM(C8:C19)</f>
        <v>0</v>
      </c>
      <c r="D21" s="172">
        <f>SUM(D8:D19)</f>
        <v>0</v>
      </c>
      <c r="E21" s="173">
        <f>SUM(E8:E19)</f>
        <v>0</v>
      </c>
      <c r="G21" s="565">
        <f>SUM(G18:G20)</f>
        <v>0</v>
      </c>
      <c r="H21" s="540" t="str">
        <f>CONCATENATE("Total ",E1," Resources Available")</f>
        <v>Total 2025 Resources Available</v>
      </c>
      <c r="I21" s="566"/>
      <c r="J21" s="564"/>
    </row>
    <row r="22" spans="2:11" x14ac:dyDescent="0.25">
      <c r="B22" s="170" t="s">
        <v>69</v>
      </c>
      <c r="C22" s="176">
        <f>C6+C21</f>
        <v>0</v>
      </c>
      <c r="D22" s="176">
        <f>D6+D21</f>
        <v>0</v>
      </c>
      <c r="E22" s="42">
        <f>E6+E21</f>
        <v>0</v>
      </c>
      <c r="G22" s="579"/>
      <c r="H22" s="540"/>
      <c r="I22" s="540"/>
      <c r="J22" s="564"/>
    </row>
    <row r="23" spans="2:11" x14ac:dyDescent="0.25">
      <c r="B23" s="87" t="s">
        <v>71</v>
      </c>
      <c r="C23" s="180"/>
      <c r="D23" s="180"/>
      <c r="E23" s="30"/>
      <c r="G23" s="567">
        <f>ROUND(C31*0.05+C31,0)</f>
        <v>0</v>
      </c>
      <c r="H23" s="540" t="str">
        <f>CONCATENATE("Less ",E1-2," Expenditures + 5%")</f>
        <v>Less 2023 Expenditures + 5%</v>
      </c>
      <c r="I23" s="566"/>
      <c r="J23" s="564"/>
    </row>
    <row r="24" spans="2:11" x14ac:dyDescent="0.25">
      <c r="B24" s="179"/>
      <c r="C24" s="163"/>
      <c r="D24" s="163"/>
      <c r="E24" s="31"/>
      <c r="G24" s="580">
        <f>G21-G23</f>
        <v>0</v>
      </c>
      <c r="H24" s="581" t="str">
        <f>CONCATENATE("Projected ",E1+1," carryover (est.)")</f>
        <v>Projected 2026 carryover (est.)</v>
      </c>
      <c r="I24" s="582"/>
      <c r="J24" s="577"/>
    </row>
    <row r="25" spans="2:11" x14ac:dyDescent="0.25">
      <c r="B25" s="179"/>
      <c r="C25" s="163"/>
      <c r="D25" s="163"/>
      <c r="E25" s="31"/>
      <c r="G25" s="2"/>
      <c r="H25" s="2"/>
      <c r="I25" s="2"/>
      <c r="J25" s="2"/>
    </row>
    <row r="26" spans="2:11" x14ac:dyDescent="0.2">
      <c r="B26" s="179"/>
      <c r="C26" s="163"/>
      <c r="D26" s="163"/>
      <c r="E26" s="31"/>
      <c r="G26" s="872" t="s">
        <v>648</v>
      </c>
      <c r="H26" s="873"/>
      <c r="I26" s="873"/>
      <c r="J26" s="874"/>
    </row>
    <row r="27" spans="2:11" x14ac:dyDescent="0.2">
      <c r="B27" s="179"/>
      <c r="C27" s="163"/>
      <c r="D27" s="163"/>
      <c r="E27" s="31"/>
      <c r="G27" s="875"/>
      <c r="H27" s="876"/>
      <c r="I27" s="876"/>
      <c r="J27" s="877"/>
    </row>
    <row r="28" spans="2:11" x14ac:dyDescent="0.2">
      <c r="B28" s="180" t="str">
        <f>CONCATENATE("Cash Reserve (",E1," column)")</f>
        <v>Cash Reserve (2025 column)</v>
      </c>
      <c r="C28" s="163"/>
      <c r="D28" s="163"/>
      <c r="E28" s="31"/>
      <c r="G28" s="533" t="str">
        <f>'Budget Hearing Notice'!H18</f>
        <v xml:space="preserve">  </v>
      </c>
      <c r="H28" s="530" t="str">
        <f>CONCATENATE("",E1," Estimated Fund Mill Rate")</f>
        <v>2025 Estimated Fund Mill Rate</v>
      </c>
      <c r="I28" s="531"/>
      <c r="J28" s="532"/>
    </row>
    <row r="29" spans="2:11" x14ac:dyDescent="0.2">
      <c r="B29" s="180" t="s">
        <v>9</v>
      </c>
      <c r="C29" s="163"/>
      <c r="D29" s="163"/>
      <c r="E29" s="31"/>
      <c r="G29" s="729" t="str">
        <f>'Budget Hearing Notice'!E18</f>
        <v xml:space="preserve">  </v>
      </c>
      <c r="H29" s="530" t="str">
        <f>CONCATENATE("",E1-1," Fund Mill Rate")</f>
        <v>2024 Fund Mill Rate</v>
      </c>
      <c r="I29" s="531"/>
      <c r="J29" s="532"/>
    </row>
    <row r="30" spans="2:11" x14ac:dyDescent="0.2">
      <c r="B30" s="180" t="s">
        <v>371</v>
      </c>
      <c r="C30" s="168" t="str">
        <f>IF(C31*0.1&lt;C29,"Exceed 10% Rule","")</f>
        <v/>
      </c>
      <c r="D30" s="168" t="str">
        <f>IF(D31*0.1&lt;D29,"Exceed 10% Rule","")</f>
        <v/>
      </c>
      <c r="E30" s="202" t="str">
        <f>IF(E31*0.1&lt;E29,"Exceed 10% Rule","")</f>
        <v/>
      </c>
      <c r="G30" s="730">
        <f>'Budget Hearing Notice'!H53</f>
        <v>0</v>
      </c>
      <c r="H30" s="731" t="s">
        <v>649</v>
      </c>
      <c r="I30" s="531"/>
      <c r="J30" s="532"/>
    </row>
    <row r="31" spans="2:11" x14ac:dyDescent="0.2">
      <c r="B31" s="170" t="s">
        <v>75</v>
      </c>
      <c r="C31" s="172">
        <f>SUM(C24:C29)</f>
        <v>0</v>
      </c>
      <c r="D31" s="172">
        <f>SUM(D24:D29)</f>
        <v>0</v>
      </c>
      <c r="E31" s="173">
        <f>SUM(E24:E29)</f>
        <v>0</v>
      </c>
      <c r="G31" s="533">
        <f>'Budget Hearing Notice'!H52</f>
        <v>0</v>
      </c>
      <c r="H31" s="530" t="str">
        <f>CONCATENATE(E1," Estimated Total Mill Rate")</f>
        <v>2025 Estimated Total Mill Rate</v>
      </c>
      <c r="I31" s="531"/>
      <c r="J31" s="532"/>
    </row>
    <row r="32" spans="2:11" x14ac:dyDescent="0.2">
      <c r="B32" s="87" t="s">
        <v>141</v>
      </c>
      <c r="C32" s="176">
        <f>C22-C31</f>
        <v>0</v>
      </c>
      <c r="D32" s="176">
        <f>D22-D31</f>
        <v>0</v>
      </c>
      <c r="E32" s="189" t="s">
        <v>49</v>
      </c>
      <c r="G32" s="534">
        <f>'Budget Hearing Notice'!E52</f>
        <v>0</v>
      </c>
      <c r="H32" s="530" t="str">
        <f>CONCATENATE(E1-1," Total Mill Rate")</f>
        <v>2024 Total Mill Rate</v>
      </c>
      <c r="I32" s="531"/>
      <c r="J32" s="532"/>
    </row>
    <row r="33" spans="2:10" x14ac:dyDescent="0.2">
      <c r="B33" s="102" t="str">
        <f>CONCATENATE("",E1-2,"/",E1-1,"/",E1," Budget Authority Amount:")</f>
        <v>2023/2024/2025 Budget Authority Amount:</v>
      </c>
      <c r="C33" s="584">
        <f>inputOth!B69</f>
        <v>0</v>
      </c>
      <c r="D33" s="584">
        <f>inputPrYr!D22</f>
        <v>0</v>
      </c>
      <c r="E33" s="134">
        <f>E31</f>
        <v>0</v>
      </c>
      <c r="G33" s="563"/>
      <c r="H33" s="539"/>
      <c r="I33" s="539"/>
      <c r="J33" s="570"/>
    </row>
    <row r="34" spans="2:10" x14ac:dyDescent="0.2">
      <c r="B34" s="73"/>
      <c r="C34" s="861" t="s">
        <v>329</v>
      </c>
      <c r="D34" s="862"/>
      <c r="E34" s="31"/>
      <c r="G34" s="878" t="s">
        <v>650</v>
      </c>
      <c r="H34" s="879"/>
      <c r="I34" s="879"/>
      <c r="J34" s="882" t="str">
        <f>IF(G31&gt;G30, "Yes", "No")</f>
        <v>No</v>
      </c>
    </row>
    <row r="35" spans="2:10" x14ac:dyDescent="0.2">
      <c r="B35" s="354" t="str">
        <f>CONCATENATE(C95,"     ",D95)</f>
        <v xml:space="preserve">     </v>
      </c>
      <c r="C35" s="863" t="s">
        <v>330</v>
      </c>
      <c r="D35" s="864"/>
      <c r="E35" s="134">
        <f>E31+E34</f>
        <v>0</v>
      </c>
      <c r="F35" s="181"/>
      <c r="G35" s="880"/>
      <c r="H35" s="881"/>
      <c r="I35" s="881"/>
      <c r="J35" s="883"/>
    </row>
    <row r="36" spans="2:10" x14ac:dyDescent="0.2">
      <c r="B36" s="354" t="str">
        <f>CONCATENATE(C96,"     ",D96)</f>
        <v xml:space="preserve">     </v>
      </c>
      <c r="C36" s="182"/>
      <c r="D36" s="101" t="s">
        <v>76</v>
      </c>
      <c r="E36" s="42">
        <f>IF(E35-E22&gt;0,E35-E22,0)</f>
        <v>0</v>
      </c>
      <c r="F36" s="604" t="str">
        <f>IF(E31/0.95-E31&lt;E34,"Exceeds 5%","")</f>
        <v/>
      </c>
      <c r="G36" s="859" t="str">
        <f>IF(J34="Yes", "Follow procedure prescribed by KSA 79-2988 to exceed the Revenue Neutral Rate.", " ")</f>
        <v xml:space="preserve"> </v>
      </c>
      <c r="H36" s="859"/>
      <c r="I36" s="859"/>
      <c r="J36" s="859"/>
    </row>
    <row r="37" spans="2:10" x14ac:dyDescent="0.2">
      <c r="B37" s="101"/>
      <c r="C37" s="258" t="s">
        <v>328</v>
      </c>
      <c r="D37" s="493">
        <f>inputOth!$E$53</f>
        <v>0</v>
      </c>
      <c r="E37" s="134">
        <f>ROUND(IF(D37&gt;0,(E36*D37),0),0)</f>
        <v>0</v>
      </c>
      <c r="G37" s="860"/>
      <c r="H37" s="860"/>
      <c r="I37" s="860"/>
      <c r="J37" s="860"/>
    </row>
    <row r="38" spans="2:10" ht="16.5" thickBot="1" x14ac:dyDescent="0.25">
      <c r="B38" s="101"/>
      <c r="C38" s="865" t="str">
        <f>CONCATENATE("Amount of  ",$E$1-1," Ad Valorem Tax")</f>
        <v>Amount of  2024 Ad Valorem Tax</v>
      </c>
      <c r="D38" s="866"/>
      <c r="E38" s="496">
        <f>E36+E37</f>
        <v>0</v>
      </c>
      <c r="G38" s="860"/>
      <c r="H38" s="860"/>
      <c r="I38" s="860"/>
      <c r="J38" s="860"/>
    </row>
    <row r="39" spans="2:10" ht="16.5" thickTop="1" x14ac:dyDescent="0.2">
      <c r="B39" s="20"/>
      <c r="C39" s="865"/>
      <c r="D39" s="866"/>
      <c r="E39" s="20"/>
    </row>
    <row r="40" spans="2:10" x14ac:dyDescent="0.2">
      <c r="B40" s="21"/>
      <c r="C40" s="191"/>
      <c r="D40" s="191"/>
      <c r="E40" s="191"/>
    </row>
    <row r="41" spans="2:10" x14ac:dyDescent="0.2">
      <c r="B41" s="21" t="s">
        <v>59</v>
      </c>
      <c r="C41" s="292" t="s">
        <v>377</v>
      </c>
      <c r="D41" s="291" t="s">
        <v>378</v>
      </c>
      <c r="E41" s="271" t="s">
        <v>379</v>
      </c>
    </row>
    <row r="42" spans="2:10" x14ac:dyDescent="0.2">
      <c r="B42" s="357">
        <f>(inputPrYr!B23)</f>
        <v>0</v>
      </c>
      <c r="C42" s="293" t="str">
        <f>CONCATENATE("Actual for ",E1-2,"")</f>
        <v>Actual for 2023</v>
      </c>
      <c r="D42" s="293" t="str">
        <f>CONCATENATE("Estimate for ",E1-1,"")</f>
        <v>Estimate for 2024</v>
      </c>
      <c r="E42" s="279" t="str">
        <f>CONCATENATE("Year for ",E1,"")</f>
        <v>Year for 2025</v>
      </c>
    </row>
    <row r="43" spans="2:10" x14ac:dyDescent="0.2">
      <c r="B43" s="158" t="s">
        <v>140</v>
      </c>
      <c r="C43" s="163"/>
      <c r="D43" s="161">
        <f>C71</f>
        <v>0</v>
      </c>
      <c r="E43" s="134">
        <f>D71</f>
        <v>0</v>
      </c>
    </row>
    <row r="44" spans="2:10" x14ac:dyDescent="0.2">
      <c r="B44" s="162" t="s">
        <v>142</v>
      </c>
      <c r="C44" s="96"/>
      <c r="D44" s="96"/>
      <c r="E44" s="44"/>
    </row>
    <row r="45" spans="2:10" x14ac:dyDescent="0.2">
      <c r="B45" s="87" t="s">
        <v>60</v>
      </c>
      <c r="C45" s="163"/>
      <c r="D45" s="161">
        <f>IF(inputPrYr!H21&gt;0,inputPrYr!G27,inputPrYr!E23)</f>
        <v>0</v>
      </c>
      <c r="E45" s="189" t="s">
        <v>49</v>
      </c>
    </row>
    <row r="46" spans="2:10" x14ac:dyDescent="0.2">
      <c r="B46" s="87" t="s">
        <v>61</v>
      </c>
      <c r="C46" s="163"/>
      <c r="D46" s="163"/>
      <c r="E46" s="31"/>
    </row>
    <row r="47" spans="2:10" x14ac:dyDescent="0.2">
      <c r="B47" s="87" t="s">
        <v>62</v>
      </c>
      <c r="C47" s="163"/>
      <c r="D47" s="163"/>
      <c r="E47" s="134" t="str">
        <f>Mvalloc!D11</f>
        <v xml:space="preserve">  </v>
      </c>
    </row>
    <row r="48" spans="2:10" x14ac:dyDescent="0.2">
      <c r="B48" s="87" t="s">
        <v>63</v>
      </c>
      <c r="C48" s="163"/>
      <c r="D48" s="163"/>
      <c r="E48" s="134" t="str">
        <f>Mvalloc!E11</f>
        <v xml:space="preserve"> </v>
      </c>
      <c r="G48" s="889" t="str">
        <f>CONCATENATE("Desired Carryover Into ",E1+1,"")</f>
        <v>Desired Carryover Into 2026</v>
      </c>
      <c r="H48" s="870"/>
      <c r="I48" s="870"/>
      <c r="J48" s="871"/>
    </row>
    <row r="49" spans="2:11" x14ac:dyDescent="0.2">
      <c r="B49" s="96" t="s">
        <v>132</v>
      </c>
      <c r="C49" s="163"/>
      <c r="D49" s="163"/>
      <c r="E49" s="134" t="str">
        <f>Mvalloc!F11</f>
        <v xml:space="preserve"> </v>
      </c>
      <c r="G49" s="538"/>
      <c r="H49" s="539"/>
      <c r="I49" s="540"/>
      <c r="J49" s="541"/>
    </row>
    <row r="50" spans="2:11" x14ac:dyDescent="0.2">
      <c r="B50" s="158" t="s">
        <v>518</v>
      </c>
      <c r="C50" s="163"/>
      <c r="D50" s="163"/>
      <c r="E50" s="134" t="str">
        <f>Mvalloc!G11</f>
        <v xml:space="preserve"> </v>
      </c>
      <c r="G50" s="542" t="s">
        <v>368</v>
      </c>
      <c r="H50" s="540"/>
      <c r="I50" s="540"/>
      <c r="J50" s="543">
        <v>0</v>
      </c>
    </row>
    <row r="51" spans="2:11" x14ac:dyDescent="0.2">
      <c r="B51" s="158" t="s">
        <v>519</v>
      </c>
      <c r="C51" s="163"/>
      <c r="D51" s="163"/>
      <c r="E51" s="134" t="str">
        <f>Mvalloc!H11</f>
        <v xml:space="preserve"> </v>
      </c>
      <c r="G51" s="538" t="s">
        <v>369</v>
      </c>
      <c r="H51" s="539"/>
      <c r="I51" s="539"/>
      <c r="J51" s="544" t="str">
        <f>IF(J50=0,"",ROUND((J50+E77-G63)/inputOth!E9*1000,3)-G68)</f>
        <v/>
      </c>
    </row>
    <row r="52" spans="2:11" x14ac:dyDescent="0.2">
      <c r="B52" s="179"/>
      <c r="C52" s="163"/>
      <c r="D52" s="163"/>
      <c r="E52" s="31"/>
      <c r="G52" s="545" t="str">
        <f>CONCATENATE("",E1," Tot Exp/Non-Appr Must Be:")</f>
        <v>2025 Tot Exp/Non-Appr Must Be:</v>
      </c>
      <c r="H52" s="546"/>
      <c r="I52" s="547"/>
      <c r="J52" s="548">
        <f>IF(J50&gt;0,IF(E74&lt;E59,IF(J50=G63,E74,((J50-G63)*(1-D76))+E59),E74+(J50-G63)),0)</f>
        <v>0</v>
      </c>
    </row>
    <row r="53" spans="2:11" x14ac:dyDescent="0.2">
      <c r="B53" s="179"/>
      <c r="C53" s="163"/>
      <c r="D53" s="163"/>
      <c r="E53" s="31"/>
      <c r="G53" s="549" t="s">
        <v>380</v>
      </c>
      <c r="H53" s="550"/>
      <c r="I53" s="550"/>
      <c r="J53" s="518">
        <f>IF(J50&gt;0,J52-E74,0)</f>
        <v>0</v>
      </c>
    </row>
    <row r="54" spans="2:11" x14ac:dyDescent="0.25">
      <c r="B54" s="167" t="s">
        <v>67</v>
      </c>
      <c r="C54" s="163"/>
      <c r="D54" s="163"/>
      <c r="E54" s="31"/>
      <c r="J54" s="2"/>
    </row>
    <row r="55" spans="2:11" x14ac:dyDescent="0.2">
      <c r="B55" s="180" t="s">
        <v>8</v>
      </c>
      <c r="C55" s="163"/>
      <c r="D55" s="163"/>
      <c r="E55" s="666">
        <f>'NR Rebate'!E10*-1</f>
        <v>0</v>
      </c>
      <c r="G55" s="889" t="str">
        <f>CONCATENATE("Projected Carryover Into ",E1+1,"")</f>
        <v>Projected Carryover Into 2026</v>
      </c>
      <c r="H55" s="891"/>
      <c r="I55" s="891"/>
      <c r="J55" s="892"/>
    </row>
    <row r="56" spans="2:11" x14ac:dyDescent="0.2">
      <c r="B56" s="96" t="s">
        <v>9</v>
      </c>
      <c r="C56" s="163"/>
      <c r="D56" s="163"/>
      <c r="E56" s="31"/>
      <c r="G56" s="563"/>
      <c r="H56" s="539"/>
      <c r="I56" s="539"/>
      <c r="J56" s="570"/>
    </row>
    <row r="57" spans="2:11" x14ac:dyDescent="0.2">
      <c r="B57" s="158" t="s">
        <v>370</v>
      </c>
      <c r="C57" s="168" t="str">
        <f>IF(C58*0.1&lt;C56,"Exceed 10% Rule","")</f>
        <v/>
      </c>
      <c r="D57" s="168" t="str">
        <f>IF(D58*0.1&lt;D56,"Exceed 10% Rule","")</f>
        <v/>
      </c>
      <c r="E57" s="202" t="str">
        <f>IF(E58*0.1+E77&lt;E56,"Exceed 10% Rule","")</f>
        <v/>
      </c>
      <c r="G57" s="565">
        <f>D71</f>
        <v>0</v>
      </c>
      <c r="H57" s="530" t="str">
        <f>CONCATENATE("",E1-1," Ending Cash Balance (est.)")</f>
        <v>2024 Ending Cash Balance (est.)</v>
      </c>
      <c r="I57" s="566"/>
      <c r="J57" s="570"/>
    </row>
    <row r="58" spans="2:11" x14ac:dyDescent="0.2">
      <c r="B58" s="170" t="s">
        <v>68</v>
      </c>
      <c r="C58" s="172">
        <f>SUM(C45:C56)</f>
        <v>0</v>
      </c>
      <c r="D58" s="172">
        <f>SUM(D45:D56)</f>
        <v>0</v>
      </c>
      <c r="E58" s="173">
        <f>SUM(E45:E56)</f>
        <v>0</v>
      </c>
      <c r="G58" s="565">
        <f>E58</f>
        <v>0</v>
      </c>
      <c r="H58" s="540" t="str">
        <f>CONCATENATE("",E1," Non-AV Receipts (est.)")</f>
        <v>2025 Non-AV Receipts (est.)</v>
      </c>
      <c r="I58" s="566"/>
      <c r="J58" s="570"/>
    </row>
    <row r="59" spans="2:11" x14ac:dyDescent="0.2">
      <c r="B59" s="170" t="s">
        <v>69</v>
      </c>
      <c r="C59" s="172">
        <f>C43+C58</f>
        <v>0</v>
      </c>
      <c r="D59" s="172">
        <f>D43+D58</f>
        <v>0</v>
      </c>
      <c r="E59" s="173">
        <f>E43+E58</f>
        <v>0</v>
      </c>
      <c r="G59" s="567">
        <f>IF(D76&gt;0,E75,E77)</f>
        <v>0</v>
      </c>
      <c r="H59" s="540" t="str">
        <f>CONCATENATE("",E1," Ad Valorem Tax (est.)")</f>
        <v>2025 Ad Valorem Tax (est.)</v>
      </c>
      <c r="I59" s="566"/>
      <c r="J59" s="570"/>
      <c r="K59" s="523" t="str">
        <f>IF(G59=E77,"","Note: Does not include Delinquent Taxes")</f>
        <v/>
      </c>
    </row>
    <row r="60" spans="2:11" x14ac:dyDescent="0.2">
      <c r="B60" s="87" t="s">
        <v>71</v>
      </c>
      <c r="C60" s="180"/>
      <c r="D60" s="180"/>
      <c r="E60" s="30"/>
      <c r="G60" s="569">
        <f>SUM(G57:G59)</f>
        <v>0</v>
      </c>
      <c r="H60" s="540" t="str">
        <f>CONCATENATE("Total ",E1," Resources Available")</f>
        <v>Total 2025 Resources Available</v>
      </c>
      <c r="I60" s="570"/>
      <c r="J60" s="570"/>
    </row>
    <row r="61" spans="2:11" x14ac:dyDescent="0.2">
      <c r="B61" s="179"/>
      <c r="C61" s="163"/>
      <c r="D61" s="163"/>
      <c r="E61" s="31"/>
      <c r="G61" s="571"/>
      <c r="H61" s="572"/>
      <c r="I61" s="539"/>
      <c r="J61" s="570"/>
    </row>
    <row r="62" spans="2:11" x14ac:dyDescent="0.2">
      <c r="B62" s="179"/>
      <c r="C62" s="163"/>
      <c r="D62" s="163"/>
      <c r="E62" s="31"/>
      <c r="G62" s="573">
        <f>ROUND(C70*0.05+C70,0)</f>
        <v>0</v>
      </c>
      <c r="H62" s="572" t="str">
        <f>CONCATENATE("Less ",E1-2," Expenditures + 5%")</f>
        <v>Less 2023 Expenditures + 5%</v>
      </c>
      <c r="I62" s="570"/>
      <c r="J62" s="570"/>
    </row>
    <row r="63" spans="2:11" x14ac:dyDescent="0.25">
      <c r="B63" s="179"/>
      <c r="C63" s="163"/>
      <c r="D63" s="163"/>
      <c r="E63" s="31"/>
      <c r="G63" s="574">
        <f>G60-G62</f>
        <v>0</v>
      </c>
      <c r="H63" s="575" t="str">
        <f>CONCATENATE("Projected ",E1+1," carryover (est.)")</f>
        <v>Projected 2026 carryover (est.)</v>
      </c>
      <c r="I63" s="576"/>
      <c r="J63" s="577"/>
    </row>
    <row r="64" spans="2:11" x14ac:dyDescent="0.25">
      <c r="B64" s="179"/>
      <c r="C64" s="163"/>
      <c r="D64" s="163"/>
      <c r="E64" s="31"/>
      <c r="G64" s="2"/>
      <c r="H64" s="2"/>
      <c r="I64" s="2"/>
    </row>
    <row r="65" spans="2:10" x14ac:dyDescent="0.2">
      <c r="B65" s="179"/>
      <c r="C65" s="163"/>
      <c r="D65" s="163"/>
      <c r="E65" s="31"/>
      <c r="G65" s="872" t="s">
        <v>648</v>
      </c>
      <c r="H65" s="873"/>
      <c r="I65" s="873"/>
      <c r="J65" s="874"/>
    </row>
    <row r="66" spans="2:10" x14ac:dyDescent="0.2">
      <c r="B66" s="179"/>
      <c r="C66" s="163"/>
      <c r="D66" s="163"/>
      <c r="E66" s="31"/>
      <c r="G66" s="875"/>
      <c r="H66" s="876"/>
      <c r="I66" s="876"/>
      <c r="J66" s="877"/>
    </row>
    <row r="67" spans="2:10" x14ac:dyDescent="0.2">
      <c r="B67" s="180" t="str">
        <f>CONCATENATE("Cash Reserve (",E1," column)")</f>
        <v>Cash Reserve (2025 column)</v>
      </c>
      <c r="C67" s="163"/>
      <c r="D67" s="163"/>
      <c r="E67" s="31"/>
      <c r="G67" s="533" t="str">
        <f>'Budget Hearing Notice'!H19</f>
        <v xml:space="preserve">  </v>
      </c>
      <c r="H67" s="530" t="str">
        <f>CONCATENATE("",E1," Estimated Fund Mill Rate")</f>
        <v>2025 Estimated Fund Mill Rate</v>
      </c>
      <c r="I67" s="531"/>
      <c r="J67" s="532"/>
    </row>
    <row r="68" spans="2:10" x14ac:dyDescent="0.2">
      <c r="B68" s="180" t="s">
        <v>9</v>
      </c>
      <c r="C68" s="163"/>
      <c r="D68" s="163"/>
      <c r="E68" s="31"/>
      <c r="G68" s="729" t="str">
        <f>'Budget Hearing Notice'!E19</f>
        <v xml:space="preserve">  </v>
      </c>
      <c r="H68" s="530" t="str">
        <f>CONCATENATE("",E1-1," Fund Mill Rate")</f>
        <v>2024 Fund Mill Rate</v>
      </c>
      <c r="I68" s="531"/>
      <c r="J68" s="532"/>
    </row>
    <row r="69" spans="2:10" x14ac:dyDescent="0.2">
      <c r="B69" s="180" t="s">
        <v>371</v>
      </c>
      <c r="C69" s="168" t="str">
        <f>IF(C70*0.1&lt;C68,"Exceed 10% Rule","")</f>
        <v/>
      </c>
      <c r="D69" s="168" t="str">
        <f>IF(D70*0.1&lt;D68,"Exceed 10% Rule","")</f>
        <v/>
      </c>
      <c r="E69" s="202" t="str">
        <f>IF(E70*0.1&lt;E68,"Exceed 10% Rule","")</f>
        <v/>
      </c>
      <c r="G69" s="730">
        <f>'Budget Hearing Notice'!H53</f>
        <v>0</v>
      </c>
      <c r="H69" s="731" t="s">
        <v>649</v>
      </c>
      <c r="I69" s="531"/>
      <c r="J69" s="532"/>
    </row>
    <row r="70" spans="2:10" x14ac:dyDescent="0.2">
      <c r="B70" s="170" t="s">
        <v>75</v>
      </c>
      <c r="C70" s="172">
        <f>SUM(C61:C68)</f>
        <v>0</v>
      </c>
      <c r="D70" s="172">
        <f>SUM(D61:D68)</f>
        <v>0</v>
      </c>
      <c r="E70" s="173">
        <f>SUM(E61:E68)</f>
        <v>0</v>
      </c>
      <c r="G70" s="533">
        <f>'Budget Hearing Notice'!H52</f>
        <v>0</v>
      </c>
      <c r="H70" s="530" t="str">
        <f>CONCATENATE(E1," Estimated Total Mill Rate")</f>
        <v>2025 Estimated Total Mill Rate</v>
      </c>
      <c r="I70" s="531"/>
      <c r="J70" s="532"/>
    </row>
    <row r="71" spans="2:10" x14ac:dyDescent="0.2">
      <c r="B71" s="87" t="s">
        <v>141</v>
      </c>
      <c r="C71" s="176">
        <f>C59-C70</f>
        <v>0</v>
      </c>
      <c r="D71" s="176">
        <f>D59-D70</f>
        <v>0</v>
      </c>
      <c r="E71" s="189" t="s">
        <v>49</v>
      </c>
      <c r="G71" s="534">
        <f>'Budget Hearing Notice'!E52</f>
        <v>0</v>
      </c>
      <c r="H71" s="530" t="str">
        <f>CONCATENATE(E1-1," Total Mill Rate")</f>
        <v>2024 Total Mill Rate</v>
      </c>
      <c r="I71" s="531"/>
      <c r="J71" s="532"/>
    </row>
    <row r="72" spans="2:10" x14ac:dyDescent="0.2">
      <c r="B72" s="102" t="str">
        <f>CONCATENATE("",E1-2,"/",E1-1,"/",E1," Budget Authority Amount:")</f>
        <v>2023/2024/2025 Budget Authority Amount:</v>
      </c>
      <c r="C72" s="584">
        <f>inputOth!B70</f>
        <v>0</v>
      </c>
      <c r="D72" s="584">
        <f>inputPrYr!D23</f>
        <v>0</v>
      </c>
      <c r="E72" s="134">
        <f>E70</f>
        <v>0</v>
      </c>
      <c r="G72" s="563"/>
      <c r="H72" s="539"/>
      <c r="I72" s="539"/>
      <c r="J72" s="570"/>
    </row>
    <row r="73" spans="2:10" x14ac:dyDescent="0.2">
      <c r="B73" s="73"/>
      <c r="C73" s="861" t="s">
        <v>329</v>
      </c>
      <c r="D73" s="862"/>
      <c r="E73" s="31"/>
      <c r="G73" s="878" t="s">
        <v>650</v>
      </c>
      <c r="H73" s="879"/>
      <c r="I73" s="879"/>
      <c r="J73" s="882" t="str">
        <f>IF(G70&gt;G69, "Yes", "No")</f>
        <v>No</v>
      </c>
    </row>
    <row r="74" spans="2:10" x14ac:dyDescent="0.2">
      <c r="B74" s="354" t="str">
        <f>CONCATENATE(C97,"     ",D97)</f>
        <v xml:space="preserve">     </v>
      </c>
      <c r="C74" s="863" t="s">
        <v>330</v>
      </c>
      <c r="D74" s="864"/>
      <c r="E74" s="134">
        <f>E70+E73</f>
        <v>0</v>
      </c>
      <c r="F74" s="181"/>
      <c r="G74" s="880"/>
      <c r="H74" s="881"/>
      <c r="I74" s="881"/>
      <c r="J74" s="883"/>
    </row>
    <row r="75" spans="2:10" x14ac:dyDescent="0.2">
      <c r="B75" s="354" t="str">
        <f>CONCATENATE(C98,"     ",D98)</f>
        <v xml:space="preserve">     </v>
      </c>
      <c r="C75" s="182"/>
      <c r="D75" s="101" t="s">
        <v>76</v>
      </c>
      <c r="E75" s="42">
        <f>IF(E74-E59&gt;0,E74-E59,0)</f>
        <v>0</v>
      </c>
      <c r="F75" s="604" t="str">
        <f>IF(E70/0.95-E70&lt;E73,"Exceeds 5%","")</f>
        <v/>
      </c>
      <c r="G75" s="859" t="str">
        <f>IF(J73="Yes", "Follow procedure prescribed by KSA 79-2988 to exceed the Revenue Neutral Rate.", " ")</f>
        <v xml:space="preserve"> </v>
      </c>
      <c r="H75" s="859"/>
      <c r="I75" s="859"/>
      <c r="J75" s="859"/>
    </row>
    <row r="76" spans="2:10" x14ac:dyDescent="0.2">
      <c r="B76" s="101"/>
      <c r="C76" s="258" t="s">
        <v>328</v>
      </c>
      <c r="D76" s="493">
        <f>inputOth!$E$53</f>
        <v>0</v>
      </c>
      <c r="E76" s="134">
        <f>ROUND(IF(D76&gt;0,(E75*D76),0),0)</f>
        <v>0</v>
      </c>
      <c r="G76" s="860"/>
      <c r="H76" s="860"/>
      <c r="I76" s="860"/>
      <c r="J76" s="860"/>
    </row>
    <row r="77" spans="2:10" ht="16.5" thickBot="1" x14ac:dyDescent="0.25">
      <c r="B77" s="20"/>
      <c r="C77" s="865" t="str">
        <f>CONCATENATE("Amount of  ",$E$1-1," Ad Valorem Tax")</f>
        <v>Amount of  2024 Ad Valorem Tax</v>
      </c>
      <c r="D77" s="866"/>
      <c r="E77" s="496">
        <f>E75+E76</f>
        <v>0</v>
      </c>
      <c r="G77" s="860"/>
      <c r="H77" s="860"/>
      <c r="I77" s="860"/>
      <c r="J77" s="860"/>
    </row>
    <row r="78" spans="2:10" ht="16.5" thickTop="1" x14ac:dyDescent="0.2">
      <c r="B78" s="20"/>
      <c r="C78" s="73"/>
      <c r="D78" s="20"/>
      <c r="E78" s="20"/>
    </row>
    <row r="79" spans="2:10" x14ac:dyDescent="0.2">
      <c r="B79" s="698" t="s">
        <v>530</v>
      </c>
      <c r="C79" s="668"/>
      <c r="D79" s="61"/>
      <c r="E79" s="677"/>
    </row>
    <row r="80" spans="2:10" x14ac:dyDescent="0.2">
      <c r="B80" s="563"/>
      <c r="C80" s="73"/>
      <c r="D80" s="20"/>
      <c r="E80" s="570"/>
    </row>
    <row r="81" spans="2:5" x14ac:dyDescent="0.2">
      <c r="B81" s="498"/>
      <c r="C81" s="674"/>
      <c r="D81" s="35"/>
      <c r="E81" s="41"/>
    </row>
    <row r="82" spans="2:5" x14ac:dyDescent="0.2">
      <c r="B82" s="101" t="s">
        <v>78</v>
      </c>
      <c r="C82" s="186"/>
      <c r="D82" s="20"/>
      <c r="E82" s="20"/>
    </row>
    <row r="83" spans="2:5" x14ac:dyDescent="0.2">
      <c r="B83" s="16"/>
    </row>
    <row r="93" spans="2:5" hidden="1" x14ac:dyDescent="0.2"/>
    <row r="94" spans="2:5" hidden="1" x14ac:dyDescent="0.2"/>
    <row r="95" spans="2:5" hidden="1" x14ac:dyDescent="0.2">
      <c r="C95" s="353" t="str">
        <f>IF(C31&gt;C33,"See Tab A","")</f>
        <v/>
      </c>
      <c r="D95" s="353" t="str">
        <f>IF(D29&gt;D33,"See Tab C","")</f>
        <v/>
      </c>
    </row>
    <row r="96" spans="2:5" hidden="1" x14ac:dyDescent="0.2">
      <c r="C96" s="353" t="str">
        <f>IF(C32&lt;0,"See Tab B","")</f>
        <v/>
      </c>
      <c r="D96" s="353" t="str">
        <f>IF(D32&lt;0,"See Tab D","")</f>
        <v/>
      </c>
    </row>
    <row r="97" spans="3:4" x14ac:dyDescent="0.2">
      <c r="C97" s="353" t="str">
        <f>IF(C68&gt;C72,"See Tab A","")</f>
        <v/>
      </c>
      <c r="D97" s="353" t="str">
        <f>IF(D68&gt;D72,"See Tab C","")</f>
        <v/>
      </c>
    </row>
    <row r="98" spans="3:4" x14ac:dyDescent="0.2">
      <c r="C98" s="353" t="str">
        <f>IF(C71&lt;0,"See Tab B","")</f>
        <v/>
      </c>
      <c r="D98" s="353" t="str">
        <f>IF(D71&lt;0,"See Tab D","")</f>
        <v/>
      </c>
    </row>
  </sheetData>
  <sheetProtection sheet="1"/>
  <mergeCells count="19">
    <mergeCell ref="G65:J66"/>
    <mergeCell ref="G73:I74"/>
    <mergeCell ref="J73:J74"/>
    <mergeCell ref="G75:J77"/>
    <mergeCell ref="G9:J9"/>
    <mergeCell ref="G16:J16"/>
    <mergeCell ref="G48:J48"/>
    <mergeCell ref="G55:J55"/>
    <mergeCell ref="G26:J27"/>
    <mergeCell ref="G34:I35"/>
    <mergeCell ref="J34:J35"/>
    <mergeCell ref="G36:J38"/>
    <mergeCell ref="C77:D77"/>
    <mergeCell ref="C38:D38"/>
    <mergeCell ref="C73:D73"/>
    <mergeCell ref="C74:D74"/>
    <mergeCell ref="C34:D34"/>
    <mergeCell ref="C35:D35"/>
    <mergeCell ref="C39:D39"/>
  </mergeCells>
  <phoneticPr fontId="0" type="noConversion"/>
  <conditionalFormatting sqref="C19">
    <cfRule type="cellIs" dxfId="295" priority="19" stopIfTrue="1" operator="greaterThan">
      <formula>$C$21*0.1</formula>
    </cfRule>
  </conditionalFormatting>
  <conditionalFormatting sqref="C29">
    <cfRule type="cellIs" dxfId="294" priority="9" stopIfTrue="1" operator="greaterThan">
      <formula>$C$31*0.1</formula>
    </cfRule>
  </conditionalFormatting>
  <conditionalFormatting sqref="C31">
    <cfRule type="cellIs" dxfId="293" priority="12" stopIfTrue="1" operator="greaterThan">
      <formula>$C$33</formula>
    </cfRule>
  </conditionalFormatting>
  <conditionalFormatting sqref="C32 C71">
    <cfRule type="cellIs" dxfId="292" priority="13" stopIfTrue="1" operator="lessThan">
      <formula>0</formula>
    </cfRule>
  </conditionalFormatting>
  <conditionalFormatting sqref="C56">
    <cfRule type="cellIs" dxfId="291" priority="21" stopIfTrue="1" operator="greaterThan">
      <formula>$C$58*0.1</formula>
    </cfRule>
  </conditionalFormatting>
  <conditionalFormatting sqref="C68">
    <cfRule type="cellIs" dxfId="290" priority="14" stopIfTrue="1" operator="greaterThan">
      <formula>$C$70*0.1</formula>
    </cfRule>
  </conditionalFormatting>
  <conditionalFormatting sqref="C70">
    <cfRule type="cellIs" dxfId="289" priority="17" stopIfTrue="1" operator="greaterThan">
      <formula>$C$72</formula>
    </cfRule>
  </conditionalFormatting>
  <conditionalFormatting sqref="D19">
    <cfRule type="cellIs" dxfId="288" priority="18" stopIfTrue="1" operator="greaterThan">
      <formula>$D$21*0.1</formula>
    </cfRule>
  </conditionalFormatting>
  <conditionalFormatting sqref="D29">
    <cfRule type="cellIs" dxfId="287" priority="10" stopIfTrue="1" operator="greaterThan">
      <formula>$D$31*0.1</formula>
    </cfRule>
  </conditionalFormatting>
  <conditionalFormatting sqref="D31">
    <cfRule type="cellIs" dxfId="286" priority="11" stopIfTrue="1" operator="greaterThan">
      <formula>$D$33</formula>
    </cfRule>
  </conditionalFormatting>
  <conditionalFormatting sqref="D32 D71">
    <cfRule type="cellIs" dxfId="285" priority="4" stopIfTrue="1" operator="lessThan">
      <formula>0</formula>
    </cfRule>
  </conditionalFormatting>
  <conditionalFormatting sqref="D56">
    <cfRule type="cellIs" dxfId="284" priority="20" stopIfTrue="1" operator="greaterThan">
      <formula>$D$58*0.1</formula>
    </cfRule>
  </conditionalFormatting>
  <conditionalFormatting sqref="D68">
    <cfRule type="cellIs" dxfId="283" priority="15" stopIfTrue="1" operator="greaterThan">
      <formula>$D$70*0.1</formula>
    </cfRule>
  </conditionalFormatting>
  <conditionalFormatting sqref="D70">
    <cfRule type="cellIs" dxfId="282" priority="16" stopIfTrue="1" operator="greaterThan">
      <formula>$D$72</formula>
    </cfRule>
  </conditionalFormatting>
  <conditionalFormatting sqref="E19">
    <cfRule type="cellIs" dxfId="281" priority="22" stopIfTrue="1" operator="greaterThan">
      <formula>$E$21*0.1+E38</formula>
    </cfRule>
  </conditionalFormatting>
  <conditionalFormatting sqref="E29">
    <cfRule type="cellIs" dxfId="280" priority="7" stopIfTrue="1" operator="greaterThan">
      <formula>$E$31*0.1</formula>
    </cfRule>
  </conditionalFormatting>
  <conditionalFormatting sqref="E34">
    <cfRule type="cellIs" dxfId="279" priority="8" stopIfTrue="1" operator="greaterThan">
      <formula>$E$31/0.95-$E$31</formula>
    </cfRule>
  </conditionalFormatting>
  <conditionalFormatting sqref="E56">
    <cfRule type="cellIs" dxfId="278" priority="23" stopIfTrue="1" operator="greaterThan">
      <formula>$E$58*0.1+E77</formula>
    </cfRule>
  </conditionalFormatting>
  <conditionalFormatting sqref="E68">
    <cfRule type="cellIs" dxfId="277" priority="5" stopIfTrue="1" operator="greaterThan">
      <formula>$E$70*0.1</formula>
    </cfRule>
  </conditionalFormatting>
  <conditionalFormatting sqref="E73">
    <cfRule type="cellIs" dxfId="276" priority="6" stopIfTrue="1" operator="greaterThan">
      <formula>$E$70/0.95-$E$70</formula>
    </cfRule>
  </conditionalFormatting>
  <conditionalFormatting sqref="J34">
    <cfRule type="containsText" dxfId="275" priority="2" operator="containsText" text="Yes">
      <formula>NOT(ISERROR(SEARCH("Yes",J34)))</formula>
    </cfRule>
  </conditionalFormatting>
  <conditionalFormatting sqref="J73">
    <cfRule type="containsText" dxfId="274" priority="1" operator="containsText" text="Yes">
      <formula>NOT(ISERROR(SEARCH("Yes",J73)))</formula>
    </cfRule>
  </conditionalFormatting>
  <pageMargins left="0.5" right="0.5" top="1" bottom="0.5" header="0.5" footer="0.5"/>
  <pageSetup scale="54" orientation="portrait" blackAndWhite="1" horizontalDpi="120" verticalDpi="14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F0"/>
    <pageSetUpPr fitToPage="1"/>
  </sheetPr>
  <dimension ref="B1:K101"/>
  <sheetViews>
    <sheetView zoomScaleNormal="100" workbookViewId="0">
      <selection activeCell="B8" sqref="B8"/>
    </sheetView>
  </sheetViews>
  <sheetFormatPr defaultColWidth="8.88671875" defaultRowHeight="15.75" x14ac:dyDescent="0.2"/>
  <cols>
    <col min="1" max="1" width="2.44140625" style="18" customWidth="1"/>
    <col min="2" max="2" width="31.109375" style="18" customWidth="1"/>
    <col min="3" max="4" width="15.77734375" style="18" customWidth="1"/>
    <col min="5" max="5" width="16.33203125" style="18" customWidth="1"/>
    <col min="6" max="6" width="8.109375" style="18" customWidth="1"/>
    <col min="7" max="7" width="10.21875" style="18" customWidth="1"/>
    <col min="8" max="8" width="8.88671875" style="18"/>
    <col min="9" max="9" width="5.44140625" style="18" customWidth="1"/>
    <col min="10" max="10" width="10" style="18" customWidth="1"/>
    <col min="11" max="16384" width="8.88671875" style="18"/>
  </cols>
  <sheetData>
    <row r="1" spans="2:10" x14ac:dyDescent="0.2">
      <c r="B1" s="39">
        <f>(inputPrYr!D3)</f>
        <v>0</v>
      </c>
      <c r="C1" s="20"/>
      <c r="D1" s="20"/>
      <c r="E1" s="73">
        <f>inputPrYr!C6</f>
        <v>2025</v>
      </c>
    </row>
    <row r="2" spans="2:10" x14ac:dyDescent="0.2">
      <c r="B2" s="20"/>
      <c r="C2" s="20"/>
      <c r="D2" s="20"/>
      <c r="E2" s="101"/>
    </row>
    <row r="3" spans="2:10" x14ac:dyDescent="0.2">
      <c r="B3" s="154" t="s">
        <v>125</v>
      </c>
      <c r="C3" s="110"/>
      <c r="D3" s="110"/>
      <c r="E3" s="126"/>
    </row>
    <row r="4" spans="2:10" x14ac:dyDescent="0.2">
      <c r="B4" s="21" t="s">
        <v>59</v>
      </c>
      <c r="C4" s="292" t="s">
        <v>377</v>
      </c>
      <c r="D4" s="291" t="s">
        <v>378</v>
      </c>
      <c r="E4" s="271" t="s">
        <v>379</v>
      </c>
    </row>
    <row r="5" spans="2:10" x14ac:dyDescent="0.2">
      <c r="B5" s="357">
        <f>inputPrYr!B24</f>
        <v>0</v>
      </c>
      <c r="C5" s="293" t="str">
        <f>CONCATENATE("Actual for ",E1-2,"")</f>
        <v>Actual for 2023</v>
      </c>
      <c r="D5" s="293" t="str">
        <f>CONCATENATE("Estimate for ",E1-1,"")</f>
        <v>Estimate for 2024</v>
      </c>
      <c r="E5" s="279" t="str">
        <f>CONCATENATE("Year for ",E1,"")</f>
        <v>Year for 2025</v>
      </c>
    </row>
    <row r="6" spans="2:10" x14ac:dyDescent="0.2">
      <c r="B6" s="158" t="s">
        <v>140</v>
      </c>
      <c r="C6" s="163"/>
      <c r="D6" s="161">
        <f>C33</f>
        <v>0</v>
      </c>
      <c r="E6" s="134">
        <f>D33</f>
        <v>0</v>
      </c>
    </row>
    <row r="7" spans="2:10" x14ac:dyDescent="0.2">
      <c r="B7" s="162" t="s">
        <v>142</v>
      </c>
      <c r="C7" s="161"/>
      <c r="D7" s="161"/>
      <c r="E7" s="134"/>
    </row>
    <row r="8" spans="2:10" x14ac:dyDescent="0.2">
      <c r="B8" s="87" t="s">
        <v>60</v>
      </c>
      <c r="C8" s="163"/>
      <c r="D8" s="161">
        <f>IF(inputPrYr!H21&gt;0,inputPrYr!G28,inputPrYr!E24)</f>
        <v>0</v>
      </c>
      <c r="E8" s="189" t="s">
        <v>49</v>
      </c>
    </row>
    <row r="9" spans="2:10" x14ac:dyDescent="0.2">
      <c r="B9" s="87" t="s">
        <v>61</v>
      </c>
      <c r="C9" s="163"/>
      <c r="D9" s="163"/>
      <c r="E9" s="31"/>
    </row>
    <row r="10" spans="2:10" x14ac:dyDescent="0.2">
      <c r="B10" s="87" t="s">
        <v>62</v>
      </c>
      <c r="C10" s="163"/>
      <c r="D10" s="163"/>
      <c r="E10" s="134" t="str">
        <f>Mvalloc!D12</f>
        <v xml:space="preserve">  </v>
      </c>
      <c r="G10" s="889" t="str">
        <f>CONCATENATE("Desired Carryover Into ",E1+1,"")</f>
        <v>Desired Carryover Into 2026</v>
      </c>
      <c r="H10" s="870"/>
      <c r="I10" s="870"/>
      <c r="J10" s="871"/>
    </row>
    <row r="11" spans="2:10" x14ac:dyDescent="0.2">
      <c r="B11" s="87" t="s">
        <v>63</v>
      </c>
      <c r="C11" s="163"/>
      <c r="D11" s="163"/>
      <c r="E11" s="134" t="str">
        <f>Mvalloc!E12</f>
        <v xml:space="preserve"> </v>
      </c>
      <c r="G11" s="538"/>
      <c r="H11" s="539"/>
      <c r="I11" s="540"/>
      <c r="J11" s="541"/>
    </row>
    <row r="12" spans="2:10" x14ac:dyDescent="0.2">
      <c r="B12" s="96" t="s">
        <v>132</v>
      </c>
      <c r="C12" s="163"/>
      <c r="D12" s="163"/>
      <c r="E12" s="134" t="str">
        <f>Mvalloc!F12</f>
        <v xml:space="preserve"> </v>
      </c>
      <c r="G12" s="542" t="s">
        <v>368</v>
      </c>
      <c r="H12" s="540"/>
      <c r="I12" s="540"/>
      <c r="J12" s="543">
        <v>0</v>
      </c>
    </row>
    <row r="13" spans="2:10" x14ac:dyDescent="0.2">
      <c r="B13" s="158" t="s">
        <v>518</v>
      </c>
      <c r="C13" s="163"/>
      <c r="D13" s="163"/>
      <c r="E13" s="134" t="str">
        <f>Mvalloc!G12</f>
        <v xml:space="preserve"> </v>
      </c>
      <c r="G13" s="538" t="s">
        <v>369</v>
      </c>
      <c r="H13" s="539"/>
      <c r="I13" s="539"/>
      <c r="J13" s="544" t="str">
        <f>IF(J12=0,"",ROUND((J12+E39-G25)/inputOth!E9*1000,3)-G30)</f>
        <v/>
      </c>
    </row>
    <row r="14" spans="2:10" x14ac:dyDescent="0.2">
      <c r="B14" s="158" t="s">
        <v>519</v>
      </c>
      <c r="C14" s="163"/>
      <c r="D14" s="163"/>
      <c r="E14" s="134" t="str">
        <f>Mvalloc!H12</f>
        <v xml:space="preserve"> </v>
      </c>
      <c r="G14" s="545" t="str">
        <f>CONCATENATE("",E1," Tot Exp/Non-Appr Must Be:")</f>
        <v>2025 Tot Exp/Non-Appr Must Be:</v>
      </c>
      <c r="H14" s="546"/>
      <c r="I14" s="547"/>
      <c r="J14" s="548">
        <f>IF(J12&gt;0,IF(E36&lt;E22,IF(J12=G25,E36,((J12-G25)*(1-D38))+E22),E36+(J12-G25)),0)</f>
        <v>0</v>
      </c>
    </row>
    <row r="15" spans="2:10" x14ac:dyDescent="0.2">
      <c r="B15" s="179"/>
      <c r="C15" s="163"/>
      <c r="D15" s="163"/>
      <c r="E15" s="31"/>
      <c r="G15" s="549" t="s">
        <v>380</v>
      </c>
      <c r="H15" s="550"/>
      <c r="I15" s="550"/>
      <c r="J15" s="518">
        <f>IF(J12&gt;0,J14-E36,0)</f>
        <v>0</v>
      </c>
    </row>
    <row r="16" spans="2:10" x14ac:dyDescent="0.25">
      <c r="B16" s="179"/>
      <c r="C16" s="163"/>
      <c r="D16" s="163"/>
      <c r="E16" s="31"/>
      <c r="J16" s="2"/>
    </row>
    <row r="17" spans="2:11" x14ac:dyDescent="0.2">
      <c r="B17" s="167" t="s">
        <v>67</v>
      </c>
      <c r="C17" s="163"/>
      <c r="D17" s="163"/>
      <c r="E17" s="31"/>
      <c r="G17" s="889" t="str">
        <f>CONCATENATE("Projected Carryover Into ",E1+1,"")</f>
        <v>Projected Carryover Into 2026</v>
      </c>
      <c r="H17" s="896"/>
      <c r="I17" s="896"/>
      <c r="J17" s="892"/>
    </row>
    <row r="18" spans="2:11" x14ac:dyDescent="0.25">
      <c r="B18" s="180" t="s">
        <v>8</v>
      </c>
      <c r="C18" s="163"/>
      <c r="D18" s="163"/>
      <c r="E18" s="666">
        <f>'NR Rebate'!E11*-1</f>
        <v>0</v>
      </c>
      <c r="G18" s="538"/>
      <c r="H18" s="540"/>
      <c r="I18" s="540"/>
      <c r="J18" s="564"/>
    </row>
    <row r="19" spans="2:11" x14ac:dyDescent="0.25">
      <c r="B19" s="96" t="s">
        <v>9</v>
      </c>
      <c r="C19" s="163"/>
      <c r="D19" s="163"/>
      <c r="E19" s="31"/>
      <c r="G19" s="565">
        <f>D33</f>
        <v>0</v>
      </c>
      <c r="H19" s="530" t="str">
        <f>CONCATENATE("",E1-1," Ending Cash Balance (est.)")</f>
        <v>2024 Ending Cash Balance (est.)</v>
      </c>
      <c r="I19" s="566"/>
      <c r="J19" s="564"/>
    </row>
    <row r="20" spans="2:11" x14ac:dyDescent="0.25">
      <c r="B20" s="158" t="s">
        <v>370</v>
      </c>
      <c r="C20" s="168" t="str">
        <f>IF(C21*0.1&lt;C19,"Exceed 10% Rule","")</f>
        <v/>
      </c>
      <c r="D20" s="168" t="str">
        <f>IF(D21*0.1&lt;D19,"Exceed 10% Rule","")</f>
        <v/>
      </c>
      <c r="E20" s="202" t="str">
        <f>IF(E21*0.1+E39&lt;E19,"Exceed 10% Rule","")</f>
        <v/>
      </c>
      <c r="G20" s="565">
        <f>E21</f>
        <v>0</v>
      </c>
      <c r="H20" s="540" t="str">
        <f>CONCATENATE("",E1," Non-AV Receipts (est.)")</f>
        <v>2025 Non-AV Receipts (est.)</v>
      </c>
      <c r="I20" s="566"/>
      <c r="J20" s="564"/>
    </row>
    <row r="21" spans="2:11" x14ac:dyDescent="0.2">
      <c r="B21" s="170" t="s">
        <v>68</v>
      </c>
      <c r="C21" s="172">
        <f>SUM(C8:C19)</f>
        <v>0</v>
      </c>
      <c r="D21" s="172">
        <f>SUM(D8:D19)</f>
        <v>0</v>
      </c>
      <c r="E21" s="173">
        <f>SUM(E8:E19)</f>
        <v>0</v>
      </c>
      <c r="G21" s="567">
        <f>IF(E38&gt;0,E37,E39)</f>
        <v>0</v>
      </c>
      <c r="H21" s="540" t="str">
        <f>CONCATENATE("",E1," Ad Valorem Tax (est.)")</f>
        <v>2025 Ad Valorem Tax (est.)</v>
      </c>
      <c r="I21" s="566"/>
      <c r="J21" s="552"/>
      <c r="K21" s="523" t="str">
        <f>IF(G21=E39,"","Note: Does not include Delinquent Taxes")</f>
        <v/>
      </c>
    </row>
    <row r="22" spans="2:11" x14ac:dyDescent="0.25">
      <c r="B22" s="170" t="s">
        <v>69</v>
      </c>
      <c r="C22" s="172">
        <f>C6+C21</f>
        <v>0</v>
      </c>
      <c r="D22" s="172">
        <f>D6+D21</f>
        <v>0</v>
      </c>
      <c r="E22" s="173">
        <f>E6+E21</f>
        <v>0</v>
      </c>
      <c r="F22" s="193"/>
      <c r="G22" s="565">
        <f>SUM(G19:G21)</f>
        <v>0</v>
      </c>
      <c r="H22" s="540" t="str">
        <f>CONCATENATE("Total ",E1," Resources Available")</f>
        <v>Total 2025 Resources Available</v>
      </c>
      <c r="I22" s="566"/>
      <c r="J22" s="564"/>
    </row>
    <row r="23" spans="2:11" x14ac:dyDescent="0.25">
      <c r="B23" s="87" t="s">
        <v>71</v>
      </c>
      <c r="C23" s="180"/>
      <c r="D23" s="180"/>
      <c r="E23" s="30"/>
      <c r="G23" s="579"/>
      <c r="H23" s="540"/>
      <c r="I23" s="540"/>
      <c r="J23" s="564"/>
    </row>
    <row r="24" spans="2:11" x14ac:dyDescent="0.25">
      <c r="B24" s="194"/>
      <c r="C24" s="163"/>
      <c r="D24" s="163"/>
      <c r="E24" s="53"/>
      <c r="G24" s="567">
        <f>ROUND(C32*0.05+C32,0)</f>
        <v>0</v>
      </c>
      <c r="H24" s="540" t="str">
        <f>CONCATENATE("Less ",E1-2," Expenditures + 5%")</f>
        <v>Less 2023 Expenditures + 5%</v>
      </c>
      <c r="I24" s="566"/>
      <c r="J24" s="564"/>
    </row>
    <row r="25" spans="2:11" x14ac:dyDescent="0.25">
      <c r="B25" s="194"/>
      <c r="C25" s="163"/>
      <c r="D25" s="163"/>
      <c r="E25" s="53"/>
      <c r="G25" s="580">
        <f>G22-G24</f>
        <v>0</v>
      </c>
      <c r="H25" s="581" t="str">
        <f>CONCATENATE("Projected ",E1+1," carryover (est.)")</f>
        <v>Projected 2026 carryover (est.)</v>
      </c>
      <c r="I25" s="582"/>
      <c r="J25" s="577"/>
    </row>
    <row r="26" spans="2:11" x14ac:dyDescent="0.25">
      <c r="B26" s="701"/>
      <c r="C26" s="702"/>
      <c r="D26" s="702"/>
      <c r="E26" s="703"/>
      <c r="G26" s="2"/>
      <c r="H26" s="2"/>
      <c r="I26" s="2"/>
      <c r="J26" s="2"/>
    </row>
    <row r="27" spans="2:11" x14ac:dyDescent="0.2">
      <c r="B27" s="179"/>
      <c r="C27" s="163"/>
      <c r="D27" s="163"/>
      <c r="E27" s="31"/>
      <c r="G27" s="872" t="s">
        <v>648</v>
      </c>
      <c r="H27" s="873"/>
      <c r="I27" s="873"/>
      <c r="J27" s="874"/>
    </row>
    <row r="28" spans="2:11" x14ac:dyDescent="0.2">
      <c r="B28" s="179"/>
      <c r="C28" s="163"/>
      <c r="D28" s="163"/>
      <c r="E28" s="31"/>
      <c r="G28" s="875"/>
      <c r="H28" s="876"/>
      <c r="I28" s="876"/>
      <c r="J28" s="877"/>
    </row>
    <row r="29" spans="2:11" x14ac:dyDescent="0.2">
      <c r="B29" s="180" t="str">
        <f>CONCATENATE("Cash Reserve (",E1," column)")</f>
        <v>Cash Reserve (2025 column)</v>
      </c>
      <c r="C29" s="163"/>
      <c r="D29" s="163"/>
      <c r="E29" s="31"/>
      <c r="G29" s="533" t="str">
        <f>'Budget Hearing Notice'!H20</f>
        <v xml:space="preserve">  </v>
      </c>
      <c r="H29" s="530" t="str">
        <f>CONCATENATE("",E1," Estimated Fund Mill Rate")</f>
        <v>2025 Estimated Fund Mill Rate</v>
      </c>
      <c r="I29" s="531"/>
      <c r="J29" s="532"/>
    </row>
    <row r="30" spans="2:11" x14ac:dyDescent="0.2">
      <c r="B30" s="180" t="s">
        <v>9</v>
      </c>
      <c r="C30" s="163"/>
      <c r="D30" s="163"/>
      <c r="E30" s="31"/>
      <c r="G30" s="729" t="str">
        <f>'Budget Hearing Notice'!E20</f>
        <v xml:space="preserve">  </v>
      </c>
      <c r="H30" s="530" t="str">
        <f>CONCATENATE("",E1-1," Fund Mill Rate")</f>
        <v>2024 Fund Mill Rate</v>
      </c>
      <c r="I30" s="531"/>
      <c r="J30" s="532"/>
    </row>
    <row r="31" spans="2:11" x14ac:dyDescent="0.2">
      <c r="B31" s="180" t="s">
        <v>371</v>
      </c>
      <c r="C31" s="168" t="str">
        <f>IF(C32*0.1&lt;C30,"Exceed 10% Rule","")</f>
        <v/>
      </c>
      <c r="D31" s="168" t="str">
        <f>IF(D32*0.1&lt;D30,"Exceed 10% Rule","")</f>
        <v/>
      </c>
      <c r="E31" s="202" t="str">
        <f>IF(E32*0.1&lt;E30,"Exceed 10% Rule","")</f>
        <v/>
      </c>
      <c r="G31" s="730">
        <f>'Budget Hearing Notice'!H53</f>
        <v>0</v>
      </c>
      <c r="H31" s="731" t="s">
        <v>649</v>
      </c>
      <c r="I31" s="531"/>
      <c r="J31" s="532"/>
    </row>
    <row r="32" spans="2:11" x14ac:dyDescent="0.2">
      <c r="B32" s="170" t="s">
        <v>75</v>
      </c>
      <c r="C32" s="172">
        <f>SUM(C24:C30)</f>
        <v>0</v>
      </c>
      <c r="D32" s="172">
        <f>SUM(D24:D30)</f>
        <v>0</v>
      </c>
      <c r="E32" s="173">
        <f>SUM(E24:E30)</f>
        <v>0</v>
      </c>
      <c r="G32" s="533">
        <f>'Budget Hearing Notice'!H52</f>
        <v>0</v>
      </c>
      <c r="H32" s="530" t="str">
        <f>CONCATENATE(E1," Estimated Total Mill Rate")</f>
        <v>2025 Estimated Total Mill Rate</v>
      </c>
      <c r="I32" s="531"/>
      <c r="J32" s="532"/>
    </row>
    <row r="33" spans="2:10" x14ac:dyDescent="0.2">
      <c r="B33" s="87" t="s">
        <v>141</v>
      </c>
      <c r="C33" s="176">
        <f>C22-C32</f>
        <v>0</v>
      </c>
      <c r="D33" s="176">
        <f>D22-D32</f>
        <v>0</v>
      </c>
      <c r="E33" s="189" t="s">
        <v>49</v>
      </c>
      <c r="G33" s="534">
        <f>'Budget Hearing Notice'!E52</f>
        <v>0</v>
      </c>
      <c r="H33" s="530" t="str">
        <f>CONCATENATE(E1-1," Total Mill Rate")</f>
        <v>2024 Total Mill Rate</v>
      </c>
      <c r="I33" s="531"/>
      <c r="J33" s="532"/>
    </row>
    <row r="34" spans="2:10" x14ac:dyDescent="0.2">
      <c r="B34" s="102" t="str">
        <f>CONCATENATE("",E1-2,"/",E1-1,"/",E1," Budget Authority Amount:")</f>
        <v>2023/2024/2025 Budget Authority Amount:</v>
      </c>
      <c r="C34" s="584">
        <f>inputOth!B71</f>
        <v>0</v>
      </c>
      <c r="D34" s="584">
        <f>inputPrYr!D24</f>
        <v>0</v>
      </c>
      <c r="E34" s="134">
        <f>E32</f>
        <v>0</v>
      </c>
      <c r="G34" s="563"/>
      <c r="H34" s="539"/>
      <c r="I34" s="539"/>
      <c r="J34" s="570"/>
    </row>
    <row r="35" spans="2:10" x14ac:dyDescent="0.2">
      <c r="B35" s="73"/>
      <c r="C35" s="861" t="s">
        <v>329</v>
      </c>
      <c r="D35" s="862"/>
      <c r="E35" s="31"/>
      <c r="F35" s="181"/>
      <c r="G35" s="878" t="s">
        <v>650</v>
      </c>
      <c r="H35" s="879"/>
      <c r="I35" s="879"/>
      <c r="J35" s="882" t="str">
        <f>IF(G32&gt;G31, "Yes", "No")</f>
        <v>No</v>
      </c>
    </row>
    <row r="36" spans="2:10" x14ac:dyDescent="0.2">
      <c r="B36" s="354" t="str">
        <f>CONCATENATE(C98,"     ",D98)</f>
        <v xml:space="preserve">     </v>
      </c>
      <c r="C36" s="863" t="s">
        <v>330</v>
      </c>
      <c r="D36" s="864"/>
      <c r="E36" s="134">
        <f>E32+E35</f>
        <v>0</v>
      </c>
      <c r="F36" s="604" t="str">
        <f>IF(E32/0.95-E32&lt;E35,"Exceeds 5%","")</f>
        <v/>
      </c>
      <c r="G36" s="880"/>
      <c r="H36" s="881"/>
      <c r="I36" s="881"/>
      <c r="J36" s="883"/>
    </row>
    <row r="37" spans="2:10" x14ac:dyDescent="0.2">
      <c r="B37" s="354" t="str">
        <f>CONCATENATE(C99,"     ",D99)</f>
        <v xml:space="preserve">     </v>
      </c>
      <c r="C37" s="182"/>
      <c r="D37" s="101" t="s">
        <v>76</v>
      </c>
      <c r="E37" s="42">
        <f>IF(E36-E22&gt;0,E36-E22,0)</f>
        <v>0</v>
      </c>
      <c r="G37" s="859" t="str">
        <f>IF(J35="Yes", "Follow procedure prescribed by KSA 79-2988 to exceed the Revenue Neutral Rate.", " ")</f>
        <v xml:space="preserve"> </v>
      </c>
      <c r="H37" s="859"/>
      <c r="I37" s="859"/>
      <c r="J37" s="859"/>
    </row>
    <row r="38" spans="2:10" x14ac:dyDescent="0.2">
      <c r="B38" s="101"/>
      <c r="C38" s="258" t="s">
        <v>328</v>
      </c>
      <c r="D38" s="493">
        <f>inputOth!$E$53</f>
        <v>0</v>
      </c>
      <c r="E38" s="134">
        <f>ROUND(IF(D38&gt;0,(E37*D38),0),0)</f>
        <v>0</v>
      </c>
      <c r="G38" s="860"/>
      <c r="H38" s="860"/>
      <c r="I38" s="860"/>
      <c r="J38" s="860"/>
    </row>
    <row r="39" spans="2:10" ht="16.5" thickBot="1" x14ac:dyDescent="0.25">
      <c r="B39" s="101"/>
      <c r="C39" s="865" t="str">
        <f>CONCATENATE("Amount of  ",$E$1-1," Ad Valorem Tax")</f>
        <v>Amount of  2024 Ad Valorem Tax</v>
      </c>
      <c r="D39" s="866"/>
      <c r="E39" s="496">
        <f>E37+E38</f>
        <v>0</v>
      </c>
      <c r="G39" s="860"/>
      <c r="H39" s="860"/>
      <c r="I39" s="860"/>
      <c r="J39" s="860"/>
    </row>
    <row r="40" spans="2:10" ht="16.5" thickTop="1" x14ac:dyDescent="0.2">
      <c r="B40" s="20"/>
      <c r="C40" s="865"/>
      <c r="D40" s="866"/>
      <c r="E40" s="20"/>
    </row>
    <row r="41" spans="2:10" x14ac:dyDescent="0.2">
      <c r="B41" s="21"/>
      <c r="C41" s="191"/>
      <c r="D41" s="191"/>
      <c r="E41" s="191"/>
    </row>
    <row r="42" spans="2:10" x14ac:dyDescent="0.2">
      <c r="B42" s="21" t="s">
        <v>59</v>
      </c>
      <c r="C42" s="292" t="s">
        <v>377</v>
      </c>
      <c r="D42" s="291" t="s">
        <v>378</v>
      </c>
      <c r="E42" s="271" t="s">
        <v>379</v>
      </c>
    </row>
    <row r="43" spans="2:10" x14ac:dyDescent="0.2">
      <c r="B43" s="357">
        <f>inputPrYr!B25</f>
        <v>0</v>
      </c>
      <c r="C43" s="293" t="str">
        <f>CONCATENATE("Actual for ",E1-2,"")</f>
        <v>Actual for 2023</v>
      </c>
      <c r="D43" s="293" t="str">
        <f>CONCATENATE("Estimate for ",E1-1,"")</f>
        <v>Estimate for 2024</v>
      </c>
      <c r="E43" s="279" t="str">
        <f>CONCATENATE("Year for ",E1,"")</f>
        <v>Year for 2025</v>
      </c>
    </row>
    <row r="44" spans="2:10" x14ac:dyDescent="0.2">
      <c r="B44" s="158" t="s">
        <v>140</v>
      </c>
      <c r="C44" s="163"/>
      <c r="D44" s="161">
        <f>C74</f>
        <v>0</v>
      </c>
      <c r="E44" s="134">
        <f>D74</f>
        <v>0</v>
      </c>
    </row>
    <row r="45" spans="2:10" x14ac:dyDescent="0.2">
      <c r="B45" s="162" t="s">
        <v>142</v>
      </c>
      <c r="C45" s="96"/>
      <c r="D45" s="96"/>
      <c r="E45" s="44"/>
    </row>
    <row r="46" spans="2:10" x14ac:dyDescent="0.2">
      <c r="B46" s="87" t="s">
        <v>60</v>
      </c>
      <c r="C46" s="163"/>
      <c r="D46" s="161">
        <f>IF(inputPrYr!H21&gt;0,inputPrYr!G29,inputPrYr!E25)</f>
        <v>0</v>
      </c>
      <c r="E46" s="189" t="s">
        <v>49</v>
      </c>
    </row>
    <row r="47" spans="2:10" x14ac:dyDescent="0.2">
      <c r="B47" s="87" t="s">
        <v>61</v>
      </c>
      <c r="C47" s="163"/>
      <c r="D47" s="163"/>
      <c r="E47" s="31"/>
    </row>
    <row r="48" spans="2:10" x14ac:dyDescent="0.2">
      <c r="B48" s="87" t="s">
        <v>62</v>
      </c>
      <c r="C48" s="163"/>
      <c r="D48" s="163"/>
      <c r="E48" s="134" t="str">
        <f>Mvalloc!D13</f>
        <v xml:space="preserve">  </v>
      </c>
    </row>
    <row r="49" spans="2:11" x14ac:dyDescent="0.2">
      <c r="B49" s="87" t="s">
        <v>63</v>
      </c>
      <c r="C49" s="163"/>
      <c r="D49" s="163"/>
      <c r="E49" s="134" t="str">
        <f>Mvalloc!E13</f>
        <v xml:space="preserve"> </v>
      </c>
    </row>
    <row r="50" spans="2:11" x14ac:dyDescent="0.2">
      <c r="B50" s="96" t="s">
        <v>132</v>
      </c>
      <c r="C50" s="163"/>
      <c r="D50" s="163"/>
      <c r="E50" s="134" t="str">
        <f>Mvalloc!F13</f>
        <v xml:space="preserve"> </v>
      </c>
    </row>
    <row r="51" spans="2:11" x14ac:dyDescent="0.2">
      <c r="B51" s="158" t="s">
        <v>518</v>
      </c>
      <c r="C51" s="163"/>
      <c r="D51" s="163"/>
      <c r="E51" s="134" t="str">
        <f>Mvalloc!G13</f>
        <v xml:space="preserve"> </v>
      </c>
      <c r="G51" s="889" t="str">
        <f>CONCATENATE("Desired Carryover Into ",E1+1,"")</f>
        <v>Desired Carryover Into 2026</v>
      </c>
      <c r="H51" s="870"/>
      <c r="I51" s="870"/>
      <c r="J51" s="871"/>
    </row>
    <row r="52" spans="2:11" x14ac:dyDescent="0.2">
      <c r="B52" s="158" t="s">
        <v>519</v>
      </c>
      <c r="C52" s="163"/>
      <c r="D52" s="163"/>
      <c r="E52" s="134" t="str">
        <f>Mvalloc!H13</f>
        <v xml:space="preserve"> </v>
      </c>
      <c r="G52" s="538"/>
      <c r="H52" s="539"/>
      <c r="I52" s="540"/>
      <c r="J52" s="541"/>
    </row>
    <row r="53" spans="2:11" x14ac:dyDescent="0.2">
      <c r="B53" s="179"/>
      <c r="C53" s="163"/>
      <c r="D53" s="163"/>
      <c r="E53" s="31"/>
      <c r="G53" s="542" t="s">
        <v>368</v>
      </c>
      <c r="H53" s="540"/>
      <c r="I53" s="540"/>
      <c r="J53" s="543">
        <v>0</v>
      </c>
    </row>
    <row r="54" spans="2:11" x14ac:dyDescent="0.2">
      <c r="B54" s="179"/>
      <c r="C54" s="163"/>
      <c r="D54" s="163"/>
      <c r="E54" s="31"/>
      <c r="G54" s="538" t="s">
        <v>369</v>
      </c>
      <c r="H54" s="539"/>
      <c r="I54" s="539"/>
      <c r="J54" s="544" t="str">
        <f>IF(J53=0,"",ROUND((J53+E80-G66)/inputOth!E9*1000,3)-G71)</f>
        <v/>
      </c>
    </row>
    <row r="55" spans="2:11" x14ac:dyDescent="0.2">
      <c r="B55" s="179"/>
      <c r="C55" s="163"/>
      <c r="D55" s="163"/>
      <c r="E55" s="31"/>
      <c r="G55" s="545" t="str">
        <f>CONCATENATE("",E1," Tot Exp/Non-Appr Must Be:")</f>
        <v>2025 Tot Exp/Non-Appr Must Be:</v>
      </c>
      <c r="H55" s="546"/>
      <c r="I55" s="547"/>
      <c r="J55" s="548">
        <f>IF(J53&gt;0,IF(E77&lt;E62,IF(J53=G66,E77,((J53-G66)*(1-D79))+E62),E77+(J53-G66)),0)</f>
        <v>0</v>
      </c>
    </row>
    <row r="56" spans="2:11" x14ac:dyDescent="0.2">
      <c r="B56" s="179"/>
      <c r="C56" s="163"/>
      <c r="D56" s="163"/>
      <c r="E56" s="31"/>
      <c r="G56" s="549" t="s">
        <v>380</v>
      </c>
      <c r="H56" s="550"/>
      <c r="I56" s="550"/>
      <c r="J56" s="518">
        <f>IF(J53&gt;0,J55-E77,0)</f>
        <v>0</v>
      </c>
    </row>
    <row r="57" spans="2:11" x14ac:dyDescent="0.25">
      <c r="B57" s="167" t="s">
        <v>67</v>
      </c>
      <c r="C57" s="163"/>
      <c r="D57" s="163"/>
      <c r="E57" s="31"/>
      <c r="J57" s="2"/>
    </row>
    <row r="58" spans="2:11" x14ac:dyDescent="0.2">
      <c r="B58" s="180" t="s">
        <v>8</v>
      </c>
      <c r="C58" s="163"/>
      <c r="D58" s="163"/>
      <c r="E58" s="666">
        <f>'NR Rebate'!E12*-1</f>
        <v>0</v>
      </c>
      <c r="G58" s="889" t="str">
        <f>CONCATENATE("Projected Carryover Into ",E1+1,"")</f>
        <v>Projected Carryover Into 2026</v>
      </c>
      <c r="H58" s="891"/>
      <c r="I58" s="891"/>
      <c r="J58" s="892"/>
    </row>
    <row r="59" spans="2:11" x14ac:dyDescent="0.2">
      <c r="B59" s="96" t="s">
        <v>9</v>
      </c>
      <c r="C59" s="163"/>
      <c r="D59" s="163"/>
      <c r="E59" s="31"/>
      <c r="G59" s="563"/>
      <c r="H59" s="539"/>
      <c r="I59" s="539"/>
      <c r="J59" s="570"/>
    </row>
    <row r="60" spans="2:11" x14ac:dyDescent="0.2">
      <c r="B60" s="158" t="s">
        <v>370</v>
      </c>
      <c r="C60" s="168" t="str">
        <f>IF(C61*0.1&lt;C59,"Exceed 10% Rule","")</f>
        <v/>
      </c>
      <c r="D60" s="168" t="str">
        <f>IF(D61*0.1&lt;D59,"Exceed 10% Rule","")</f>
        <v/>
      </c>
      <c r="E60" s="202" t="str">
        <f>IF(E61*0.1+E80&lt;E59,"Exceed 10% Rule","")</f>
        <v/>
      </c>
      <c r="G60" s="565">
        <f>D74</f>
        <v>0</v>
      </c>
      <c r="H60" s="530" t="str">
        <f>CONCATENATE("",E1-1," Ending Cash Balance (est.)")</f>
        <v>2024 Ending Cash Balance (est.)</v>
      </c>
      <c r="I60" s="566"/>
      <c r="J60" s="570"/>
    </row>
    <row r="61" spans="2:11" x14ac:dyDescent="0.2">
      <c r="B61" s="170" t="s">
        <v>68</v>
      </c>
      <c r="C61" s="172">
        <f>SUM(C46:C59)</f>
        <v>0</v>
      </c>
      <c r="D61" s="172">
        <f>SUM(D46:D59)</f>
        <v>0</v>
      </c>
      <c r="E61" s="173">
        <f>SUM(E47:E59)</f>
        <v>0</v>
      </c>
      <c r="G61" s="565">
        <f>E61</f>
        <v>0</v>
      </c>
      <c r="H61" s="540" t="str">
        <f>CONCATENATE("",E1," Non-AV Receipts (est.)")</f>
        <v>2025 Non-AV Receipts (est.)</v>
      </c>
      <c r="I61" s="566"/>
      <c r="J61" s="570"/>
    </row>
    <row r="62" spans="2:11" x14ac:dyDescent="0.2">
      <c r="B62" s="170" t="s">
        <v>69</v>
      </c>
      <c r="C62" s="172">
        <f>C44+C61</f>
        <v>0</v>
      </c>
      <c r="D62" s="172">
        <f>D44+D61</f>
        <v>0</v>
      </c>
      <c r="E62" s="173">
        <f>E44+E61</f>
        <v>0</v>
      </c>
      <c r="G62" s="567">
        <f>IF(D79&gt;0,E78,E80)</f>
        <v>0</v>
      </c>
      <c r="H62" s="540" t="str">
        <f>CONCATENATE("",E1," Ad Valorem Tax (est.)")</f>
        <v>2025 Ad Valorem Tax (est.)</v>
      </c>
      <c r="I62" s="566"/>
      <c r="J62" s="570"/>
      <c r="K62" s="523" t="str">
        <f>IF(G62=E80,"","Note: Does not include Delinquent Taxes")</f>
        <v/>
      </c>
    </row>
    <row r="63" spans="2:11" x14ac:dyDescent="0.2">
      <c r="B63" s="87" t="s">
        <v>71</v>
      </c>
      <c r="C63" s="180"/>
      <c r="D63" s="180"/>
      <c r="E63" s="30"/>
      <c r="G63" s="569">
        <f>SUM(G60:G62)</f>
        <v>0</v>
      </c>
      <c r="H63" s="540" t="str">
        <f>CONCATENATE("Total ",E1," Resources Available")</f>
        <v>Total 2025 Resources Available</v>
      </c>
      <c r="I63" s="570"/>
      <c r="J63" s="570"/>
    </row>
    <row r="64" spans="2:11" x14ac:dyDescent="0.2">
      <c r="B64" s="179"/>
      <c r="C64" s="163"/>
      <c r="D64" s="163"/>
      <c r="E64" s="31"/>
      <c r="G64" s="571"/>
      <c r="H64" s="572"/>
      <c r="I64" s="539"/>
      <c r="J64" s="570"/>
    </row>
    <row r="65" spans="2:10" x14ac:dyDescent="0.2">
      <c r="B65" s="179"/>
      <c r="C65" s="163"/>
      <c r="D65" s="163"/>
      <c r="E65" s="31"/>
      <c r="G65" s="573">
        <f>ROUND(C73*0.05+C73,0)</f>
        <v>0</v>
      </c>
      <c r="H65" s="572" t="str">
        <f>CONCATENATE("Less ",E1-2," Expenditures + 5%")</f>
        <v>Less 2023 Expenditures + 5%</v>
      </c>
      <c r="I65" s="570"/>
      <c r="J65" s="570"/>
    </row>
    <row r="66" spans="2:10" x14ac:dyDescent="0.25">
      <c r="B66" s="179"/>
      <c r="C66" s="163"/>
      <c r="D66" s="163"/>
      <c r="E66" s="31"/>
      <c r="G66" s="574">
        <f>G63-G65</f>
        <v>0</v>
      </c>
      <c r="H66" s="575" t="str">
        <f>CONCATENATE("Projected ",E1+1," carryover (est.)")</f>
        <v>Projected 2026 carryover (est.)</v>
      </c>
      <c r="I66" s="576"/>
      <c r="J66" s="577"/>
    </row>
    <row r="67" spans="2:10" x14ac:dyDescent="0.25">
      <c r="B67" s="179"/>
      <c r="C67" s="163"/>
      <c r="D67" s="163"/>
      <c r="E67" s="31"/>
      <c r="G67" s="2"/>
      <c r="H67" s="2"/>
      <c r="I67" s="2"/>
    </row>
    <row r="68" spans="2:10" x14ac:dyDescent="0.2">
      <c r="B68" s="179"/>
      <c r="C68" s="163"/>
      <c r="D68" s="163"/>
      <c r="E68" s="31"/>
      <c r="G68" s="872" t="s">
        <v>648</v>
      </c>
      <c r="H68" s="873"/>
      <c r="I68" s="873"/>
      <c r="J68" s="874"/>
    </row>
    <row r="69" spans="2:10" x14ac:dyDescent="0.2">
      <c r="B69" s="179"/>
      <c r="C69" s="163"/>
      <c r="D69" s="163"/>
      <c r="E69" s="31"/>
      <c r="G69" s="875"/>
      <c r="H69" s="876"/>
      <c r="I69" s="876"/>
      <c r="J69" s="877"/>
    </row>
    <row r="70" spans="2:10" x14ac:dyDescent="0.2">
      <c r="B70" s="180" t="str">
        <f>CONCATENATE("Cash Reserve (",E1," column)")</f>
        <v>Cash Reserve (2025 column)</v>
      </c>
      <c r="C70" s="163"/>
      <c r="D70" s="163"/>
      <c r="E70" s="31"/>
      <c r="G70" s="533" t="str">
        <f>'Budget Hearing Notice'!H21</f>
        <v xml:space="preserve">  </v>
      </c>
      <c r="H70" s="530" t="str">
        <f>CONCATENATE("",E1," Estimated Fund Mill Rate")</f>
        <v>2025 Estimated Fund Mill Rate</v>
      </c>
      <c r="I70" s="531"/>
      <c r="J70" s="532"/>
    </row>
    <row r="71" spans="2:10" x14ac:dyDescent="0.2">
      <c r="B71" s="180" t="s">
        <v>9</v>
      </c>
      <c r="C71" s="163"/>
      <c r="D71" s="163"/>
      <c r="E71" s="31"/>
      <c r="G71" s="729" t="str">
        <f>'Budget Hearing Notice'!E21</f>
        <v xml:space="preserve">  </v>
      </c>
      <c r="H71" s="530" t="str">
        <f>CONCATENATE("",E1-1," Fund Mill Rate")</f>
        <v>2024 Fund Mill Rate</v>
      </c>
      <c r="I71" s="531"/>
      <c r="J71" s="532"/>
    </row>
    <row r="72" spans="2:10" x14ac:dyDescent="0.2">
      <c r="B72" s="180" t="s">
        <v>371</v>
      </c>
      <c r="C72" s="168" t="str">
        <f>IF(C73*0.1&lt;C71,"Exceed 10% Rule","")</f>
        <v/>
      </c>
      <c r="D72" s="168" t="str">
        <f>IF(D73*0.1&lt;D71,"Exceed 10% Rule","")</f>
        <v/>
      </c>
      <c r="E72" s="202" t="str">
        <f>IF(E73*0.1&lt;E71,"Exceed 10% Rule","")</f>
        <v/>
      </c>
      <c r="G72" s="730">
        <f>'Budget Hearing Notice'!H53</f>
        <v>0</v>
      </c>
      <c r="H72" s="731" t="s">
        <v>649</v>
      </c>
      <c r="I72" s="531"/>
      <c r="J72" s="532"/>
    </row>
    <row r="73" spans="2:10" x14ac:dyDescent="0.2">
      <c r="B73" s="170" t="s">
        <v>75</v>
      </c>
      <c r="C73" s="172">
        <f>SUM(C64:C71)</f>
        <v>0</v>
      </c>
      <c r="D73" s="172">
        <f>SUM(D64:D71)</f>
        <v>0</v>
      </c>
      <c r="E73" s="173">
        <f>SUM(E64:E71)</f>
        <v>0</v>
      </c>
      <c r="G73" s="533">
        <f>'Budget Hearing Notice'!H52</f>
        <v>0</v>
      </c>
      <c r="H73" s="530" t="str">
        <f>CONCATENATE(E1," Estimated Total Mill Rate")</f>
        <v>2025 Estimated Total Mill Rate</v>
      </c>
      <c r="I73" s="531"/>
      <c r="J73" s="532"/>
    </row>
    <row r="74" spans="2:10" x14ac:dyDescent="0.2">
      <c r="B74" s="87" t="s">
        <v>141</v>
      </c>
      <c r="C74" s="176">
        <f>C62-C73</f>
        <v>0</v>
      </c>
      <c r="D74" s="176">
        <f>D62-D73</f>
        <v>0</v>
      </c>
      <c r="E74" s="189" t="s">
        <v>49</v>
      </c>
      <c r="G74" s="534">
        <f>'Budget Hearing Notice'!E52</f>
        <v>0</v>
      </c>
      <c r="H74" s="530" t="str">
        <f>CONCATENATE(E1-1," Total Mill Rate")</f>
        <v>2024 Total Mill Rate</v>
      </c>
      <c r="I74" s="531"/>
      <c r="J74" s="532"/>
    </row>
    <row r="75" spans="2:10" x14ac:dyDescent="0.2">
      <c r="B75" s="102" t="str">
        <f>CONCATENATE("",E1-2,"/",E1-1,"/",E1," Budget Authority Amount:")</f>
        <v>2023/2024/2025 Budget Authority Amount:</v>
      </c>
      <c r="C75" s="584">
        <f>inputOth!B72</f>
        <v>0</v>
      </c>
      <c r="D75" s="584">
        <f>inputPrYr!D25</f>
        <v>0</v>
      </c>
      <c r="E75" s="134">
        <f>E73</f>
        <v>0</v>
      </c>
      <c r="G75" s="563"/>
      <c r="H75" s="539"/>
      <c r="I75" s="539"/>
      <c r="J75" s="570"/>
    </row>
    <row r="76" spans="2:10" x14ac:dyDescent="0.2">
      <c r="B76" s="73"/>
      <c r="C76" s="861" t="s">
        <v>329</v>
      </c>
      <c r="D76" s="862"/>
      <c r="E76" s="31"/>
      <c r="F76" s="181"/>
      <c r="G76" s="878" t="s">
        <v>650</v>
      </c>
      <c r="H76" s="879"/>
      <c r="I76" s="879"/>
      <c r="J76" s="882" t="str">
        <f>IF(G73&gt;G72, "Yes", "No")</f>
        <v>No</v>
      </c>
    </row>
    <row r="77" spans="2:10" x14ac:dyDescent="0.2">
      <c r="B77" s="354" t="str">
        <f>CONCATENATE(C100,"     ",D100)</f>
        <v xml:space="preserve">     </v>
      </c>
      <c r="C77" s="863" t="s">
        <v>330</v>
      </c>
      <c r="D77" s="864"/>
      <c r="E77" s="134">
        <f>E73+E76</f>
        <v>0</v>
      </c>
      <c r="F77" s="604" t="str">
        <f>IF(E73/0.95-E73&lt;E76,"Exceeds 5%","")</f>
        <v/>
      </c>
      <c r="G77" s="880"/>
      <c r="H77" s="881"/>
      <c r="I77" s="881"/>
      <c r="J77" s="883"/>
    </row>
    <row r="78" spans="2:10" x14ac:dyDescent="0.2">
      <c r="B78" s="354" t="str">
        <f>CONCATENATE(C101,"     ",D101)</f>
        <v xml:space="preserve">     </v>
      </c>
      <c r="C78" s="182"/>
      <c r="D78" s="101" t="s">
        <v>76</v>
      </c>
      <c r="E78" s="42">
        <f>IF(E77-E62&gt;0,E77-E62,0)</f>
        <v>0</v>
      </c>
      <c r="G78" s="859" t="str">
        <f>IF(J76="Yes", "Follow procedure prescribed by KSA 79-2988 to exceed the Revenue Neutral Rate.", " ")</f>
        <v xml:space="preserve"> </v>
      </c>
      <c r="H78" s="859"/>
      <c r="I78" s="859"/>
      <c r="J78" s="859"/>
    </row>
    <row r="79" spans="2:10" x14ac:dyDescent="0.2">
      <c r="B79" s="101"/>
      <c r="C79" s="258" t="s">
        <v>328</v>
      </c>
      <c r="D79" s="493">
        <f>inputOth!$E$53</f>
        <v>0</v>
      </c>
      <c r="E79" s="134">
        <f>ROUND(IF(D79&gt;0,(E78*D79),0),0)</f>
        <v>0</v>
      </c>
      <c r="G79" s="860"/>
      <c r="H79" s="860"/>
      <c r="I79" s="860"/>
      <c r="J79" s="860"/>
    </row>
    <row r="80" spans="2:10" ht="16.5" thickBot="1" x14ac:dyDescent="0.25">
      <c r="B80" s="20"/>
      <c r="C80" s="865" t="str">
        <f>CONCATENATE("Amount of  ",$E$1-1," Ad Valorem Tax")</f>
        <v>Amount of  2024 Ad Valorem Tax</v>
      </c>
      <c r="D80" s="866"/>
      <c r="E80" s="496">
        <f>E78+E79</f>
        <v>0</v>
      </c>
      <c r="G80" s="860"/>
      <c r="H80" s="860"/>
      <c r="I80" s="860"/>
      <c r="J80" s="860"/>
    </row>
    <row r="81" spans="2:5" ht="16.5" thickTop="1" x14ac:dyDescent="0.2">
      <c r="B81" s="20"/>
      <c r="C81" s="20"/>
      <c r="D81" s="20"/>
      <c r="E81" s="20"/>
    </row>
    <row r="82" spans="2:5" x14ac:dyDescent="0.2">
      <c r="B82" s="698" t="s">
        <v>529</v>
      </c>
      <c r="C82" s="61"/>
      <c r="D82" s="61"/>
      <c r="E82" s="677"/>
    </row>
    <row r="83" spans="2:5" x14ac:dyDescent="0.2">
      <c r="B83" s="563"/>
      <c r="C83" s="20"/>
      <c r="D83" s="20"/>
      <c r="E83" s="570"/>
    </row>
    <row r="84" spans="2:5" x14ac:dyDescent="0.2">
      <c r="B84" s="498"/>
      <c r="C84" s="35"/>
      <c r="D84" s="35"/>
      <c r="E84" s="41"/>
    </row>
    <row r="85" spans="2:5" x14ac:dyDescent="0.2">
      <c r="B85" s="20"/>
      <c r="C85" s="20"/>
      <c r="D85" s="20"/>
      <c r="E85" s="20"/>
    </row>
    <row r="86" spans="2:5" x14ac:dyDescent="0.2">
      <c r="B86" s="101" t="s">
        <v>78</v>
      </c>
      <c r="C86" s="186"/>
      <c r="D86" s="20"/>
      <c r="E86" s="20"/>
    </row>
    <row r="95" spans="2:5" hidden="1" x14ac:dyDescent="0.2"/>
    <row r="96" spans="2:5" hidden="1" x14ac:dyDescent="0.2"/>
    <row r="97" spans="3:4" hidden="1" x14ac:dyDescent="0.2"/>
    <row r="98" spans="3:4" hidden="1" x14ac:dyDescent="0.2">
      <c r="C98" s="353" t="str">
        <f>IF(C32&gt;C34,"See Tab A","")</f>
        <v/>
      </c>
      <c r="D98" s="353" t="str">
        <f>IF(D30&gt;D34,"See Tab C","")</f>
        <v/>
      </c>
    </row>
    <row r="99" spans="3:4" x14ac:dyDescent="0.2">
      <c r="C99" s="353" t="str">
        <f>IF(C33&lt;0,"See Tab B","")</f>
        <v/>
      </c>
      <c r="D99" s="353" t="str">
        <f>IF(D33&lt;0,"See Tab D","")</f>
        <v/>
      </c>
    </row>
    <row r="100" spans="3:4" x14ac:dyDescent="0.2">
      <c r="C100" s="353" t="str">
        <f>IF(C71&gt;C75,"See Tab A","")</f>
        <v/>
      </c>
      <c r="D100" s="353" t="str">
        <f>IF(D71&gt;D75,"See Tab C","")</f>
        <v/>
      </c>
    </row>
    <row r="101" spans="3:4" x14ac:dyDescent="0.2">
      <c r="C101" s="353" t="str">
        <f>IF(C74&lt;0,"See Tab B","")</f>
        <v/>
      </c>
      <c r="D101" s="353" t="str">
        <f>IF(D74&lt;0,"See Tab D","")</f>
        <v/>
      </c>
    </row>
  </sheetData>
  <sheetProtection sheet="1"/>
  <mergeCells count="19">
    <mergeCell ref="G68:J69"/>
    <mergeCell ref="G76:I77"/>
    <mergeCell ref="J76:J77"/>
    <mergeCell ref="G78:J80"/>
    <mergeCell ref="G10:J10"/>
    <mergeCell ref="G17:J17"/>
    <mergeCell ref="G51:J51"/>
    <mergeCell ref="G58:J58"/>
    <mergeCell ref="G27:J28"/>
    <mergeCell ref="G35:I36"/>
    <mergeCell ref="J35:J36"/>
    <mergeCell ref="G37:J39"/>
    <mergeCell ref="C80:D80"/>
    <mergeCell ref="C76:D76"/>
    <mergeCell ref="C77:D77"/>
    <mergeCell ref="C35:D35"/>
    <mergeCell ref="C36:D36"/>
    <mergeCell ref="C40:D40"/>
    <mergeCell ref="C39:D39"/>
  </mergeCells>
  <phoneticPr fontId="0" type="noConversion"/>
  <conditionalFormatting sqref="C21">
    <cfRule type="cellIs" dxfId="273" priority="21" stopIfTrue="1" operator="greaterThan">
      <formula>$C$23*0.1</formula>
    </cfRule>
  </conditionalFormatting>
  <conditionalFormatting sqref="C33">
    <cfRule type="cellIs" dxfId="272" priority="11" stopIfTrue="1" operator="greaterThan">
      <formula>$C$35*0.1</formula>
    </cfRule>
  </conditionalFormatting>
  <conditionalFormatting sqref="C36 C78">
    <cfRule type="cellIs" dxfId="271" priority="15" stopIfTrue="1" operator="lessThan">
      <formula>0</formula>
    </cfRule>
  </conditionalFormatting>
  <conditionalFormatting sqref="C63">
    <cfRule type="cellIs" dxfId="270" priority="23" stopIfTrue="1" operator="greaterThan">
      <formula>$C$65*0.1</formula>
    </cfRule>
  </conditionalFormatting>
  <conditionalFormatting sqref="C75">
    <cfRule type="cellIs" dxfId="269" priority="16" stopIfTrue="1" operator="greaterThan">
      <formula>$C$77*0.1</formula>
    </cfRule>
  </conditionalFormatting>
  <conditionalFormatting sqref="D21">
    <cfRule type="cellIs" dxfId="268" priority="20" stopIfTrue="1" operator="greaterThan">
      <formula>$D$23*0.1</formula>
    </cfRule>
  </conditionalFormatting>
  <conditionalFormatting sqref="D33">
    <cfRule type="cellIs" dxfId="267" priority="12" stopIfTrue="1" operator="greaterThan">
      <formula>$D$35*0.1</formula>
    </cfRule>
  </conditionalFormatting>
  <conditionalFormatting sqref="D36 D78">
    <cfRule type="cellIs" dxfId="266" priority="6" stopIfTrue="1" operator="lessThan">
      <formula>0</formula>
    </cfRule>
  </conditionalFormatting>
  <conditionalFormatting sqref="D63">
    <cfRule type="cellIs" dxfId="265" priority="22" stopIfTrue="1" operator="greaterThan">
      <formula>$D$65*0.1</formula>
    </cfRule>
  </conditionalFormatting>
  <conditionalFormatting sqref="D75">
    <cfRule type="cellIs" dxfId="264" priority="17" stopIfTrue="1" operator="greaterThan">
      <formula>$D$77*0.1</formula>
    </cfRule>
  </conditionalFormatting>
  <conditionalFormatting sqref="E21">
    <cfRule type="cellIs" dxfId="263" priority="25" stopIfTrue="1" operator="greaterThan">
      <formula>$E$23*0.1+E42</formula>
    </cfRule>
  </conditionalFormatting>
  <conditionalFormatting sqref="E35">
    <cfRule type="expression" dxfId="262" priority="4" stopIfTrue="1">
      <formula>$E$35&gt;(0.05*$E$32)</formula>
    </cfRule>
  </conditionalFormatting>
  <conditionalFormatting sqref="E38">
    <cfRule type="cellIs" dxfId="261" priority="10" stopIfTrue="1" operator="greaterThan">
      <formula>$E$35/0.95-$E$35</formula>
    </cfRule>
  </conditionalFormatting>
  <conditionalFormatting sqref="E63">
    <cfRule type="cellIs" dxfId="260" priority="24" stopIfTrue="1" operator="greaterThan">
      <formula>$E$65*0.1+E84</formula>
    </cfRule>
  </conditionalFormatting>
  <conditionalFormatting sqref="E76">
    <cfRule type="expression" dxfId="259" priority="3" stopIfTrue="1">
      <formula>$E$76&gt;(0.05*$E$73)</formula>
    </cfRule>
    <cfRule type="cellIs" dxfId="258" priority="7" stopIfTrue="1" operator="greaterThan">
      <formula>$E$77*0.1</formula>
    </cfRule>
  </conditionalFormatting>
  <conditionalFormatting sqref="J35">
    <cfRule type="containsText" dxfId="257" priority="2" operator="containsText" text="Yes">
      <formula>NOT(ISERROR(SEARCH("Yes",J35)))</formula>
    </cfRule>
  </conditionalFormatting>
  <conditionalFormatting sqref="J76">
    <cfRule type="containsText" dxfId="256" priority="1" operator="containsText" text="Yes">
      <formula>NOT(ISERROR(SEARCH("Yes",J76)))</formula>
    </cfRule>
  </conditionalFormatting>
  <pageMargins left="0.5" right="0.5" top="1" bottom="0.5" header="0.5" footer="0.5"/>
  <pageSetup scale="51" orientation="portrait" blackAndWhite="1" horizontalDpi="120" verticalDpi="144"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B0F0"/>
    <pageSetUpPr fitToPage="1"/>
  </sheetPr>
  <dimension ref="B1:K97"/>
  <sheetViews>
    <sheetView zoomScaleNormal="100" workbookViewId="0">
      <selection activeCell="B8" sqref="B8"/>
    </sheetView>
  </sheetViews>
  <sheetFormatPr defaultColWidth="8.88671875" defaultRowHeight="15.75" x14ac:dyDescent="0.2"/>
  <cols>
    <col min="1" max="1" width="2.44140625" style="18" customWidth="1"/>
    <col min="2" max="2" width="31.109375" style="18" customWidth="1"/>
    <col min="3" max="4" width="15.77734375" style="18" customWidth="1"/>
    <col min="5" max="5" width="16.21875" style="18" customWidth="1"/>
    <col min="6" max="6" width="8.109375" style="18" customWidth="1"/>
    <col min="7" max="7" width="10.21875" style="18" customWidth="1"/>
    <col min="8" max="8" width="8.88671875" style="18"/>
    <col min="9" max="9" width="5.5546875" style="18" customWidth="1"/>
    <col min="10" max="10" width="10" style="18" customWidth="1"/>
    <col min="11" max="16384" width="8.88671875" style="18"/>
  </cols>
  <sheetData>
    <row r="1" spans="2:10" x14ac:dyDescent="0.2">
      <c r="B1" s="39">
        <f>(inputPrYr!D3)</f>
        <v>0</v>
      </c>
      <c r="C1" s="20"/>
      <c r="D1" s="20"/>
      <c r="E1" s="73">
        <f>inputPrYr!C6</f>
        <v>2025</v>
      </c>
    </row>
    <row r="2" spans="2:10" x14ac:dyDescent="0.2">
      <c r="B2" s="20"/>
      <c r="C2" s="20"/>
      <c r="D2" s="20"/>
      <c r="E2" s="101"/>
    </row>
    <row r="3" spans="2:10" x14ac:dyDescent="0.2">
      <c r="B3" s="154" t="s">
        <v>125</v>
      </c>
      <c r="C3" s="110"/>
      <c r="D3" s="110"/>
      <c r="E3" s="126"/>
    </row>
    <row r="4" spans="2:10" x14ac:dyDescent="0.2">
      <c r="B4" s="21" t="s">
        <v>59</v>
      </c>
      <c r="C4" s="292" t="s">
        <v>377</v>
      </c>
      <c r="D4" s="291" t="s">
        <v>378</v>
      </c>
      <c r="E4" s="271" t="s">
        <v>379</v>
      </c>
    </row>
    <row r="5" spans="2:10" x14ac:dyDescent="0.2">
      <c r="B5" s="357">
        <f>inputPrYr!B26</f>
        <v>0</v>
      </c>
      <c r="C5" s="293" t="str">
        <f>CONCATENATE("Actual for ",E1-2,"")</f>
        <v>Actual for 2023</v>
      </c>
      <c r="D5" s="293" t="str">
        <f>CONCATENATE("Estimate for ",E1-1,"")</f>
        <v>Estimate for 2024</v>
      </c>
      <c r="E5" s="279" t="str">
        <f>CONCATENATE("Year for ",E1,"")</f>
        <v>Year for 2025</v>
      </c>
    </row>
    <row r="6" spans="2:10" x14ac:dyDescent="0.2">
      <c r="B6" s="158" t="s">
        <v>140</v>
      </c>
      <c r="C6" s="163"/>
      <c r="D6" s="161">
        <f>C33</f>
        <v>0</v>
      </c>
      <c r="E6" s="134">
        <f>D33</f>
        <v>0</v>
      </c>
    </row>
    <row r="7" spans="2:10" x14ac:dyDescent="0.2">
      <c r="B7" s="162" t="s">
        <v>142</v>
      </c>
      <c r="C7" s="96"/>
      <c r="D7" s="96"/>
      <c r="E7" s="44"/>
    </row>
    <row r="8" spans="2:10" x14ac:dyDescent="0.2">
      <c r="B8" s="87" t="s">
        <v>60</v>
      </c>
      <c r="C8" s="163"/>
      <c r="D8" s="161">
        <f>IF(inputPrYr!H21&gt;0,inputPrYr!G30,inputPrYr!E26)</f>
        <v>0</v>
      </c>
      <c r="E8" s="189" t="s">
        <v>49</v>
      </c>
    </row>
    <row r="9" spans="2:10" x14ac:dyDescent="0.2">
      <c r="B9" s="87" t="s">
        <v>61</v>
      </c>
      <c r="C9" s="163"/>
      <c r="D9" s="163"/>
      <c r="E9" s="31"/>
    </row>
    <row r="10" spans="2:10" x14ac:dyDescent="0.2">
      <c r="B10" s="87" t="s">
        <v>62</v>
      </c>
      <c r="C10" s="163"/>
      <c r="D10" s="163"/>
      <c r="E10" s="134" t="str">
        <f>Mvalloc!D14</f>
        <v xml:space="preserve">  </v>
      </c>
      <c r="G10" s="889" t="str">
        <f>CONCATENATE("Desired Carryover Into ",E1+1,"")</f>
        <v>Desired Carryover Into 2026</v>
      </c>
      <c r="H10" s="870"/>
      <c r="I10" s="870"/>
      <c r="J10" s="871"/>
    </row>
    <row r="11" spans="2:10" x14ac:dyDescent="0.2">
      <c r="B11" s="87" t="s">
        <v>63</v>
      </c>
      <c r="C11" s="163"/>
      <c r="D11" s="163"/>
      <c r="E11" s="134" t="str">
        <f>Mvalloc!E14</f>
        <v xml:space="preserve"> </v>
      </c>
      <c r="G11" s="538"/>
      <c r="H11" s="539"/>
      <c r="I11" s="540"/>
      <c r="J11" s="541"/>
    </row>
    <row r="12" spans="2:10" x14ac:dyDescent="0.2">
      <c r="B12" s="96" t="s">
        <v>132</v>
      </c>
      <c r="C12" s="163"/>
      <c r="D12" s="163"/>
      <c r="E12" s="134" t="str">
        <f>Mvalloc!F14</f>
        <v xml:space="preserve"> </v>
      </c>
      <c r="G12" s="542" t="s">
        <v>368</v>
      </c>
      <c r="H12" s="540"/>
      <c r="I12" s="540"/>
      <c r="J12" s="543">
        <v>0</v>
      </c>
    </row>
    <row r="13" spans="2:10" x14ac:dyDescent="0.2">
      <c r="B13" s="158" t="s">
        <v>518</v>
      </c>
      <c r="C13" s="163"/>
      <c r="D13" s="163"/>
      <c r="E13" s="134" t="str">
        <f>Mvalloc!G14</f>
        <v xml:space="preserve"> </v>
      </c>
      <c r="G13" s="538" t="s">
        <v>369</v>
      </c>
      <c r="H13" s="539"/>
      <c r="I13" s="539"/>
      <c r="J13" s="544" t="str">
        <f>IF(J12=0,"",ROUND((J12+E39-G25)/inputOth!E9*1000,3)-G30)</f>
        <v/>
      </c>
    </row>
    <row r="14" spans="2:10" x14ac:dyDescent="0.2">
      <c r="B14" s="158" t="s">
        <v>519</v>
      </c>
      <c r="C14" s="163"/>
      <c r="D14" s="163"/>
      <c r="E14" s="134" t="str">
        <f>Mvalloc!H14</f>
        <v xml:space="preserve"> </v>
      </c>
      <c r="G14" s="545" t="str">
        <f>CONCATENATE("",E1," Tot Exp/Non-Appr Must Be:")</f>
        <v>2025 Tot Exp/Non-Appr Must Be:</v>
      </c>
      <c r="H14" s="546"/>
      <c r="I14" s="547"/>
      <c r="J14" s="548">
        <f>IF(J12&gt;0,IF(E36&lt;E22,IF(J12=G25,E36,((J12-G25)*(1-D38))+E22),E36+(J12-G25)),0)</f>
        <v>0</v>
      </c>
    </row>
    <row r="15" spans="2:10" x14ac:dyDescent="0.2">
      <c r="B15" s="179"/>
      <c r="C15" s="163"/>
      <c r="D15" s="163"/>
      <c r="E15" s="31"/>
      <c r="G15" s="549" t="s">
        <v>380</v>
      </c>
      <c r="H15" s="550"/>
      <c r="I15" s="550"/>
      <c r="J15" s="518">
        <f>IF(J12&gt;0,J14-E36,0)</f>
        <v>0</v>
      </c>
    </row>
    <row r="16" spans="2:10" x14ac:dyDescent="0.25">
      <c r="B16" s="179"/>
      <c r="C16" s="163"/>
      <c r="D16" s="163"/>
      <c r="E16" s="31"/>
      <c r="J16" s="2"/>
    </row>
    <row r="17" spans="2:11" x14ac:dyDescent="0.2">
      <c r="B17" s="167" t="s">
        <v>67</v>
      </c>
      <c r="C17" s="163"/>
      <c r="D17" s="163"/>
      <c r="E17" s="31"/>
      <c r="G17" s="889" t="str">
        <f>CONCATENATE("Projected Carryover Into ",E1+1,"")</f>
        <v>Projected Carryover Into 2026</v>
      </c>
      <c r="H17" s="896"/>
      <c r="I17" s="896"/>
      <c r="J17" s="892"/>
    </row>
    <row r="18" spans="2:11" x14ac:dyDescent="0.25">
      <c r="B18" s="180" t="s">
        <v>8</v>
      </c>
      <c r="C18" s="163"/>
      <c r="D18" s="163"/>
      <c r="E18" s="666">
        <f>'NR Rebate'!E13*-1</f>
        <v>0</v>
      </c>
      <c r="G18" s="538"/>
      <c r="H18" s="540"/>
      <c r="I18" s="540"/>
      <c r="J18" s="564"/>
    </row>
    <row r="19" spans="2:11" x14ac:dyDescent="0.25">
      <c r="B19" s="96" t="s">
        <v>9</v>
      </c>
      <c r="C19" s="163"/>
      <c r="D19" s="163"/>
      <c r="E19" s="31"/>
      <c r="G19" s="565">
        <f>D33</f>
        <v>0</v>
      </c>
      <c r="H19" s="530" t="str">
        <f>CONCATENATE("",E1-1," Ending Cash Balance (est.)")</f>
        <v>2024 Ending Cash Balance (est.)</v>
      </c>
      <c r="I19" s="566"/>
      <c r="J19" s="564"/>
    </row>
    <row r="20" spans="2:11" x14ac:dyDescent="0.25">
      <c r="B20" s="158" t="s">
        <v>370</v>
      </c>
      <c r="C20" s="168" t="str">
        <f>IF(C21*0.1&lt;C19,"Exceed 10% Rule","")</f>
        <v/>
      </c>
      <c r="D20" s="168" t="str">
        <f>IF(D21*0.1&lt;D19,"Exceed 10% Rule","")</f>
        <v/>
      </c>
      <c r="E20" s="202" t="str">
        <f>IF(E21*0.1+E39&lt;E19,"Exceed 10% Rule","")</f>
        <v/>
      </c>
      <c r="G20" s="565">
        <f>E21</f>
        <v>0</v>
      </c>
      <c r="H20" s="540" t="str">
        <f>CONCATENATE("",E1," Non-AV Receipts (est.)")</f>
        <v>2025 Non-AV Receipts (est.)</v>
      </c>
      <c r="I20" s="566"/>
      <c r="J20" s="564"/>
    </row>
    <row r="21" spans="2:11" x14ac:dyDescent="0.2">
      <c r="B21" s="170" t="s">
        <v>68</v>
      </c>
      <c r="C21" s="172">
        <f>SUM(C8:C19)</f>
        <v>0</v>
      </c>
      <c r="D21" s="172">
        <f>SUM(D8:D19)</f>
        <v>0</v>
      </c>
      <c r="E21" s="173">
        <f>SUM(E8:E19)</f>
        <v>0</v>
      </c>
      <c r="G21" s="567">
        <f>IF(E38&gt;0,E37,E39)</f>
        <v>0</v>
      </c>
      <c r="H21" s="540" t="str">
        <f>CONCATENATE("",E1," Ad Valorem Tax (est.)")</f>
        <v>2025 Ad Valorem Tax (est.)</v>
      </c>
      <c r="I21" s="566"/>
      <c r="J21" s="552"/>
      <c r="K21" s="523" t="str">
        <f>IF(G21=E39,"","Note: Does not include Delinquent Taxes")</f>
        <v/>
      </c>
    </row>
    <row r="22" spans="2:11" x14ac:dyDescent="0.25">
      <c r="B22" s="170" t="s">
        <v>69</v>
      </c>
      <c r="C22" s="172">
        <f>C6+C21</f>
        <v>0</v>
      </c>
      <c r="D22" s="172">
        <f>D6+D21</f>
        <v>0</v>
      </c>
      <c r="E22" s="173">
        <f>E6+E21</f>
        <v>0</v>
      </c>
      <c r="G22" s="565">
        <f>SUM(G19:G21)</f>
        <v>0</v>
      </c>
      <c r="H22" s="540" t="str">
        <f>CONCATENATE("Total ",E1," Resources Available")</f>
        <v>Total 2025 Resources Available</v>
      </c>
      <c r="I22" s="566"/>
      <c r="J22" s="564"/>
    </row>
    <row r="23" spans="2:11" x14ac:dyDescent="0.25">
      <c r="B23" s="87" t="s">
        <v>71</v>
      </c>
      <c r="C23" s="180"/>
      <c r="D23" s="180"/>
      <c r="E23" s="30"/>
      <c r="G23" s="579"/>
      <c r="H23" s="540"/>
      <c r="I23" s="540"/>
      <c r="J23" s="564"/>
    </row>
    <row r="24" spans="2:11" x14ac:dyDescent="0.25">
      <c r="B24" s="179"/>
      <c r="C24" s="163"/>
      <c r="D24" s="163"/>
      <c r="E24" s="31"/>
      <c r="G24" s="567">
        <f>ROUND(C32*0.05+C32,0)</f>
        <v>0</v>
      </c>
      <c r="H24" s="540" t="str">
        <f>CONCATENATE("Less ",E1-2," Expenditures + 5%")</f>
        <v>Less 2023 Expenditures + 5%</v>
      </c>
      <c r="I24" s="566"/>
      <c r="J24" s="564"/>
    </row>
    <row r="25" spans="2:11" x14ac:dyDescent="0.25">
      <c r="B25" s="179"/>
      <c r="C25" s="163"/>
      <c r="D25" s="163"/>
      <c r="E25" s="31"/>
      <c r="G25" s="580">
        <f>G22-G24</f>
        <v>0</v>
      </c>
      <c r="H25" s="581" t="str">
        <f>CONCATENATE("Projected ",E1+1," carryover (est.)")</f>
        <v>Projected 2026 carryover (est.)</v>
      </c>
      <c r="I25" s="582"/>
      <c r="J25" s="577"/>
    </row>
    <row r="26" spans="2:11" x14ac:dyDescent="0.25">
      <c r="B26" s="179"/>
      <c r="C26" s="163"/>
      <c r="D26" s="163"/>
      <c r="E26" s="31"/>
      <c r="G26" s="2"/>
      <c r="H26" s="2"/>
      <c r="I26" s="2"/>
      <c r="J26" s="2"/>
    </row>
    <row r="27" spans="2:11" x14ac:dyDescent="0.2">
      <c r="B27" s="179"/>
      <c r="C27" s="163"/>
      <c r="D27" s="163"/>
      <c r="E27" s="31"/>
      <c r="G27" s="872" t="s">
        <v>648</v>
      </c>
      <c r="H27" s="873"/>
      <c r="I27" s="873"/>
      <c r="J27" s="874"/>
    </row>
    <row r="28" spans="2:11" x14ac:dyDescent="0.2">
      <c r="B28" s="179"/>
      <c r="C28" s="163"/>
      <c r="D28" s="163"/>
      <c r="E28" s="31"/>
      <c r="G28" s="875"/>
      <c r="H28" s="876"/>
      <c r="I28" s="876"/>
      <c r="J28" s="877"/>
    </row>
    <row r="29" spans="2:11" x14ac:dyDescent="0.2">
      <c r="B29" s="180" t="str">
        <f>CONCATENATE("Cash Reserve (",E1," column)")</f>
        <v>Cash Reserve (2025 column)</v>
      </c>
      <c r="C29" s="163"/>
      <c r="D29" s="163"/>
      <c r="E29" s="31"/>
      <c r="G29" s="533" t="str">
        <f>'Budget Hearing Notice'!H22</f>
        <v xml:space="preserve">  </v>
      </c>
      <c r="H29" s="530" t="str">
        <f>CONCATENATE("",E1," Estimated Fund Mill Rate")</f>
        <v>2025 Estimated Fund Mill Rate</v>
      </c>
      <c r="I29" s="531"/>
      <c r="J29" s="532"/>
    </row>
    <row r="30" spans="2:11" x14ac:dyDescent="0.2">
      <c r="B30" s="180" t="s">
        <v>9</v>
      </c>
      <c r="C30" s="163"/>
      <c r="D30" s="163"/>
      <c r="E30" s="31"/>
      <c r="G30" s="729" t="str">
        <f>'Budget Hearing Notice'!E22</f>
        <v xml:space="preserve">  </v>
      </c>
      <c r="H30" s="530" t="str">
        <f>CONCATENATE("",E1-1," Fund Mill Rate")</f>
        <v>2024 Fund Mill Rate</v>
      </c>
      <c r="I30" s="531"/>
      <c r="J30" s="532"/>
    </row>
    <row r="31" spans="2:11" x14ac:dyDescent="0.2">
      <c r="B31" s="180" t="s">
        <v>371</v>
      </c>
      <c r="C31" s="168" t="str">
        <f>IF(C32*0.1&lt;C30,"Exceed 10% Rule","")</f>
        <v/>
      </c>
      <c r="D31" s="168" t="str">
        <f>IF(D32*0.1&lt;D30,"Exceed 10% Rule","")</f>
        <v/>
      </c>
      <c r="E31" s="202" t="str">
        <f>IF(E32*0.1&lt;E30,"Exceed 10% Rule","")</f>
        <v/>
      </c>
      <c r="G31" s="730">
        <f>'Budget Hearing Notice'!H53</f>
        <v>0</v>
      </c>
      <c r="H31" s="731" t="s">
        <v>649</v>
      </c>
      <c r="I31" s="531"/>
      <c r="J31" s="532"/>
    </row>
    <row r="32" spans="2:11" x14ac:dyDescent="0.2">
      <c r="B32" s="170" t="s">
        <v>75</v>
      </c>
      <c r="C32" s="172">
        <f>SUM(C24:C30)</f>
        <v>0</v>
      </c>
      <c r="D32" s="172">
        <f>SUM(D24:D30)</f>
        <v>0</v>
      </c>
      <c r="E32" s="173">
        <f>SUM(E24:E30)</f>
        <v>0</v>
      </c>
      <c r="G32" s="533">
        <f>'Budget Hearing Notice'!H52</f>
        <v>0</v>
      </c>
      <c r="H32" s="530" t="str">
        <f>CONCATENATE(E1," Estimated Total Mill Rate")</f>
        <v>2025 Estimated Total Mill Rate</v>
      </c>
      <c r="I32" s="531"/>
      <c r="J32" s="532"/>
    </row>
    <row r="33" spans="2:10" x14ac:dyDescent="0.2">
      <c r="B33" s="87" t="s">
        <v>141</v>
      </c>
      <c r="C33" s="176">
        <f>C22-C32</f>
        <v>0</v>
      </c>
      <c r="D33" s="176">
        <f>D22-D32</f>
        <v>0</v>
      </c>
      <c r="E33" s="189" t="s">
        <v>49</v>
      </c>
      <c r="G33" s="534">
        <f>'Budget Hearing Notice'!E52</f>
        <v>0</v>
      </c>
      <c r="H33" s="530" t="str">
        <f>CONCATENATE(E1-1," Total Mill Rate")</f>
        <v>2024 Total Mill Rate</v>
      </c>
      <c r="I33" s="531"/>
      <c r="J33" s="532"/>
    </row>
    <row r="34" spans="2:10" x14ac:dyDescent="0.2">
      <c r="B34" s="102" t="str">
        <f>CONCATENATE("",E1-2,"/",E1-1,"/",E1," Budget Authority Amount:")</f>
        <v>2023/2024/2025 Budget Authority Amount:</v>
      </c>
      <c r="C34" s="584">
        <f>inputOth!B73</f>
        <v>0</v>
      </c>
      <c r="D34" s="584">
        <f>inputPrYr!D26</f>
        <v>0</v>
      </c>
      <c r="E34" s="134">
        <f>E32</f>
        <v>0</v>
      </c>
      <c r="G34" s="563"/>
      <c r="H34" s="539"/>
      <c r="I34" s="539"/>
      <c r="J34" s="570"/>
    </row>
    <row r="35" spans="2:10" x14ac:dyDescent="0.2">
      <c r="B35" s="73"/>
      <c r="C35" s="861" t="s">
        <v>329</v>
      </c>
      <c r="D35" s="862"/>
      <c r="E35" s="31"/>
      <c r="F35" s="181"/>
      <c r="G35" s="878" t="s">
        <v>650</v>
      </c>
      <c r="H35" s="879"/>
      <c r="I35" s="879"/>
      <c r="J35" s="882" t="str">
        <f>IF(G32&gt;G31, "Yes", "No")</f>
        <v>No</v>
      </c>
    </row>
    <row r="36" spans="2:10" x14ac:dyDescent="0.2">
      <c r="B36" s="354" t="str">
        <f>CONCATENATE(C94,"     ",D94)</f>
        <v xml:space="preserve">     </v>
      </c>
      <c r="C36" s="863" t="s">
        <v>330</v>
      </c>
      <c r="D36" s="864"/>
      <c r="E36" s="134">
        <f>E32+E35</f>
        <v>0</v>
      </c>
      <c r="F36" s="604" t="str">
        <f>IF(E32/0.95-E32&lt;E35,"Exceeds 5%","")</f>
        <v/>
      </c>
      <c r="G36" s="880"/>
      <c r="H36" s="881"/>
      <c r="I36" s="881"/>
      <c r="J36" s="883"/>
    </row>
    <row r="37" spans="2:10" x14ac:dyDescent="0.2">
      <c r="B37" s="354" t="str">
        <f>CONCATENATE(C95,"     ",D95)</f>
        <v xml:space="preserve">     </v>
      </c>
      <c r="C37" s="182"/>
      <c r="D37" s="101" t="s">
        <v>76</v>
      </c>
      <c r="E37" s="42">
        <f>IF(E36-E22&gt;0,E36-E22,0)</f>
        <v>0</v>
      </c>
      <c r="G37" s="859" t="str">
        <f>IF(J35="Yes", "Follow procedure prescribed by KSA 79-2988 to exceed the Revenue Neutral Rate.", " ")</f>
        <v xml:space="preserve"> </v>
      </c>
      <c r="H37" s="859"/>
      <c r="I37" s="859"/>
      <c r="J37" s="859"/>
    </row>
    <row r="38" spans="2:10" x14ac:dyDescent="0.2">
      <c r="B38" s="101"/>
      <c r="C38" s="258" t="s">
        <v>328</v>
      </c>
      <c r="D38" s="259">
        <f>inputOth!$E$53</f>
        <v>0</v>
      </c>
      <c r="E38" s="134">
        <f>ROUND(IF(D38&gt;0,(E37*D38),0),0)</f>
        <v>0</v>
      </c>
      <c r="G38" s="860"/>
      <c r="H38" s="860"/>
      <c r="I38" s="860"/>
      <c r="J38" s="860"/>
    </row>
    <row r="39" spans="2:10" x14ac:dyDescent="0.2">
      <c r="B39" s="49"/>
      <c r="C39" s="865" t="str">
        <f>CONCATENATE("Amount of  ",$E$1-1," Ad Valorem Tax")</f>
        <v>Amount of  2024 Ad Valorem Tax</v>
      </c>
      <c r="D39" s="866"/>
      <c r="E39" s="192">
        <f>E37+E38</f>
        <v>0</v>
      </c>
      <c r="G39" s="860"/>
      <c r="H39" s="860"/>
      <c r="I39" s="860"/>
      <c r="J39" s="860"/>
    </row>
    <row r="40" spans="2:10" x14ac:dyDescent="0.2">
      <c r="B40" s="20"/>
      <c r="C40" s="49"/>
      <c r="D40" s="49"/>
      <c r="E40" s="20"/>
    </row>
    <row r="41" spans="2:10" x14ac:dyDescent="0.2">
      <c r="B41" s="21"/>
      <c r="C41" s="191"/>
      <c r="D41" s="191"/>
      <c r="E41" s="191"/>
    </row>
    <row r="42" spans="2:10" x14ac:dyDescent="0.2">
      <c r="B42" s="21" t="s">
        <v>59</v>
      </c>
      <c r="C42" s="292" t="s">
        <v>377</v>
      </c>
      <c r="D42" s="291" t="s">
        <v>378</v>
      </c>
      <c r="E42" s="271" t="s">
        <v>379</v>
      </c>
    </row>
    <row r="43" spans="2:10" x14ac:dyDescent="0.2">
      <c r="B43" s="357">
        <f>inputPrYr!B27</f>
        <v>0</v>
      </c>
      <c r="C43" s="293" t="str">
        <f>CONCATENATE("Actual for ",E1-2,"")</f>
        <v>Actual for 2023</v>
      </c>
      <c r="D43" s="293" t="str">
        <f>CONCATENATE("Estimate for ",E1-1,"")</f>
        <v>Estimate for 2024</v>
      </c>
      <c r="E43" s="279" t="str">
        <f>CONCATENATE("Year for ",E1,"")</f>
        <v>Year for 2025</v>
      </c>
    </row>
    <row r="44" spans="2:10" x14ac:dyDescent="0.2">
      <c r="B44" s="158" t="s">
        <v>140</v>
      </c>
      <c r="C44" s="163"/>
      <c r="D44" s="161">
        <f>C71</f>
        <v>0</v>
      </c>
      <c r="E44" s="134">
        <f>D71</f>
        <v>0</v>
      </c>
    </row>
    <row r="45" spans="2:10" x14ac:dyDescent="0.2">
      <c r="B45" s="162" t="s">
        <v>142</v>
      </c>
      <c r="C45" s="96"/>
      <c r="D45" s="96"/>
      <c r="E45" s="44"/>
    </row>
    <row r="46" spans="2:10" x14ac:dyDescent="0.2">
      <c r="B46" s="87" t="s">
        <v>60</v>
      </c>
      <c r="C46" s="163"/>
      <c r="D46" s="161">
        <f>IF(inputPrYr!H21&gt;0,inputPrYr!G31,inputPrYr!E27)</f>
        <v>0</v>
      </c>
      <c r="E46" s="189" t="s">
        <v>49</v>
      </c>
    </row>
    <row r="47" spans="2:10" x14ac:dyDescent="0.2">
      <c r="B47" s="87" t="s">
        <v>61</v>
      </c>
      <c r="C47" s="163"/>
      <c r="D47" s="163"/>
      <c r="E47" s="31"/>
    </row>
    <row r="48" spans="2:10" x14ac:dyDescent="0.2">
      <c r="B48" s="87" t="s">
        <v>62</v>
      </c>
      <c r="C48" s="163"/>
      <c r="D48" s="163"/>
      <c r="E48" s="134" t="str">
        <f>Mvalloc!D15</f>
        <v xml:space="preserve">  </v>
      </c>
      <c r="G48" s="889" t="str">
        <f>CONCATENATE("Desired Carryover Into ",E1+1,"")</f>
        <v>Desired Carryover Into 2026</v>
      </c>
      <c r="H48" s="870"/>
      <c r="I48" s="870"/>
      <c r="J48" s="871"/>
    </row>
    <row r="49" spans="2:11" x14ac:dyDescent="0.2">
      <c r="B49" s="87" t="s">
        <v>63</v>
      </c>
      <c r="C49" s="163"/>
      <c r="D49" s="163"/>
      <c r="E49" s="134" t="str">
        <f>Mvalloc!E15</f>
        <v xml:space="preserve"> </v>
      </c>
      <c r="G49" s="538"/>
      <c r="H49" s="539"/>
      <c r="I49" s="540"/>
      <c r="J49" s="541"/>
    </row>
    <row r="50" spans="2:11" x14ac:dyDescent="0.2">
      <c r="B50" s="96" t="s">
        <v>132</v>
      </c>
      <c r="C50" s="163"/>
      <c r="D50" s="163"/>
      <c r="E50" s="134" t="str">
        <f>Mvalloc!F15</f>
        <v xml:space="preserve"> </v>
      </c>
      <c r="G50" s="542" t="s">
        <v>368</v>
      </c>
      <c r="H50" s="540"/>
      <c r="I50" s="540"/>
      <c r="J50" s="543">
        <v>0</v>
      </c>
    </row>
    <row r="51" spans="2:11" x14ac:dyDescent="0.2">
      <c r="B51" s="158" t="s">
        <v>518</v>
      </c>
      <c r="C51" s="163"/>
      <c r="D51" s="163"/>
      <c r="E51" s="134" t="str">
        <f>Mvalloc!G15</f>
        <v xml:space="preserve"> </v>
      </c>
      <c r="G51" s="538" t="s">
        <v>369</v>
      </c>
      <c r="H51" s="539"/>
      <c r="I51" s="539"/>
      <c r="J51" s="544" t="str">
        <f>IF(J50=0,"",ROUND((J50+E77-G63)/inputOth!E9*1000,3)-G68)</f>
        <v/>
      </c>
    </row>
    <row r="52" spans="2:11" x14ac:dyDescent="0.2">
      <c r="B52" s="158" t="s">
        <v>519</v>
      </c>
      <c r="C52" s="163"/>
      <c r="D52" s="163"/>
      <c r="E52" s="134" t="str">
        <f>Mvalloc!H15</f>
        <v xml:space="preserve"> </v>
      </c>
      <c r="G52" s="545" t="str">
        <f>CONCATENATE("",E1," Tot Exp/Non-Appr Must Be:")</f>
        <v>2025 Tot Exp/Non-Appr Must Be:</v>
      </c>
      <c r="H52" s="546"/>
      <c r="I52" s="547"/>
      <c r="J52" s="548">
        <f>IF(J50&gt;0,IF(E74&lt;E60,IF(J50=G63,E74,((J50-G63)*(1-D76))+E60),E74+(J50-G63)),0)</f>
        <v>0</v>
      </c>
    </row>
    <row r="53" spans="2:11" x14ac:dyDescent="0.2">
      <c r="B53" s="179"/>
      <c r="C53" s="163"/>
      <c r="D53" s="163"/>
      <c r="E53" s="31"/>
      <c r="G53" s="549" t="s">
        <v>380</v>
      </c>
      <c r="H53" s="550"/>
      <c r="I53" s="550"/>
      <c r="J53" s="518">
        <f>IF(J50&gt;0,J52-E74,0)</f>
        <v>0</v>
      </c>
    </row>
    <row r="54" spans="2:11" x14ac:dyDescent="0.25">
      <c r="B54" s="179"/>
      <c r="C54" s="163"/>
      <c r="D54" s="163"/>
      <c r="E54" s="31"/>
      <c r="J54" s="2"/>
    </row>
    <row r="55" spans="2:11" x14ac:dyDescent="0.2">
      <c r="B55" s="167" t="s">
        <v>67</v>
      </c>
      <c r="C55" s="163"/>
      <c r="D55" s="163"/>
      <c r="E55" s="31"/>
      <c r="G55" s="889" t="str">
        <f>CONCATENATE("Projected Carryover Into ",E1+1,"")</f>
        <v>Projected Carryover Into 2026</v>
      </c>
      <c r="H55" s="891"/>
      <c r="I55" s="891"/>
      <c r="J55" s="892"/>
    </row>
    <row r="56" spans="2:11" x14ac:dyDescent="0.2">
      <c r="B56" s="180" t="s">
        <v>8</v>
      </c>
      <c r="C56" s="163"/>
      <c r="D56" s="163"/>
      <c r="E56" s="666">
        <f>'NR Rebate'!E14*-1</f>
        <v>0</v>
      </c>
      <c r="G56" s="563"/>
      <c r="H56" s="539"/>
      <c r="I56" s="539"/>
      <c r="J56" s="570"/>
    </row>
    <row r="57" spans="2:11" x14ac:dyDescent="0.2">
      <c r="B57" s="96" t="s">
        <v>9</v>
      </c>
      <c r="C57" s="163"/>
      <c r="D57" s="163"/>
      <c r="E57" s="31"/>
      <c r="G57" s="565">
        <f>D71</f>
        <v>0</v>
      </c>
      <c r="H57" s="530" t="str">
        <f>CONCATENATE("",E1-1," Ending Cash Balance (est.)")</f>
        <v>2024 Ending Cash Balance (est.)</v>
      </c>
      <c r="I57" s="566"/>
      <c r="J57" s="570"/>
    </row>
    <row r="58" spans="2:11" x14ac:dyDescent="0.2">
      <c r="B58" s="158" t="s">
        <v>370</v>
      </c>
      <c r="C58" s="168" t="str">
        <f>IF(C59*0.1&lt;C57,"Exceed 10% Rule","")</f>
        <v/>
      </c>
      <c r="D58" s="168" t="str">
        <f>IF(D59*0.1&lt;D57,"Exceed 10% Rule","")</f>
        <v/>
      </c>
      <c r="E58" s="202" t="str">
        <f>IF(E59*0.1+E77&lt;E57,"Exceed 10% Rule","")</f>
        <v/>
      </c>
      <c r="G58" s="565">
        <f>E59</f>
        <v>0</v>
      </c>
      <c r="H58" s="540" t="str">
        <f>CONCATENATE("",E1," Non-AV Receipts (est.)")</f>
        <v>2025 Non-AV Receipts (est.)</v>
      </c>
      <c r="I58" s="566"/>
      <c r="J58" s="570"/>
    </row>
    <row r="59" spans="2:11" x14ac:dyDescent="0.2">
      <c r="B59" s="170" t="s">
        <v>68</v>
      </c>
      <c r="C59" s="172">
        <f>SUM(C46:C57)</f>
        <v>0</v>
      </c>
      <c r="D59" s="172">
        <f>SUM(D46:D57)</f>
        <v>0</v>
      </c>
      <c r="E59" s="173">
        <f>SUM(E46:E57)</f>
        <v>0</v>
      </c>
      <c r="G59" s="567">
        <f>IF(D76&gt;0,E75,E77)</f>
        <v>0</v>
      </c>
      <c r="H59" s="540" t="str">
        <f>CONCATENATE("",E1," Ad Valorem Tax (est.)")</f>
        <v>2025 Ad Valorem Tax (est.)</v>
      </c>
      <c r="I59" s="566"/>
      <c r="J59" s="570"/>
      <c r="K59" s="523" t="str">
        <f>IF(G59=E77,"","Note: Does not include Delinquent Taxes")</f>
        <v/>
      </c>
    </row>
    <row r="60" spans="2:11" x14ac:dyDescent="0.2">
      <c r="B60" s="170" t="s">
        <v>69</v>
      </c>
      <c r="C60" s="172">
        <f>C44+C59</f>
        <v>0</v>
      </c>
      <c r="D60" s="172">
        <f>D44+D59</f>
        <v>0</v>
      </c>
      <c r="E60" s="173">
        <f>E44+E59</f>
        <v>0</v>
      </c>
      <c r="G60" s="569">
        <f>SUM(G57:G59)</f>
        <v>0</v>
      </c>
      <c r="H60" s="540" t="str">
        <f>CONCATENATE("Total ",E1," Resources Available")</f>
        <v>Total 2025 Resources Available</v>
      </c>
      <c r="I60" s="570"/>
      <c r="J60" s="570"/>
    </row>
    <row r="61" spans="2:11" x14ac:dyDescent="0.2">
      <c r="B61" s="87" t="s">
        <v>71</v>
      </c>
      <c r="C61" s="180"/>
      <c r="D61" s="180"/>
      <c r="E61" s="30"/>
      <c r="G61" s="571"/>
      <c r="H61" s="572"/>
      <c r="I61" s="539"/>
      <c r="J61" s="570"/>
    </row>
    <row r="62" spans="2:11" x14ac:dyDescent="0.2">
      <c r="B62" s="179"/>
      <c r="C62" s="163"/>
      <c r="D62" s="163"/>
      <c r="E62" s="31"/>
      <c r="G62" s="573">
        <f>ROUND(C70*0.05+C70,0)</f>
        <v>0</v>
      </c>
      <c r="H62" s="572" t="str">
        <f>CONCATENATE("Less ",E1-2," Expenditures + 5%")</f>
        <v>Less 2023 Expenditures + 5%</v>
      </c>
      <c r="I62" s="570"/>
      <c r="J62" s="570"/>
    </row>
    <row r="63" spans="2:11" x14ac:dyDescent="0.25">
      <c r="B63" s="179"/>
      <c r="C63" s="163"/>
      <c r="D63" s="163"/>
      <c r="E63" s="31"/>
      <c r="G63" s="574">
        <f>G60-G62</f>
        <v>0</v>
      </c>
      <c r="H63" s="575" t="str">
        <f>CONCATENATE("Projected ",E1+1," carryover (est.)")</f>
        <v>Projected 2026 carryover (est.)</v>
      </c>
      <c r="I63" s="576"/>
      <c r="J63" s="577"/>
    </row>
    <row r="64" spans="2:11" x14ac:dyDescent="0.25">
      <c r="B64" s="179"/>
      <c r="C64" s="163"/>
      <c r="D64" s="163"/>
      <c r="E64" s="31"/>
      <c r="G64" s="2"/>
      <c r="H64" s="2"/>
      <c r="I64" s="2"/>
    </row>
    <row r="65" spans="2:10" x14ac:dyDescent="0.2">
      <c r="B65" s="179"/>
      <c r="C65" s="163"/>
      <c r="D65" s="163"/>
      <c r="E65" s="31"/>
      <c r="G65" s="872" t="s">
        <v>648</v>
      </c>
      <c r="H65" s="873"/>
      <c r="I65" s="873"/>
      <c r="J65" s="874"/>
    </row>
    <row r="66" spans="2:10" x14ac:dyDescent="0.2">
      <c r="B66" s="179"/>
      <c r="C66" s="163"/>
      <c r="D66" s="163"/>
      <c r="E66" s="31"/>
      <c r="G66" s="875"/>
      <c r="H66" s="876"/>
      <c r="I66" s="876"/>
      <c r="J66" s="877"/>
    </row>
    <row r="67" spans="2:10" x14ac:dyDescent="0.2">
      <c r="B67" s="180" t="str">
        <f>CONCATENATE("Cash Reserve (",E1," column)")</f>
        <v>Cash Reserve (2025 column)</v>
      </c>
      <c r="C67" s="163"/>
      <c r="D67" s="163"/>
      <c r="E67" s="256"/>
      <c r="G67" s="533" t="str">
        <f>'Budget Hearing Notice'!H23</f>
        <v xml:space="preserve">  </v>
      </c>
      <c r="H67" s="530" t="str">
        <f>CONCATENATE("",E1," Estimated Fund Mill Rate")</f>
        <v>2025 Estimated Fund Mill Rate</v>
      </c>
      <c r="I67" s="531"/>
      <c r="J67" s="532"/>
    </row>
    <row r="68" spans="2:10" x14ac:dyDescent="0.2">
      <c r="B68" s="180" t="s">
        <v>9</v>
      </c>
      <c r="C68" s="163"/>
      <c r="D68" s="163"/>
      <c r="E68" s="31"/>
      <c r="G68" s="729" t="str">
        <f>'Budget Hearing Notice'!E23</f>
        <v xml:space="preserve">  </v>
      </c>
      <c r="H68" s="530" t="str">
        <f>CONCATENATE("",E1-1," Fund Mill Rate")</f>
        <v>2024 Fund Mill Rate</v>
      </c>
      <c r="I68" s="531"/>
      <c r="J68" s="532"/>
    </row>
    <row r="69" spans="2:10" x14ac:dyDescent="0.2">
      <c r="B69" s="180" t="s">
        <v>371</v>
      </c>
      <c r="C69" s="168" t="str">
        <f>IF(C70*0.1&lt;C68,"Exceed 10% Rule","")</f>
        <v/>
      </c>
      <c r="D69" s="168" t="str">
        <f>IF(D70*0.1&lt;D68,"Exceed 10% Rule","")</f>
        <v/>
      </c>
      <c r="E69" s="202" t="str">
        <f>IF(E70*0.1&lt;E68,"Exceed 10% Rule","")</f>
        <v/>
      </c>
      <c r="G69" s="730">
        <f>'Budget Hearing Notice'!H53</f>
        <v>0</v>
      </c>
      <c r="H69" s="731" t="s">
        <v>649</v>
      </c>
      <c r="I69" s="531"/>
      <c r="J69" s="532"/>
    </row>
    <row r="70" spans="2:10" x14ac:dyDescent="0.2">
      <c r="B70" s="170" t="s">
        <v>75</v>
      </c>
      <c r="C70" s="172">
        <f>SUM(C62:C68)</f>
        <v>0</v>
      </c>
      <c r="D70" s="172">
        <f>SUM(D62:D68)</f>
        <v>0</v>
      </c>
      <c r="E70" s="173">
        <f>SUM(E62:E68)</f>
        <v>0</v>
      </c>
      <c r="G70" s="533">
        <f>'Budget Hearing Notice'!H52</f>
        <v>0</v>
      </c>
      <c r="H70" s="530" t="str">
        <f>CONCATENATE(E1," Estimated Total Mill Rate")</f>
        <v>2025 Estimated Total Mill Rate</v>
      </c>
      <c r="I70" s="531"/>
      <c r="J70" s="532"/>
    </row>
    <row r="71" spans="2:10" x14ac:dyDescent="0.2">
      <c r="B71" s="87" t="s">
        <v>141</v>
      </c>
      <c r="C71" s="176">
        <f>C60-C70</f>
        <v>0</v>
      </c>
      <c r="D71" s="176">
        <f>D60-D70</f>
        <v>0</v>
      </c>
      <c r="E71" s="189" t="s">
        <v>49</v>
      </c>
      <c r="G71" s="534">
        <f>'Budget Hearing Notice'!E52</f>
        <v>0</v>
      </c>
      <c r="H71" s="530" t="str">
        <f>CONCATENATE(E1-1," Total Mill Rate")</f>
        <v>2024 Total Mill Rate</v>
      </c>
      <c r="I71" s="531"/>
      <c r="J71" s="532"/>
    </row>
    <row r="72" spans="2:10" x14ac:dyDescent="0.2">
      <c r="B72" s="102" t="str">
        <f>CONCATENATE("",E1-2,"/",E1-1,"/",E1," Budget Authority Amount:")</f>
        <v>2023/2024/2025 Budget Authority Amount:</v>
      </c>
      <c r="C72" s="612">
        <f>inputOth!B74</f>
        <v>0</v>
      </c>
      <c r="D72" s="584">
        <f>inputPrYr!D27</f>
        <v>0</v>
      </c>
      <c r="E72" s="134">
        <f>E70</f>
        <v>0</v>
      </c>
      <c r="G72" s="563"/>
      <c r="H72" s="539"/>
      <c r="I72" s="539"/>
      <c r="J72" s="570"/>
    </row>
    <row r="73" spans="2:10" x14ac:dyDescent="0.2">
      <c r="B73" s="73"/>
      <c r="C73" s="861" t="s">
        <v>329</v>
      </c>
      <c r="D73" s="862"/>
      <c r="E73" s="31"/>
      <c r="G73" s="878" t="s">
        <v>650</v>
      </c>
      <c r="H73" s="879"/>
      <c r="I73" s="879"/>
      <c r="J73" s="882" t="str">
        <f>IF(G70&gt;G69, "Yes", "No")</f>
        <v>No</v>
      </c>
    </row>
    <row r="74" spans="2:10" x14ac:dyDescent="0.2">
      <c r="B74" s="354" t="str">
        <f>CONCATENATE(C96,"     ",D96)</f>
        <v xml:space="preserve">     </v>
      </c>
      <c r="C74" s="863" t="s">
        <v>330</v>
      </c>
      <c r="D74" s="864"/>
      <c r="E74" s="134">
        <f>E70+E73</f>
        <v>0</v>
      </c>
      <c r="F74" s="181"/>
      <c r="G74" s="880"/>
      <c r="H74" s="881"/>
      <c r="I74" s="881"/>
      <c r="J74" s="883"/>
    </row>
    <row r="75" spans="2:10" x14ac:dyDescent="0.2">
      <c r="B75" s="354" t="str">
        <f>CONCATENATE(C97,"     ",D97)</f>
        <v xml:space="preserve">     </v>
      </c>
      <c r="C75" s="182"/>
      <c r="D75" s="101" t="s">
        <v>76</v>
      </c>
      <c r="E75" s="42">
        <f>IF(E74-E60&gt;0,E74-E60,0)</f>
        <v>0</v>
      </c>
      <c r="F75" s="604" t="str">
        <f>IF(E70/0.95-E70&lt;E73,"Exceeds 5%","")</f>
        <v/>
      </c>
      <c r="G75" s="859" t="str">
        <f>IF(J73="Yes", "Follow procedure prescribed by KSA 79-2988 to exceed the Revenue Neutral Rate.", " ")</f>
        <v xml:space="preserve"> </v>
      </c>
      <c r="H75" s="859"/>
      <c r="I75" s="859"/>
      <c r="J75" s="859"/>
    </row>
    <row r="76" spans="2:10" x14ac:dyDescent="0.2">
      <c r="B76" s="73"/>
      <c r="C76" s="258" t="s">
        <v>328</v>
      </c>
      <c r="D76" s="493">
        <f>inputOth!$E$53</f>
        <v>0</v>
      </c>
      <c r="E76" s="134">
        <f>ROUND(IF(D76&gt;0,(E75*D76),0),0)</f>
        <v>0</v>
      </c>
      <c r="G76" s="860"/>
      <c r="H76" s="860"/>
      <c r="I76" s="860"/>
      <c r="J76" s="860"/>
    </row>
    <row r="77" spans="2:10" ht="16.5" thickBot="1" x14ac:dyDescent="0.25">
      <c r="B77" s="101"/>
      <c r="C77" s="865" t="str">
        <f>CONCATENATE("Amount of  ",$E$1-1," Ad Valorem Tax")</f>
        <v>Amount of  2024 Ad Valorem Tax</v>
      </c>
      <c r="D77" s="866"/>
      <c r="E77" s="496">
        <f>E75+E76</f>
        <v>0</v>
      </c>
      <c r="G77" s="860"/>
      <c r="H77" s="860"/>
      <c r="I77" s="860"/>
      <c r="J77" s="860"/>
    </row>
    <row r="78" spans="2:10" ht="16.5" thickTop="1" x14ac:dyDescent="0.2">
      <c r="B78" s="20"/>
      <c r="C78" s="20"/>
      <c r="D78" s="20"/>
      <c r="E78" s="20"/>
    </row>
    <row r="79" spans="2:10" x14ac:dyDescent="0.2">
      <c r="B79" s="698" t="s">
        <v>529</v>
      </c>
      <c r="C79" s="61"/>
      <c r="D79" s="61"/>
      <c r="E79" s="677"/>
    </row>
    <row r="80" spans="2:10" x14ac:dyDescent="0.2">
      <c r="B80" s="563"/>
      <c r="C80" s="20"/>
      <c r="D80" s="20"/>
      <c r="E80" s="570"/>
    </row>
    <row r="81" spans="2:5" x14ac:dyDescent="0.2">
      <c r="B81" s="498"/>
      <c r="C81" s="35"/>
      <c r="D81" s="35"/>
      <c r="E81" s="41"/>
    </row>
    <row r="82" spans="2:5" x14ac:dyDescent="0.2">
      <c r="B82" s="73" t="s">
        <v>78</v>
      </c>
      <c r="C82" s="186"/>
      <c r="D82" s="20"/>
      <c r="E82" s="20"/>
    </row>
    <row r="92" spans="2:5" hidden="1" x14ac:dyDescent="0.2"/>
    <row r="93" spans="2:5" hidden="1" x14ac:dyDescent="0.2"/>
    <row r="94" spans="2:5" hidden="1" x14ac:dyDescent="0.2">
      <c r="C94" s="353" t="str">
        <f>IF(C32&gt;C34,"See Tab A","")</f>
        <v/>
      </c>
      <c r="D94" s="353" t="str">
        <f>IF(D30&gt;D34,"See Tab C","")</f>
        <v/>
      </c>
    </row>
    <row r="95" spans="2:5" hidden="1" x14ac:dyDescent="0.2">
      <c r="C95" s="353" t="str">
        <f>IF(C33&lt;0,"See Tab B","")</f>
        <v/>
      </c>
      <c r="D95" s="353" t="str">
        <f>IF(D33&lt;0,"See Tab D","")</f>
        <v/>
      </c>
    </row>
    <row r="96" spans="2:5" x14ac:dyDescent="0.2">
      <c r="C96" s="353" t="str">
        <f>IF(C68&gt;C72,"See Tab A","")</f>
        <v/>
      </c>
      <c r="D96" s="353" t="str">
        <f>IF(D68&gt;D72,"See Tab C","")</f>
        <v/>
      </c>
    </row>
    <row r="97" spans="3:4" x14ac:dyDescent="0.2">
      <c r="C97" s="353" t="str">
        <f>IF(C71&lt;0,"See Tab B","")</f>
        <v/>
      </c>
      <c r="D97" s="353" t="str">
        <f>IF(D71&lt;0,"See Tab D","")</f>
        <v/>
      </c>
    </row>
  </sheetData>
  <sheetProtection sheet="1"/>
  <mergeCells count="18">
    <mergeCell ref="G65:J66"/>
    <mergeCell ref="G73:I74"/>
    <mergeCell ref="J73:J74"/>
    <mergeCell ref="G75:J77"/>
    <mergeCell ref="G10:J10"/>
    <mergeCell ref="G17:J17"/>
    <mergeCell ref="G48:J48"/>
    <mergeCell ref="G55:J55"/>
    <mergeCell ref="G27:J28"/>
    <mergeCell ref="G35:I36"/>
    <mergeCell ref="J35:J36"/>
    <mergeCell ref="G37:J39"/>
    <mergeCell ref="C35:D35"/>
    <mergeCell ref="C36:D36"/>
    <mergeCell ref="C73:D73"/>
    <mergeCell ref="C74:D74"/>
    <mergeCell ref="C77:D77"/>
    <mergeCell ref="C39:D39"/>
  </mergeCells>
  <phoneticPr fontId="0" type="noConversion"/>
  <conditionalFormatting sqref="C19">
    <cfRule type="cellIs" dxfId="255" priority="20" stopIfTrue="1" operator="greaterThan">
      <formula>$C$21*0.1</formula>
    </cfRule>
  </conditionalFormatting>
  <conditionalFormatting sqref="C30">
    <cfRule type="cellIs" dxfId="254" priority="10" stopIfTrue="1" operator="greaterThan">
      <formula>$C$32*0.1</formula>
    </cfRule>
  </conditionalFormatting>
  <conditionalFormatting sqref="C32">
    <cfRule type="cellIs" dxfId="253" priority="13" stopIfTrue="1" operator="greaterThan">
      <formula>$C$34</formula>
    </cfRule>
  </conditionalFormatting>
  <conditionalFormatting sqref="C33 C71">
    <cfRule type="cellIs" dxfId="252" priority="14" stopIfTrue="1" operator="lessThan">
      <formula>0</formula>
    </cfRule>
  </conditionalFormatting>
  <conditionalFormatting sqref="C57">
    <cfRule type="cellIs" dxfId="251" priority="22" stopIfTrue="1" operator="greaterThan">
      <formula>$C$59*0.1</formula>
    </cfRule>
  </conditionalFormatting>
  <conditionalFormatting sqref="C68">
    <cfRule type="cellIs" dxfId="250" priority="15" stopIfTrue="1" operator="greaterThan">
      <formula>$C$70*0.1</formula>
    </cfRule>
  </conditionalFormatting>
  <conditionalFormatting sqref="C70">
    <cfRule type="cellIs" dxfId="249" priority="18" stopIfTrue="1" operator="greaterThan">
      <formula>$C$72</formula>
    </cfRule>
  </conditionalFormatting>
  <conditionalFormatting sqref="D19">
    <cfRule type="cellIs" dxfId="248" priority="19" stopIfTrue="1" operator="greaterThan">
      <formula>$D$21*0.1</formula>
    </cfRule>
  </conditionalFormatting>
  <conditionalFormatting sqref="D30">
    <cfRule type="cellIs" dxfId="247" priority="11" stopIfTrue="1" operator="greaterThan">
      <formula>$D$32*0.1</formula>
    </cfRule>
  </conditionalFormatting>
  <conditionalFormatting sqref="D32">
    <cfRule type="cellIs" dxfId="246" priority="12" stopIfTrue="1" operator="greaterThan">
      <formula>$D$34</formula>
    </cfRule>
  </conditionalFormatting>
  <conditionalFormatting sqref="D33 D71">
    <cfRule type="cellIs" dxfId="245" priority="5" stopIfTrue="1" operator="lessThan">
      <formula>0</formula>
    </cfRule>
  </conditionalFormatting>
  <conditionalFormatting sqref="D57">
    <cfRule type="cellIs" dxfId="244" priority="21" stopIfTrue="1" operator="greaterThan">
      <formula>$D$59*0.1</formula>
    </cfRule>
  </conditionalFormatting>
  <conditionalFormatting sqref="D68">
    <cfRule type="cellIs" dxfId="243" priority="16" stopIfTrue="1" operator="greaterThan">
      <formula>$D$70*0.1</formula>
    </cfRule>
  </conditionalFormatting>
  <conditionalFormatting sqref="D70">
    <cfRule type="cellIs" dxfId="242" priority="17" stopIfTrue="1" operator="greaterThan">
      <formula>$D$72</formula>
    </cfRule>
  </conditionalFormatting>
  <conditionalFormatting sqref="E19">
    <cfRule type="cellIs" dxfId="241" priority="23" stopIfTrue="1" operator="greaterThan">
      <formula>$E$21*0.1+E39</formula>
    </cfRule>
  </conditionalFormatting>
  <conditionalFormatting sqref="E30">
    <cfRule type="cellIs" dxfId="240" priority="6" stopIfTrue="1" operator="greaterThan">
      <formula>$E$32*0.1</formula>
    </cfRule>
  </conditionalFormatting>
  <conditionalFormatting sqref="E35">
    <cfRule type="cellIs" dxfId="239" priority="7" stopIfTrue="1" operator="greaterThan">
      <formula>$E$32/0.95-$E$32</formula>
    </cfRule>
  </conditionalFormatting>
  <conditionalFormatting sqref="E57">
    <cfRule type="cellIs" dxfId="238" priority="26" stopIfTrue="1" operator="greaterThan">
      <formula>$E$59*0.1+$E$77</formula>
    </cfRule>
  </conditionalFormatting>
  <conditionalFormatting sqref="E68">
    <cfRule type="cellIs" dxfId="237" priority="8" stopIfTrue="1" operator="greaterThan">
      <formula>$E$70*0.1</formula>
    </cfRule>
  </conditionalFormatting>
  <conditionalFormatting sqref="E73">
    <cfRule type="cellIs" dxfId="236" priority="9" stopIfTrue="1" operator="greaterThan">
      <formula>$E$70/0.95-$E$70</formula>
    </cfRule>
  </conditionalFormatting>
  <conditionalFormatting sqref="J35">
    <cfRule type="containsText" dxfId="235" priority="2" operator="containsText" text="Yes">
      <formula>NOT(ISERROR(SEARCH("Yes",J35)))</formula>
    </cfRule>
  </conditionalFormatting>
  <conditionalFormatting sqref="J73">
    <cfRule type="containsText" dxfId="234" priority="1" operator="containsText" text="Yes">
      <formula>NOT(ISERROR(SEARCH("Yes",J73)))</formula>
    </cfRule>
  </conditionalFormatting>
  <pageMargins left="0.5" right="0.5" top="1" bottom="0.5" header="0.5" footer="0.5"/>
  <pageSetup scale="54" orientation="portrait" blackAndWhite="1" horizontalDpi="120" verticalDpi="144"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129"/>
  <sheetViews>
    <sheetView topLeftCell="A22" workbookViewId="0">
      <selection activeCell="C6" sqref="C6"/>
    </sheetView>
  </sheetViews>
  <sheetFormatPr defaultColWidth="8.88671875" defaultRowHeight="15.75" x14ac:dyDescent="0.2"/>
  <cols>
    <col min="1" max="1" width="15.77734375" style="18" customWidth="1"/>
    <col min="2" max="2" width="20.77734375" style="18" customWidth="1"/>
    <col min="3" max="3" width="9.77734375" style="18" customWidth="1"/>
    <col min="4" max="4" width="15.109375" style="18" customWidth="1"/>
    <col min="5" max="5" width="15.77734375" style="18" customWidth="1"/>
    <col min="6" max="6" width="1.88671875" style="18" customWidth="1"/>
    <col min="7" max="7" width="18.6640625" style="18" customWidth="1"/>
    <col min="8" max="16384" width="8.88671875" style="18"/>
  </cols>
  <sheetData>
    <row r="1" spans="1:8" x14ac:dyDescent="0.2">
      <c r="A1" s="794" t="s">
        <v>499</v>
      </c>
      <c r="B1" s="795"/>
      <c r="C1" s="795"/>
      <c r="D1" s="795"/>
      <c r="E1" s="795"/>
    </row>
    <row r="2" spans="1:8" x14ac:dyDescent="0.2">
      <c r="A2" s="21"/>
      <c r="B2" s="20"/>
      <c r="C2" s="20"/>
      <c r="D2" s="22"/>
      <c r="E2" s="20"/>
    </row>
    <row r="3" spans="1:8" x14ac:dyDescent="0.2">
      <c r="A3" s="639" t="s">
        <v>500</v>
      </c>
      <c r="B3" s="20"/>
      <c r="C3" s="20"/>
      <c r="D3" s="803"/>
      <c r="E3" s="804"/>
    </row>
    <row r="4" spans="1:8" x14ac:dyDescent="0.2">
      <c r="A4" s="639" t="s">
        <v>501</v>
      </c>
      <c r="B4" s="20"/>
      <c r="C4" s="20"/>
      <c r="D4" s="803"/>
      <c r="E4" s="804"/>
    </row>
    <row r="5" spans="1:8" x14ac:dyDescent="0.2">
      <c r="A5" s="640"/>
      <c r="B5" s="20"/>
      <c r="C5" s="20"/>
      <c r="D5" s="22"/>
      <c r="E5" s="20"/>
    </row>
    <row r="6" spans="1:8" x14ac:dyDescent="0.2">
      <c r="A6" s="639" t="s">
        <v>502</v>
      </c>
      <c r="B6" s="20"/>
      <c r="C6" s="23">
        <v>2025</v>
      </c>
      <c r="D6" s="22"/>
      <c r="E6" s="20"/>
    </row>
    <row r="7" spans="1:8" x14ac:dyDescent="0.2">
      <c r="A7" s="639"/>
      <c r="B7" s="20"/>
      <c r="C7" s="20"/>
      <c r="D7" s="22"/>
      <c r="E7" s="20"/>
    </row>
    <row r="8" spans="1:8" x14ac:dyDescent="0.2">
      <c r="A8" s="796" t="s">
        <v>503</v>
      </c>
      <c r="B8" s="796"/>
      <c r="C8" s="796"/>
      <c r="D8" s="796"/>
      <c r="E8" s="796"/>
    </row>
    <row r="9" spans="1:8" x14ac:dyDescent="0.2">
      <c r="A9" s="796"/>
      <c r="B9" s="796"/>
      <c r="C9" s="796"/>
      <c r="D9" s="796"/>
      <c r="E9" s="796"/>
    </row>
    <row r="10" spans="1:8" x14ac:dyDescent="0.2">
      <c r="A10" s="796"/>
      <c r="B10" s="796"/>
      <c r="C10" s="796"/>
      <c r="D10" s="796"/>
      <c r="E10" s="796"/>
    </row>
    <row r="11" spans="1:8" x14ac:dyDescent="0.2">
      <c r="A11" s="792" t="s">
        <v>504</v>
      </c>
      <c r="B11" s="793"/>
      <c r="C11" s="793"/>
      <c r="D11" s="793"/>
      <c r="E11" s="793"/>
    </row>
    <row r="12" spans="1:8" x14ac:dyDescent="0.2">
      <c r="A12" s="20"/>
      <c r="B12" s="20"/>
      <c r="C12" s="20"/>
      <c r="D12" s="20"/>
      <c r="E12" s="20"/>
    </row>
    <row r="13" spans="1:8" ht="15.75" customHeight="1" x14ac:dyDescent="0.2">
      <c r="A13" s="645" t="s">
        <v>218</v>
      </c>
      <c r="B13" s="644"/>
      <c r="C13" s="20"/>
      <c r="D13" s="20"/>
      <c r="E13" s="20"/>
      <c r="F13" s="20"/>
      <c r="G13" s="797" t="s">
        <v>505</v>
      </c>
      <c r="H13" s="798"/>
    </row>
    <row r="14" spans="1:8" x14ac:dyDescent="0.2">
      <c r="A14" s="643" t="str">
        <f>CONCATENATE("the ",C6-1," Budget, Certificate Page:")</f>
        <v>the 2024 Budget, Certificate Page:</v>
      </c>
      <c r="B14" s="642"/>
      <c r="C14" s="20"/>
      <c r="D14" s="20"/>
      <c r="E14" s="20"/>
      <c r="F14" s="20"/>
      <c r="G14" s="799"/>
      <c r="H14" s="800"/>
    </row>
    <row r="15" spans="1:8" x14ac:dyDescent="0.2">
      <c r="A15" s="641" t="s">
        <v>271</v>
      </c>
      <c r="B15" s="618"/>
      <c r="C15" s="20"/>
      <c r="D15" s="20"/>
      <c r="E15" s="20"/>
      <c r="F15" s="20"/>
      <c r="G15" s="799"/>
      <c r="H15" s="800"/>
    </row>
    <row r="16" spans="1:8" x14ac:dyDescent="0.2">
      <c r="A16" s="20"/>
      <c r="B16" s="20"/>
      <c r="C16" s="20"/>
      <c r="D16" s="26">
        <f>C6-1</f>
        <v>2024</v>
      </c>
      <c r="E16" s="26">
        <f>C6-2</f>
        <v>2023</v>
      </c>
      <c r="F16" s="20"/>
      <c r="G16" s="799"/>
      <c r="H16" s="800"/>
    </row>
    <row r="17" spans="1:8" x14ac:dyDescent="0.2">
      <c r="A17" s="21" t="s">
        <v>31</v>
      </c>
      <c r="B17" s="20"/>
      <c r="C17" s="27" t="s">
        <v>32</v>
      </c>
      <c r="D17" s="28" t="s">
        <v>270</v>
      </c>
      <c r="E17" s="28" t="s">
        <v>29</v>
      </c>
      <c r="F17" s="20"/>
      <c r="G17" s="799"/>
      <c r="H17" s="800"/>
    </row>
    <row r="18" spans="1:8" x14ac:dyDescent="0.2">
      <c r="A18" s="20"/>
      <c r="B18" s="29" t="s">
        <v>33</v>
      </c>
      <c r="C18" s="93" t="s">
        <v>143</v>
      </c>
      <c r="D18" s="651"/>
      <c r="E18" s="651"/>
      <c r="F18" s="20"/>
      <c r="G18" s="799"/>
      <c r="H18" s="800"/>
    </row>
    <row r="19" spans="1:8" x14ac:dyDescent="0.2">
      <c r="A19" s="20"/>
      <c r="B19" s="29" t="s">
        <v>16</v>
      </c>
      <c r="C19" s="93" t="s">
        <v>169</v>
      </c>
      <c r="D19" s="651"/>
      <c r="E19" s="651"/>
      <c r="F19" s="20"/>
      <c r="G19" s="801"/>
      <c r="H19" s="802"/>
    </row>
    <row r="20" spans="1:8" x14ac:dyDescent="0.2">
      <c r="A20" s="20"/>
      <c r="B20" s="29" t="s">
        <v>374</v>
      </c>
      <c r="C20" s="93" t="s">
        <v>375</v>
      </c>
      <c r="D20" s="651"/>
      <c r="E20" s="651"/>
      <c r="F20" s="647"/>
      <c r="G20" s="108" t="s">
        <v>443</v>
      </c>
      <c r="H20" s="93" t="s">
        <v>77</v>
      </c>
    </row>
    <row r="21" spans="1:8" x14ac:dyDescent="0.2">
      <c r="A21" s="21" t="s">
        <v>34</v>
      </c>
      <c r="B21" s="20"/>
      <c r="C21" s="20"/>
      <c r="D21" s="20"/>
      <c r="E21" s="652"/>
      <c r="F21" s="647"/>
      <c r="G21" s="86" t="str">
        <f>CONCATENATE("",E16," Ad Valorem Tax")</f>
        <v>2023 Ad Valorem Tax</v>
      </c>
      <c r="H21" s="600">
        <v>0</v>
      </c>
    </row>
    <row r="22" spans="1:8" x14ac:dyDescent="0.2">
      <c r="A22" s="20"/>
      <c r="B22" s="650"/>
      <c r="C22" s="257"/>
      <c r="D22" s="31"/>
      <c r="E22" s="651"/>
      <c r="F22" s="647"/>
      <c r="G22" s="134">
        <f>IF(H21&gt;0,ROUND(E18-(E18*H21),0),0)</f>
        <v>0</v>
      </c>
    </row>
    <row r="23" spans="1:8" x14ac:dyDescent="0.2">
      <c r="A23" s="20"/>
      <c r="B23" s="649"/>
      <c r="C23" s="257"/>
      <c r="D23" s="31"/>
      <c r="E23" s="651"/>
      <c r="F23" s="647"/>
      <c r="G23" s="134">
        <f>IF(H21&gt;0,ROUND(E19-(E19*H21),0),0)</f>
        <v>0</v>
      </c>
    </row>
    <row r="24" spans="1:8" x14ac:dyDescent="0.2">
      <c r="A24" s="20"/>
      <c r="B24" s="649"/>
      <c r="C24" s="257"/>
      <c r="D24" s="31"/>
      <c r="E24" s="651"/>
      <c r="F24" s="647"/>
      <c r="G24" s="134">
        <f>IF(H21&gt;0,ROUND(E20-(E20*H21),0),0)</f>
        <v>0</v>
      </c>
    </row>
    <row r="25" spans="1:8" x14ac:dyDescent="0.2">
      <c r="A25" s="20"/>
      <c r="B25" s="649"/>
      <c r="C25" s="257"/>
      <c r="D25" s="31"/>
      <c r="E25" s="651"/>
      <c r="F25" s="647"/>
      <c r="G25" s="32"/>
    </row>
    <row r="26" spans="1:8" x14ac:dyDescent="0.2">
      <c r="A26" s="20"/>
      <c r="B26" s="649"/>
      <c r="C26" s="257"/>
      <c r="D26" s="31"/>
      <c r="E26" s="651"/>
      <c r="F26" s="647"/>
      <c r="G26" s="134">
        <f>IF(H21&gt;0,ROUND(E22-(E22*H21),0),0)</f>
        <v>0</v>
      </c>
    </row>
    <row r="27" spans="1:8" x14ac:dyDescent="0.2">
      <c r="A27" s="20"/>
      <c r="B27" s="649"/>
      <c r="C27" s="257"/>
      <c r="D27" s="31"/>
      <c r="E27" s="651"/>
      <c r="F27" s="648"/>
      <c r="G27" s="134">
        <f>IF(H21&gt;0,ROUND(E23-(E23*H21),0),0)</f>
        <v>0</v>
      </c>
    </row>
    <row r="28" spans="1:8" x14ac:dyDescent="0.2">
      <c r="A28" s="20"/>
      <c r="B28" s="649"/>
      <c r="C28" s="257"/>
      <c r="D28" s="31"/>
      <c r="E28" s="651"/>
      <c r="F28" s="648"/>
      <c r="G28" s="134">
        <f>IF(H21&gt;0,ROUND(E24-(E24*H21),0),0)</f>
        <v>0</v>
      </c>
    </row>
    <row r="29" spans="1:8" x14ac:dyDescent="0.2">
      <c r="A29" s="20"/>
      <c r="B29" s="649"/>
      <c r="C29" s="257"/>
      <c r="D29" s="31"/>
      <c r="E29" s="651"/>
      <c r="F29" s="648"/>
      <c r="G29" s="134">
        <f>IF(H21&gt;0,ROUND(E25-(E25*H21),0),0)</f>
        <v>0</v>
      </c>
    </row>
    <row r="30" spans="1:8" x14ac:dyDescent="0.2">
      <c r="A30" s="20"/>
      <c r="B30" s="649"/>
      <c r="C30" s="257"/>
      <c r="D30" s="31"/>
      <c r="E30" s="651"/>
      <c r="F30" s="648"/>
      <c r="G30" s="134">
        <f>IF(H21&gt;0,ROUND(E26-(E26*H21),0),0)</f>
        <v>0</v>
      </c>
    </row>
    <row r="31" spans="1:8" x14ac:dyDescent="0.2">
      <c r="A31" s="20"/>
      <c r="B31" s="649"/>
      <c r="C31" s="257"/>
      <c r="D31" s="31"/>
      <c r="E31" s="651"/>
      <c r="F31" s="648"/>
      <c r="G31" s="134">
        <f>IF(H21&gt;0,ROUND(E27-(E27*H21),0),0)</f>
        <v>0</v>
      </c>
    </row>
    <row r="32" spans="1:8" x14ac:dyDescent="0.2">
      <c r="A32" s="34" t="str">
        <f>CONCATENATE("Total Tax Levy Funds for ",C6-1," Budgeted Year")</f>
        <v>Total Tax Levy Funds for 2024 Budgeted Year</v>
      </c>
      <c r="B32" s="35"/>
      <c r="C32" s="36"/>
      <c r="D32" s="37"/>
      <c r="E32" s="38">
        <f>SUM(E18:E31)</f>
        <v>0</v>
      </c>
      <c r="F32" s="648"/>
      <c r="G32" s="134">
        <f>IF(H21&gt;0,ROUND(E28-(E28*H21),0),0)</f>
        <v>0</v>
      </c>
    </row>
    <row r="33" spans="1:7" x14ac:dyDescent="0.2">
      <c r="A33" s="303" t="str">
        <f>CONCATENATE("Fund Not Considered Part of the Max Levy Computation for ",C6," Budgeted Year:")</f>
        <v>Fund Not Considered Part of the Max Levy Computation for 2025 Budgeted Year:</v>
      </c>
      <c r="B33" s="20"/>
      <c r="C33" s="20"/>
      <c r="D33" s="39"/>
      <c r="E33" s="32"/>
      <c r="F33" s="648"/>
      <c r="G33" s="134">
        <f>IF(H21&gt;0,ROUND(E29-(E29*H21),0),0)</f>
        <v>0</v>
      </c>
    </row>
    <row r="34" spans="1:7" x14ac:dyDescent="0.2">
      <c r="A34" s="21"/>
      <c r="B34" s="304" t="s">
        <v>334</v>
      </c>
      <c r="C34" s="306" t="s">
        <v>335</v>
      </c>
      <c r="D34" s="305"/>
      <c r="E34" s="305"/>
      <c r="F34" s="648"/>
      <c r="G34" s="134">
        <f>IF(H21&gt;0,ROUND(E30-(E30*H21),0),0)</f>
        <v>0</v>
      </c>
    </row>
    <row r="35" spans="1:7" x14ac:dyDescent="0.2">
      <c r="A35" s="21"/>
      <c r="B35" s="20"/>
      <c r="C35" s="20"/>
      <c r="D35" s="39"/>
      <c r="E35" s="32"/>
      <c r="F35" s="648"/>
      <c r="G35" s="134">
        <f>IF(H21&gt;0,ROUND(E31-(E31*H21),0),0)</f>
        <v>0</v>
      </c>
    </row>
    <row r="36" spans="1:7" x14ac:dyDescent="0.2">
      <c r="A36" s="21" t="s">
        <v>174</v>
      </c>
      <c r="B36" s="20"/>
      <c r="C36" s="20"/>
      <c r="D36" s="20"/>
      <c r="E36" s="20"/>
    </row>
    <row r="37" spans="1:7" x14ac:dyDescent="0.2">
      <c r="A37" s="20"/>
      <c r="B37" s="30" t="s">
        <v>134</v>
      </c>
      <c r="C37" s="20"/>
      <c r="D37" s="31"/>
      <c r="E37" s="20"/>
    </row>
    <row r="38" spans="1:7" x14ac:dyDescent="0.2">
      <c r="A38" s="20"/>
      <c r="B38" s="33"/>
      <c r="C38" s="20"/>
      <c r="D38" s="31"/>
      <c r="E38" s="20"/>
      <c r="F38" s="648"/>
      <c r="G38" s="134">
        <f>IF(H21&gt;0,ROUND(E34-(E34*H21),0),0)</f>
        <v>0</v>
      </c>
    </row>
    <row r="39" spans="1:7" x14ac:dyDescent="0.2">
      <c r="A39" s="20"/>
      <c r="B39" s="33"/>
      <c r="C39" s="20"/>
      <c r="D39" s="31"/>
      <c r="E39" s="20"/>
    </row>
    <row r="40" spans="1:7" x14ac:dyDescent="0.2">
      <c r="A40" s="20"/>
      <c r="B40" s="33"/>
      <c r="C40" s="20"/>
      <c r="D40" s="31"/>
      <c r="E40" s="20"/>
    </row>
    <row r="41" spans="1:7" x14ac:dyDescent="0.2">
      <c r="A41" s="20"/>
      <c r="B41" s="33"/>
      <c r="C41" s="20"/>
      <c r="D41" s="31"/>
      <c r="E41" s="20"/>
    </row>
    <row r="42" spans="1:7" x14ac:dyDescent="0.2">
      <c r="A42" s="20"/>
      <c r="B42" s="33"/>
      <c r="C42" s="20"/>
      <c r="D42" s="31"/>
      <c r="E42" s="20"/>
    </row>
    <row r="43" spans="1:7" x14ac:dyDescent="0.2">
      <c r="A43" s="20"/>
      <c r="B43" s="33"/>
      <c r="C43" s="20"/>
      <c r="D43" s="31"/>
      <c r="E43" s="20"/>
    </row>
    <row r="44" spans="1:7" x14ac:dyDescent="0.2">
      <c r="A44" s="20"/>
      <c r="B44" s="33"/>
      <c r="C44" s="20"/>
      <c r="D44" s="31"/>
      <c r="E44" s="20"/>
    </row>
    <row r="45" spans="1:7" x14ac:dyDescent="0.2">
      <c r="A45" s="20"/>
      <c r="B45" s="33"/>
      <c r="C45" s="20"/>
      <c r="D45" s="31"/>
      <c r="E45" s="20"/>
    </row>
    <row r="46" spans="1:7" x14ac:dyDescent="0.2">
      <c r="A46" s="20"/>
      <c r="B46" s="33"/>
      <c r="C46" s="20"/>
      <c r="D46" s="31"/>
      <c r="E46" s="20"/>
    </row>
    <row r="47" spans="1:7" x14ac:dyDescent="0.2">
      <c r="A47" s="20"/>
      <c r="B47" s="40"/>
      <c r="C47" s="20"/>
      <c r="D47" s="31"/>
      <c r="E47" s="20"/>
    </row>
    <row r="48" spans="1:7" x14ac:dyDescent="0.2">
      <c r="A48" s="20"/>
      <c r="B48" s="40"/>
      <c r="C48" s="20"/>
      <c r="D48" s="31"/>
      <c r="E48" s="20"/>
    </row>
    <row r="49" spans="1:5" x14ac:dyDescent="0.2">
      <c r="A49" s="20"/>
      <c r="B49" s="40"/>
      <c r="C49" s="20"/>
      <c r="D49" s="31"/>
      <c r="E49" s="20"/>
    </row>
    <row r="50" spans="1:5" x14ac:dyDescent="0.2">
      <c r="A50" s="20"/>
      <c r="B50" s="40"/>
      <c r="C50" s="20"/>
      <c r="D50" s="31"/>
      <c r="E50" s="20"/>
    </row>
    <row r="51" spans="1:5" x14ac:dyDescent="0.2">
      <c r="A51" s="20"/>
      <c r="B51" s="40"/>
      <c r="C51" s="20"/>
      <c r="D51" s="31"/>
      <c r="E51" s="20"/>
    </row>
    <row r="52" spans="1:5" x14ac:dyDescent="0.2">
      <c r="A52" s="20"/>
      <c r="B52" s="40"/>
      <c r="C52" s="20"/>
      <c r="D52" s="31"/>
      <c r="E52" s="20"/>
    </row>
    <row r="53" spans="1:5" x14ac:dyDescent="0.2">
      <c r="A53" s="20" t="s">
        <v>197</v>
      </c>
      <c r="B53" s="620"/>
      <c r="C53" s="20"/>
      <c r="D53" s="20"/>
      <c r="E53" s="20"/>
    </row>
    <row r="54" spans="1:5" x14ac:dyDescent="0.2">
      <c r="A54" s="20">
        <v>1</v>
      </c>
      <c r="B54" s="619"/>
      <c r="C54" s="20"/>
      <c r="D54" s="31"/>
      <c r="E54" s="20"/>
    </row>
    <row r="55" spans="1:5" x14ac:dyDescent="0.2">
      <c r="A55" s="20">
        <v>2</v>
      </c>
      <c r="B55" s="40"/>
      <c r="C55" s="20"/>
      <c r="D55" s="31"/>
      <c r="E55" s="20"/>
    </row>
    <row r="56" spans="1:5" x14ac:dyDescent="0.2">
      <c r="A56" s="20">
        <v>3</v>
      </c>
      <c r="B56" s="40"/>
      <c r="C56" s="20"/>
      <c r="D56" s="31"/>
      <c r="E56" s="20"/>
    </row>
    <row r="57" spans="1:5" x14ac:dyDescent="0.2">
      <c r="A57" s="20">
        <v>4</v>
      </c>
      <c r="B57" s="40"/>
      <c r="C57" s="20"/>
      <c r="D57" s="31"/>
      <c r="E57" s="20"/>
    </row>
    <row r="58" spans="1:5" x14ac:dyDescent="0.2">
      <c r="A58" s="34" t="str">
        <f>CONCATENATE("Total Expenditures for ",C6-1," Budgeted Year")</f>
        <v>Total Expenditures for 2024 Budgeted Year</v>
      </c>
      <c r="B58" s="620"/>
      <c r="C58" s="41"/>
      <c r="D58" s="42">
        <f>SUM(D18:D20,D22:D31,D37:D52,D54:D57)</f>
        <v>0</v>
      </c>
      <c r="E58" s="20"/>
    </row>
    <row r="59" spans="1:5" x14ac:dyDescent="0.2">
      <c r="A59" s="20" t="s">
        <v>198</v>
      </c>
      <c r="B59" s="620"/>
      <c r="C59" s="20"/>
      <c r="D59" s="20"/>
      <c r="E59" s="20"/>
    </row>
    <row r="60" spans="1:5" x14ac:dyDescent="0.2">
      <c r="A60" s="20">
        <v>1</v>
      </c>
      <c r="B60" s="619"/>
      <c r="C60" s="20"/>
      <c r="D60" s="20"/>
      <c r="E60" s="20"/>
    </row>
    <row r="61" spans="1:5" x14ac:dyDescent="0.2">
      <c r="A61" s="20">
        <v>2</v>
      </c>
      <c r="B61" s="40"/>
      <c r="C61" s="20"/>
      <c r="D61" s="20"/>
      <c r="E61" s="20"/>
    </row>
    <row r="62" spans="1:5" x14ac:dyDescent="0.2">
      <c r="A62" s="20">
        <v>3</v>
      </c>
      <c r="B62" s="40"/>
      <c r="C62" s="20"/>
      <c r="D62" s="20"/>
      <c r="E62" s="20"/>
    </row>
    <row r="63" spans="1:5" x14ac:dyDescent="0.2">
      <c r="A63" s="20">
        <v>4</v>
      </c>
      <c r="B63" s="40"/>
      <c r="C63" s="20"/>
      <c r="D63" s="20"/>
      <c r="E63" s="20"/>
    </row>
    <row r="64" spans="1:5" x14ac:dyDescent="0.2">
      <c r="A64" s="20">
        <v>5</v>
      </c>
      <c r="B64" s="40"/>
      <c r="C64" s="20"/>
      <c r="D64" s="20"/>
      <c r="E64" s="20"/>
    </row>
    <row r="65" spans="1:5" x14ac:dyDescent="0.2">
      <c r="A65" s="20" t="s">
        <v>199</v>
      </c>
      <c r="B65" s="620"/>
      <c r="C65" s="20"/>
      <c r="D65" s="20"/>
      <c r="E65" s="20"/>
    </row>
    <row r="66" spans="1:5" x14ac:dyDescent="0.2">
      <c r="A66" s="20">
        <v>1</v>
      </c>
      <c r="B66" s="619"/>
      <c r="C66" s="20"/>
      <c r="D66" s="20"/>
      <c r="E66" s="20"/>
    </row>
    <row r="67" spans="1:5" x14ac:dyDescent="0.2">
      <c r="A67" s="20">
        <v>2</v>
      </c>
      <c r="B67" s="40"/>
      <c r="C67" s="20"/>
      <c r="D67" s="20"/>
      <c r="E67" s="20"/>
    </row>
    <row r="68" spans="1:5" x14ac:dyDescent="0.2">
      <c r="A68" s="20">
        <v>3</v>
      </c>
      <c r="B68" s="40"/>
      <c r="C68" s="20"/>
      <c r="D68" s="20"/>
      <c r="E68" s="20"/>
    </row>
    <row r="69" spans="1:5" x14ac:dyDescent="0.2">
      <c r="A69" s="20">
        <v>4</v>
      </c>
      <c r="B69" s="40"/>
      <c r="C69" s="20"/>
      <c r="D69" s="20"/>
      <c r="E69" s="20"/>
    </row>
    <row r="70" spans="1:5" x14ac:dyDescent="0.2">
      <c r="A70" s="20">
        <v>5</v>
      </c>
      <c r="B70" s="40"/>
      <c r="C70" s="20"/>
      <c r="D70" s="20"/>
      <c r="E70" s="20"/>
    </row>
    <row r="71" spans="1:5" x14ac:dyDescent="0.2">
      <c r="A71" s="20" t="s">
        <v>200</v>
      </c>
      <c r="B71" s="620"/>
      <c r="C71" s="20"/>
      <c r="D71" s="20"/>
      <c r="E71" s="20"/>
    </row>
    <row r="72" spans="1:5" x14ac:dyDescent="0.2">
      <c r="A72" s="20">
        <v>1</v>
      </c>
      <c r="B72" s="619"/>
      <c r="C72" s="20"/>
      <c r="D72" s="20"/>
      <c r="E72" s="20"/>
    </row>
    <row r="73" spans="1:5" x14ac:dyDescent="0.2">
      <c r="A73" s="20">
        <v>2</v>
      </c>
      <c r="B73" s="40"/>
      <c r="C73" s="20"/>
      <c r="D73" s="20"/>
      <c r="E73" s="20"/>
    </row>
    <row r="74" spans="1:5" x14ac:dyDescent="0.2">
      <c r="A74" s="20">
        <v>3</v>
      </c>
      <c r="B74" s="40"/>
      <c r="C74" s="20"/>
      <c r="D74" s="20"/>
      <c r="E74" s="20"/>
    </row>
    <row r="75" spans="1:5" x14ac:dyDescent="0.2">
      <c r="A75" s="20">
        <v>4</v>
      </c>
      <c r="B75" s="40"/>
      <c r="C75" s="20"/>
      <c r="D75" s="20"/>
      <c r="E75" s="20"/>
    </row>
    <row r="76" spans="1:5" x14ac:dyDescent="0.2">
      <c r="A76" s="20">
        <v>5</v>
      </c>
      <c r="B76" s="40"/>
      <c r="C76" s="20"/>
      <c r="D76" s="20"/>
      <c r="E76" s="20"/>
    </row>
    <row r="77" spans="1:5" x14ac:dyDescent="0.2">
      <c r="A77" s="20" t="s">
        <v>201</v>
      </c>
      <c r="B77" s="620"/>
      <c r="C77" s="20"/>
      <c r="D77" s="20"/>
      <c r="E77" s="20"/>
    </row>
    <row r="78" spans="1:5" x14ac:dyDescent="0.2">
      <c r="A78" s="20">
        <v>1</v>
      </c>
      <c r="B78" s="619"/>
      <c r="C78" s="20"/>
      <c r="D78" s="20"/>
      <c r="E78" s="20"/>
    </row>
    <row r="79" spans="1:5" x14ac:dyDescent="0.2">
      <c r="A79" s="20">
        <v>2</v>
      </c>
      <c r="B79" s="40"/>
      <c r="C79" s="20"/>
      <c r="D79" s="20"/>
      <c r="E79" s="20"/>
    </row>
    <row r="80" spans="1:5" x14ac:dyDescent="0.2">
      <c r="A80" s="20">
        <v>3</v>
      </c>
      <c r="B80" s="40"/>
      <c r="C80" s="20"/>
      <c r="D80" s="20"/>
      <c r="E80" s="20"/>
    </row>
    <row r="81" spans="1:5" x14ac:dyDescent="0.2">
      <c r="A81" s="20">
        <v>4</v>
      </c>
      <c r="B81" s="40"/>
      <c r="C81" s="20"/>
      <c r="D81" s="20"/>
      <c r="E81" s="20"/>
    </row>
    <row r="82" spans="1:5" x14ac:dyDescent="0.2">
      <c r="A82" s="20">
        <v>5</v>
      </c>
      <c r="B82" s="40"/>
      <c r="C82" s="20"/>
      <c r="D82" s="20"/>
      <c r="E82" s="20"/>
    </row>
    <row r="83" spans="1:5" x14ac:dyDescent="0.2">
      <c r="A83" s="21"/>
      <c r="B83" s="20"/>
      <c r="C83" s="20"/>
      <c r="D83" s="20"/>
      <c r="E83" s="43"/>
    </row>
    <row r="84" spans="1:5" x14ac:dyDescent="0.2">
      <c r="A84" s="20"/>
      <c r="B84" s="20"/>
      <c r="C84" s="20"/>
      <c r="D84" s="20"/>
      <c r="E84" s="20"/>
    </row>
    <row r="85" spans="1:5" x14ac:dyDescent="0.2">
      <c r="A85" s="20"/>
      <c r="B85" s="20"/>
      <c r="C85" s="20"/>
      <c r="D85" s="624" t="str">
        <f>CONCATENATE("",C6-3," Tax Rate")</f>
        <v>2022 Tax Rate</v>
      </c>
      <c r="E85" s="20"/>
    </row>
    <row r="86" spans="1:5" x14ac:dyDescent="0.2">
      <c r="A86" s="622" t="str">
        <f>CONCATENATE("From the ",C6-1," Budget, Budget Summary Page")</f>
        <v>From the 2024 Budget, Budget Summary Page</v>
      </c>
      <c r="B86" s="623"/>
      <c r="C86" s="20"/>
      <c r="D86" s="625" t="str">
        <f>CONCATENATE("(",C6-2," Column)")</f>
        <v>(2023 Column)</v>
      </c>
      <c r="E86" s="20"/>
    </row>
    <row r="87" spans="1:5" x14ac:dyDescent="0.2">
      <c r="A87" s="20"/>
      <c r="B87" s="621" t="str">
        <f>B18</f>
        <v>General</v>
      </c>
      <c r="C87" s="20"/>
      <c r="D87" s="40"/>
      <c r="E87" s="20"/>
    </row>
    <row r="88" spans="1:5" x14ac:dyDescent="0.2">
      <c r="A88" s="20"/>
      <c r="B88" s="44" t="str">
        <f>B19</f>
        <v>Debt Service</v>
      </c>
      <c r="C88" s="20"/>
      <c r="D88" s="40"/>
      <c r="E88" s="20"/>
    </row>
    <row r="89" spans="1:5" x14ac:dyDescent="0.2">
      <c r="A89" s="20"/>
      <c r="B89" s="44" t="str">
        <f>B20</f>
        <v>Library</v>
      </c>
      <c r="C89" s="20"/>
      <c r="D89" s="40"/>
      <c r="E89" s="20"/>
    </row>
    <row r="90" spans="1:5" x14ac:dyDescent="0.2">
      <c r="A90" s="20"/>
      <c r="B90" s="44">
        <f>B22</f>
        <v>0</v>
      </c>
      <c r="C90" s="20"/>
      <c r="D90" s="40"/>
      <c r="E90" s="20"/>
    </row>
    <row r="91" spans="1:5" x14ac:dyDescent="0.2">
      <c r="A91" s="20"/>
      <c r="B91" s="44">
        <f t="shared" ref="B91:B99" si="0">B23</f>
        <v>0</v>
      </c>
      <c r="C91" s="20"/>
      <c r="D91" s="40"/>
      <c r="E91" s="20"/>
    </row>
    <row r="92" spans="1:5" x14ac:dyDescent="0.2">
      <c r="A92" s="20"/>
      <c r="B92" s="44">
        <f t="shared" si="0"/>
        <v>0</v>
      </c>
      <c r="C92" s="20"/>
      <c r="D92" s="40"/>
      <c r="E92" s="20"/>
    </row>
    <row r="93" spans="1:5" x14ac:dyDescent="0.2">
      <c r="A93" s="20"/>
      <c r="B93" s="44">
        <f t="shared" si="0"/>
        <v>0</v>
      </c>
      <c r="C93" s="20"/>
      <c r="D93" s="40"/>
      <c r="E93" s="20"/>
    </row>
    <row r="94" spans="1:5" x14ac:dyDescent="0.2">
      <c r="A94" s="20"/>
      <c r="B94" s="44">
        <f t="shared" si="0"/>
        <v>0</v>
      </c>
      <c r="C94" s="20"/>
      <c r="D94" s="40"/>
      <c r="E94" s="20"/>
    </row>
    <row r="95" spans="1:5" x14ac:dyDescent="0.2">
      <c r="A95" s="20"/>
      <c r="B95" s="44">
        <f t="shared" si="0"/>
        <v>0</v>
      </c>
      <c r="C95" s="20"/>
      <c r="D95" s="40"/>
      <c r="E95" s="20"/>
    </row>
    <row r="96" spans="1:5" x14ac:dyDescent="0.2">
      <c r="A96" s="20"/>
      <c r="B96" s="44">
        <f t="shared" si="0"/>
        <v>0</v>
      </c>
      <c r="C96" s="20"/>
      <c r="D96" s="40"/>
      <c r="E96" s="20"/>
    </row>
    <row r="97" spans="1:5" x14ac:dyDescent="0.2">
      <c r="A97" s="20"/>
      <c r="B97" s="44">
        <f t="shared" si="0"/>
        <v>0</v>
      </c>
      <c r="C97" s="20"/>
      <c r="D97" s="40"/>
      <c r="E97" s="20"/>
    </row>
    <row r="98" spans="1:5" x14ac:dyDescent="0.2">
      <c r="A98" s="20"/>
      <c r="B98" s="44">
        <f t="shared" si="0"/>
        <v>0</v>
      </c>
      <c r="C98" s="20"/>
      <c r="D98" s="40"/>
      <c r="E98" s="20"/>
    </row>
    <row r="99" spans="1:5" x14ac:dyDescent="0.2">
      <c r="A99" s="20"/>
      <c r="B99" s="44">
        <f t="shared" si="0"/>
        <v>0</v>
      </c>
      <c r="C99" s="20"/>
      <c r="D99" s="40"/>
      <c r="E99" s="20"/>
    </row>
    <row r="100" spans="1:5" x14ac:dyDescent="0.2">
      <c r="A100" s="20"/>
      <c r="B100" s="96" t="str">
        <f>B34</f>
        <v>Recreation</v>
      </c>
      <c r="C100" s="90"/>
      <c r="D100" s="40"/>
      <c r="E100" s="20"/>
    </row>
    <row r="101" spans="1:5" x14ac:dyDescent="0.2">
      <c r="A101" s="34" t="s">
        <v>35</v>
      </c>
      <c r="B101" s="35"/>
      <c r="C101" s="41"/>
      <c r="D101" s="45">
        <f>SUM(D87:D100)</f>
        <v>0</v>
      </c>
      <c r="E101" s="20"/>
    </row>
    <row r="102" spans="1:5" x14ac:dyDescent="0.2">
      <c r="A102" s="20"/>
      <c r="B102" s="20"/>
      <c r="C102" s="20"/>
      <c r="D102" s="20"/>
      <c r="E102" s="20"/>
    </row>
    <row r="103" spans="1:5" x14ac:dyDescent="0.2">
      <c r="A103" s="626" t="str">
        <f>CONCATENATE("Total Tax Levied (",C6-2," budget column)")</f>
        <v>Total Tax Levied (2023 budget column)</v>
      </c>
      <c r="B103" s="627"/>
      <c r="C103" s="35"/>
      <c r="D103" s="41"/>
      <c r="E103" s="31"/>
    </row>
    <row r="104" spans="1:5" x14ac:dyDescent="0.2">
      <c r="A104" s="626" t="str">
        <f>CONCATENATE("Assessed Valuation  (",C6-2," budget column)")</f>
        <v>Assessed Valuation  (2023 budget column)</v>
      </c>
      <c r="B104" s="627"/>
      <c r="C104" s="36"/>
      <c r="D104" s="46"/>
      <c r="E104" s="31"/>
    </row>
    <row r="105" spans="1:5" x14ac:dyDescent="0.2">
      <c r="A105" s="21"/>
      <c r="B105" s="20"/>
      <c r="C105" s="20"/>
      <c r="D105" s="20"/>
      <c r="E105" s="43"/>
    </row>
    <row r="106" spans="1:5" x14ac:dyDescent="0.2">
      <c r="A106" s="628" t="str">
        <f>CONCATENATE("From the ",C6-1," Budget, Budget Summary Page")</f>
        <v>From the 2024 Budget, Budget Summary Page</v>
      </c>
      <c r="B106" s="629"/>
      <c r="C106" s="20"/>
      <c r="D106" s="47"/>
      <c r="E106" s="48"/>
    </row>
    <row r="107" spans="1:5" x14ac:dyDescent="0.2">
      <c r="A107" s="630" t="s">
        <v>2</v>
      </c>
      <c r="B107" s="631"/>
      <c r="C107" s="49"/>
      <c r="D107" s="50">
        <f>C6-3</f>
        <v>2022</v>
      </c>
      <c r="E107" s="51">
        <f>C6-2</f>
        <v>2023</v>
      </c>
    </row>
    <row r="108" spans="1:5" x14ac:dyDescent="0.2">
      <c r="A108" s="632" t="s">
        <v>170</v>
      </c>
      <c r="B108" s="646"/>
      <c r="C108" s="52"/>
      <c r="D108" s="53"/>
      <c r="E108" s="53"/>
    </row>
    <row r="109" spans="1:5" x14ac:dyDescent="0.2">
      <c r="A109" s="633" t="s">
        <v>171</v>
      </c>
      <c r="B109" s="634"/>
      <c r="C109" s="55"/>
      <c r="D109" s="53"/>
      <c r="E109" s="53"/>
    </row>
    <row r="110" spans="1:5" x14ac:dyDescent="0.2">
      <c r="A110" s="633" t="s">
        <v>172</v>
      </c>
      <c r="B110" s="634"/>
      <c r="C110" s="55"/>
      <c r="D110" s="53"/>
      <c r="E110" s="53"/>
    </row>
    <row r="111" spans="1:5" x14ac:dyDescent="0.2">
      <c r="A111" s="633" t="s">
        <v>173</v>
      </c>
      <c r="B111" s="634"/>
      <c r="C111" s="55"/>
      <c r="D111" s="53"/>
      <c r="E111" s="53"/>
    </row>
    <row r="112" spans="1:5" x14ac:dyDescent="0.2">
      <c r="A112" s="56"/>
      <c r="B112" s="56"/>
      <c r="C112" s="56"/>
      <c r="D112" s="56"/>
      <c r="E112" s="56"/>
    </row>
    <row r="113" spans="1:5" x14ac:dyDescent="0.2">
      <c r="A113" s="56"/>
      <c r="B113" s="56"/>
      <c r="C113" s="56"/>
      <c r="D113" s="56"/>
      <c r="E113" s="56"/>
    </row>
    <row r="114" spans="1:5" x14ac:dyDescent="0.2">
      <c r="A114" s="56"/>
      <c r="B114" s="56"/>
      <c r="C114" s="56"/>
      <c r="D114" s="56"/>
      <c r="E114" s="56"/>
    </row>
    <row r="115" spans="1:5" x14ac:dyDescent="0.2">
      <c r="A115" s="56"/>
      <c r="B115" s="56"/>
      <c r="C115" s="56"/>
      <c r="D115" s="56"/>
      <c r="E115" s="56"/>
    </row>
    <row r="116" spans="1:5" x14ac:dyDescent="0.2">
      <c r="A116" s="56"/>
      <c r="B116" s="56"/>
      <c r="C116" s="56"/>
      <c r="D116" s="56"/>
      <c r="E116" s="56"/>
    </row>
    <row r="117" spans="1:5" x14ac:dyDescent="0.2">
      <c r="A117" s="56"/>
      <c r="B117" s="56"/>
      <c r="C117" s="56"/>
      <c r="D117" s="56"/>
      <c r="E117" s="56"/>
    </row>
    <row r="118" spans="1:5" x14ac:dyDescent="0.2">
      <c r="A118" s="56"/>
      <c r="B118" s="56"/>
      <c r="C118" s="56"/>
      <c r="D118" s="56"/>
      <c r="E118" s="56"/>
    </row>
    <row r="119" spans="1:5" x14ac:dyDescent="0.2">
      <c r="A119" s="56"/>
      <c r="B119" s="56"/>
      <c r="C119" s="56"/>
      <c r="D119" s="56"/>
      <c r="E119" s="56"/>
    </row>
    <row r="120" spans="1:5" x14ac:dyDescent="0.2">
      <c r="A120" s="56"/>
      <c r="B120" s="56"/>
      <c r="C120" s="56"/>
      <c r="D120" s="56"/>
      <c r="E120" s="56"/>
    </row>
    <row r="121" spans="1:5" x14ac:dyDescent="0.2">
      <c r="A121" s="56"/>
      <c r="B121" s="56"/>
      <c r="C121" s="56"/>
      <c r="D121" s="56"/>
      <c r="E121" s="56"/>
    </row>
    <row r="122" spans="1:5" s="56" customFormat="1" ht="15" x14ac:dyDescent="0.2"/>
    <row r="123" spans="1:5" x14ac:dyDescent="0.2">
      <c r="A123" s="56"/>
      <c r="B123" s="56"/>
      <c r="C123" s="56"/>
      <c r="D123" s="56"/>
      <c r="E123" s="56"/>
    </row>
    <row r="124" spans="1:5" x14ac:dyDescent="0.2">
      <c r="A124" s="56"/>
      <c r="B124" s="56"/>
      <c r="C124" s="56"/>
      <c r="D124" s="56"/>
      <c r="E124" s="56"/>
    </row>
    <row r="125" spans="1:5" x14ac:dyDescent="0.2">
      <c r="A125" s="56"/>
      <c r="B125" s="56"/>
      <c r="C125" s="56"/>
      <c r="D125" s="56"/>
      <c r="E125" s="56"/>
    </row>
    <row r="126" spans="1:5" x14ac:dyDescent="0.2">
      <c r="A126" s="56"/>
      <c r="B126" s="56"/>
      <c r="C126" s="56"/>
      <c r="D126" s="56"/>
      <c r="E126" s="56"/>
    </row>
    <row r="127" spans="1:5" x14ac:dyDescent="0.2">
      <c r="A127" s="56"/>
      <c r="B127" s="56"/>
      <c r="C127" s="56"/>
      <c r="D127" s="56"/>
      <c r="E127" s="56"/>
    </row>
    <row r="128" spans="1:5" x14ac:dyDescent="0.2">
      <c r="A128" s="56"/>
      <c r="B128" s="56"/>
      <c r="C128" s="56"/>
      <c r="D128" s="56"/>
      <c r="E128" s="56"/>
    </row>
    <row r="129" spans="1:5" x14ac:dyDescent="0.2">
      <c r="A129" s="56"/>
      <c r="B129" s="56"/>
      <c r="C129" s="56"/>
      <c r="D129" s="56"/>
      <c r="E129" s="56"/>
    </row>
  </sheetData>
  <sheetProtection sheet="1"/>
  <mergeCells count="6">
    <mergeCell ref="A11:E11"/>
    <mergeCell ref="A1:E1"/>
    <mergeCell ref="A8:E10"/>
    <mergeCell ref="G13:H19"/>
    <mergeCell ref="D3:E3"/>
    <mergeCell ref="D4:E4"/>
  </mergeCells>
  <phoneticPr fontId="0" type="noConversion"/>
  <pageMargins left="0.5" right="0.5" top="1" bottom="0.5" header="0.5" footer="0.25"/>
  <pageSetup scale="75"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B0F0"/>
    <pageSetUpPr fitToPage="1"/>
  </sheetPr>
  <dimension ref="B1:K99"/>
  <sheetViews>
    <sheetView zoomScaleNormal="100" workbookViewId="0">
      <selection activeCell="B8" sqref="B8"/>
    </sheetView>
  </sheetViews>
  <sheetFormatPr defaultColWidth="8.88671875" defaultRowHeight="15.75" x14ac:dyDescent="0.2"/>
  <cols>
    <col min="1" max="1" width="2.44140625" style="18" customWidth="1"/>
    <col min="2" max="2" width="31.109375" style="18" customWidth="1"/>
    <col min="3" max="4" width="15.77734375" style="18" customWidth="1"/>
    <col min="5" max="5" width="16.109375" style="18" customWidth="1"/>
    <col min="6" max="6" width="8.109375" style="18" customWidth="1"/>
    <col min="7" max="7" width="10.21875" style="18" customWidth="1"/>
    <col min="8" max="8" width="8.88671875" style="18"/>
    <col min="9" max="9" width="5.5546875" style="18" customWidth="1"/>
    <col min="10" max="10" width="10" style="18" customWidth="1"/>
    <col min="11" max="16384" width="8.88671875" style="18"/>
  </cols>
  <sheetData>
    <row r="1" spans="2:10" x14ac:dyDescent="0.2">
      <c r="B1" s="39">
        <f>(inputPrYr!D3)</f>
        <v>0</v>
      </c>
      <c r="C1" s="20"/>
      <c r="D1" s="20"/>
      <c r="E1" s="73">
        <f>inputPrYr!C6</f>
        <v>2025</v>
      </c>
    </row>
    <row r="2" spans="2:10" x14ac:dyDescent="0.2">
      <c r="B2" s="20"/>
      <c r="C2" s="20"/>
      <c r="D2" s="20"/>
      <c r="E2" s="101"/>
    </row>
    <row r="3" spans="2:10" x14ac:dyDescent="0.2">
      <c r="B3" s="154" t="s">
        <v>125</v>
      </c>
      <c r="C3" s="110"/>
      <c r="D3" s="110"/>
      <c r="E3" s="126"/>
    </row>
    <row r="4" spans="2:10" x14ac:dyDescent="0.2">
      <c r="B4" s="21" t="s">
        <v>59</v>
      </c>
      <c r="C4" s="292" t="s">
        <v>377</v>
      </c>
      <c r="D4" s="291" t="s">
        <v>378</v>
      </c>
      <c r="E4" s="271" t="s">
        <v>379</v>
      </c>
    </row>
    <row r="5" spans="2:10" x14ac:dyDescent="0.2">
      <c r="B5" s="357">
        <f>inputPrYr!B28</f>
        <v>0</v>
      </c>
      <c r="C5" s="293" t="str">
        <f>CONCATENATE("Actual for ",E1-2,"")</f>
        <v>Actual for 2023</v>
      </c>
      <c r="D5" s="293" t="str">
        <f>CONCATENATE("Estimate for ",E1-1,"")</f>
        <v>Estimate for 2024</v>
      </c>
      <c r="E5" s="279" t="str">
        <f>CONCATENATE("Year for ",E1,"")</f>
        <v>Year for 2025</v>
      </c>
    </row>
    <row r="6" spans="2:10" x14ac:dyDescent="0.2">
      <c r="B6" s="158" t="s">
        <v>140</v>
      </c>
      <c r="C6" s="163"/>
      <c r="D6" s="161">
        <f>C33</f>
        <v>0</v>
      </c>
      <c r="E6" s="134">
        <f>D33</f>
        <v>0</v>
      </c>
    </row>
    <row r="7" spans="2:10" x14ac:dyDescent="0.2">
      <c r="B7" s="162" t="s">
        <v>142</v>
      </c>
      <c r="C7" s="96"/>
      <c r="D7" s="96"/>
      <c r="E7" s="44"/>
    </row>
    <row r="8" spans="2:10" x14ac:dyDescent="0.2">
      <c r="B8" s="87" t="s">
        <v>60</v>
      </c>
      <c r="C8" s="163"/>
      <c r="D8" s="161">
        <f>IF(inputPrYr!H21&gt;0,inputPrYr!G32,inputPrYr!E28)</f>
        <v>0</v>
      </c>
      <c r="E8" s="189" t="s">
        <v>49</v>
      </c>
    </row>
    <row r="9" spans="2:10" x14ac:dyDescent="0.2">
      <c r="B9" s="87" t="s">
        <v>61</v>
      </c>
      <c r="C9" s="163"/>
      <c r="D9" s="163"/>
      <c r="E9" s="31"/>
    </row>
    <row r="10" spans="2:10" x14ac:dyDescent="0.2">
      <c r="B10" s="87" t="s">
        <v>62</v>
      </c>
      <c r="C10" s="163"/>
      <c r="D10" s="163"/>
      <c r="E10" s="134" t="str">
        <f>Mvalloc!D16</f>
        <v xml:space="preserve">  </v>
      </c>
      <c r="G10" s="889" t="str">
        <f>CONCATENATE("Desired Carryover Into ",E1+1,"")</f>
        <v>Desired Carryover Into 2026</v>
      </c>
      <c r="H10" s="870"/>
      <c r="I10" s="870"/>
      <c r="J10" s="871"/>
    </row>
    <row r="11" spans="2:10" x14ac:dyDescent="0.2">
      <c r="B11" s="87" t="s">
        <v>63</v>
      </c>
      <c r="C11" s="163"/>
      <c r="D11" s="163"/>
      <c r="E11" s="134" t="str">
        <f>Mvalloc!E16</f>
        <v xml:space="preserve"> </v>
      </c>
      <c r="G11" s="538"/>
      <c r="H11" s="539"/>
      <c r="I11" s="540"/>
      <c r="J11" s="541"/>
    </row>
    <row r="12" spans="2:10" x14ac:dyDescent="0.2">
      <c r="B12" s="96" t="s">
        <v>132</v>
      </c>
      <c r="C12" s="163"/>
      <c r="D12" s="163"/>
      <c r="E12" s="134" t="str">
        <f>Mvalloc!F16</f>
        <v xml:space="preserve"> </v>
      </c>
      <c r="G12" s="542" t="s">
        <v>368</v>
      </c>
      <c r="H12" s="540"/>
      <c r="I12" s="540"/>
      <c r="J12" s="543">
        <v>0</v>
      </c>
    </row>
    <row r="13" spans="2:10" x14ac:dyDescent="0.2">
      <c r="B13" s="158" t="s">
        <v>518</v>
      </c>
      <c r="C13" s="163"/>
      <c r="D13" s="163"/>
      <c r="E13" s="134" t="str">
        <f>Mvalloc!G16</f>
        <v xml:space="preserve"> </v>
      </c>
      <c r="G13" s="538" t="s">
        <v>369</v>
      </c>
      <c r="H13" s="539"/>
      <c r="I13" s="539"/>
      <c r="J13" s="544" t="str">
        <f>IF(J12=0,"",ROUND((J12+E39-G25)/inputOth!E9*1000,3)-G30)</f>
        <v/>
      </c>
    </row>
    <row r="14" spans="2:10" x14ac:dyDescent="0.2">
      <c r="B14" s="158" t="s">
        <v>519</v>
      </c>
      <c r="C14" s="163"/>
      <c r="D14" s="163"/>
      <c r="E14" s="134" t="str">
        <f>Mvalloc!H16</f>
        <v xml:space="preserve"> </v>
      </c>
      <c r="G14" s="545" t="str">
        <f>CONCATENATE("",E1," Tot Exp/Non-Appr Must Be:")</f>
        <v>2025 Tot Exp/Non-Appr Must Be:</v>
      </c>
      <c r="H14" s="546"/>
      <c r="I14" s="547"/>
      <c r="J14" s="548">
        <f>IF(J12&gt;0,IF(E36&lt;E22,IF(J12=G25,E36,((J12-G25)*(1-D38))+E22),E36+(J12-G25)),0)</f>
        <v>0</v>
      </c>
    </row>
    <row r="15" spans="2:10" x14ac:dyDescent="0.2">
      <c r="B15" s="179"/>
      <c r="C15" s="163"/>
      <c r="D15" s="163"/>
      <c r="E15" s="31"/>
      <c r="G15" s="549" t="s">
        <v>380</v>
      </c>
      <c r="H15" s="550"/>
      <c r="I15" s="550"/>
      <c r="J15" s="518">
        <f>IF(J12&gt;0,J14-E36,0)</f>
        <v>0</v>
      </c>
    </row>
    <row r="16" spans="2:10" x14ac:dyDescent="0.25">
      <c r="B16" s="179"/>
      <c r="C16" s="163"/>
      <c r="D16" s="163"/>
      <c r="E16" s="31"/>
      <c r="J16" s="2"/>
    </row>
    <row r="17" spans="2:11" x14ac:dyDescent="0.2">
      <c r="B17" s="167" t="s">
        <v>67</v>
      </c>
      <c r="C17" s="163"/>
      <c r="D17" s="163"/>
      <c r="E17" s="31"/>
      <c r="G17" s="889" t="str">
        <f>CONCATENATE("Projected Carryover Into ",E1+1,"")</f>
        <v>Projected Carryover Into 2026</v>
      </c>
      <c r="H17" s="896"/>
      <c r="I17" s="896"/>
      <c r="J17" s="892"/>
    </row>
    <row r="18" spans="2:11" x14ac:dyDescent="0.25">
      <c r="B18" s="180" t="s">
        <v>8</v>
      </c>
      <c r="C18" s="163"/>
      <c r="D18" s="163"/>
      <c r="E18" s="666">
        <f>'NR Rebate'!E15*-1</f>
        <v>0</v>
      </c>
      <c r="G18" s="538"/>
      <c r="H18" s="540"/>
      <c r="I18" s="540"/>
      <c r="J18" s="564"/>
    </row>
    <row r="19" spans="2:11" x14ac:dyDescent="0.25">
      <c r="B19" s="96" t="s">
        <v>9</v>
      </c>
      <c r="C19" s="163"/>
      <c r="D19" s="163"/>
      <c r="E19" s="31"/>
      <c r="G19" s="565">
        <f>D33</f>
        <v>0</v>
      </c>
      <c r="H19" s="530" t="str">
        <f>CONCATENATE("",E1-1," Ending Cash Balance (est.)")</f>
        <v>2024 Ending Cash Balance (est.)</v>
      </c>
      <c r="I19" s="566"/>
      <c r="J19" s="564"/>
    </row>
    <row r="20" spans="2:11" x14ac:dyDescent="0.25">
      <c r="B20" s="158" t="s">
        <v>370</v>
      </c>
      <c r="C20" s="168" t="str">
        <f>IF(C21*0.1&lt;C19,"Exceed 10% Rule","")</f>
        <v/>
      </c>
      <c r="D20" s="168" t="str">
        <f>IF(D21*0.1&lt;D19,"Exceed 10% Rule","")</f>
        <v/>
      </c>
      <c r="E20" s="202" t="str">
        <f>IF(E21*0.1+E39&lt;E19,"Exceed 10% Rule","")</f>
        <v/>
      </c>
      <c r="G20" s="565">
        <f>E21</f>
        <v>0</v>
      </c>
      <c r="H20" s="540" t="str">
        <f>CONCATENATE("",E1," Non-AV Receipts (est.)")</f>
        <v>2025 Non-AV Receipts (est.)</v>
      </c>
      <c r="I20" s="566"/>
      <c r="J20" s="564"/>
    </row>
    <row r="21" spans="2:11" x14ac:dyDescent="0.2">
      <c r="B21" s="170" t="s">
        <v>68</v>
      </c>
      <c r="C21" s="172">
        <f>SUM(C8:C19)</f>
        <v>0</v>
      </c>
      <c r="D21" s="172">
        <f>SUM(D8:D19)</f>
        <v>0</v>
      </c>
      <c r="E21" s="173">
        <f>SUM(E8:E19)</f>
        <v>0</v>
      </c>
      <c r="G21" s="567">
        <f>IF(E38&gt;0,E37,E39)</f>
        <v>0</v>
      </c>
      <c r="H21" s="540" t="str">
        <f>CONCATENATE("",E1," Ad Valorem Tax (est.)")</f>
        <v>2025 Ad Valorem Tax (est.)</v>
      </c>
      <c r="I21" s="566"/>
      <c r="J21" s="552"/>
      <c r="K21" s="523" t="str">
        <f>IF(G21=E39,"","Note: Does not include Delinquent Taxes")</f>
        <v/>
      </c>
    </row>
    <row r="22" spans="2:11" x14ac:dyDescent="0.25">
      <c r="B22" s="170" t="s">
        <v>69</v>
      </c>
      <c r="C22" s="172">
        <f>C6+C21</f>
        <v>0</v>
      </c>
      <c r="D22" s="172">
        <f>D6+D21</f>
        <v>0</v>
      </c>
      <c r="E22" s="173">
        <f>E6+E21</f>
        <v>0</v>
      </c>
      <c r="G22" s="565">
        <f>SUM(G19:G21)</f>
        <v>0</v>
      </c>
      <c r="H22" s="540" t="str">
        <f>CONCATENATE("Total ",E1," Resources Available")</f>
        <v>Total 2025 Resources Available</v>
      </c>
      <c r="I22" s="566"/>
      <c r="J22" s="564"/>
    </row>
    <row r="23" spans="2:11" x14ac:dyDescent="0.25">
      <c r="B23" s="87" t="s">
        <v>71</v>
      </c>
      <c r="C23" s="180"/>
      <c r="D23" s="180"/>
      <c r="E23" s="30"/>
      <c r="G23" s="579"/>
      <c r="H23" s="540"/>
      <c r="I23" s="540"/>
      <c r="J23" s="564"/>
    </row>
    <row r="24" spans="2:11" x14ac:dyDescent="0.25">
      <c r="B24" s="179"/>
      <c r="C24" s="163"/>
      <c r="D24" s="163"/>
      <c r="E24" s="31"/>
      <c r="G24" s="567">
        <f>ROUND(C32*0.05+C32,0)</f>
        <v>0</v>
      </c>
      <c r="H24" s="540" t="str">
        <f>CONCATENATE("Less ",E1-2," Expenditures + 5%")</f>
        <v>Less 2023 Expenditures + 5%</v>
      </c>
      <c r="I24" s="566"/>
      <c r="J24" s="564"/>
    </row>
    <row r="25" spans="2:11" x14ac:dyDescent="0.25">
      <c r="B25" s="179"/>
      <c r="C25" s="163"/>
      <c r="D25" s="163"/>
      <c r="E25" s="31"/>
      <c r="G25" s="580">
        <f>G22-G24</f>
        <v>0</v>
      </c>
      <c r="H25" s="581" t="str">
        <f>CONCATENATE("Projected ",E1+1," carryover (est.)")</f>
        <v>Projected 2026 carryover (est.)</v>
      </c>
      <c r="I25" s="582"/>
      <c r="J25" s="577"/>
    </row>
    <row r="26" spans="2:11" x14ac:dyDescent="0.25">
      <c r="B26" s="179"/>
      <c r="C26" s="163"/>
      <c r="D26" s="163"/>
      <c r="E26" s="31"/>
      <c r="G26" s="2"/>
      <c r="H26" s="2"/>
      <c r="I26" s="2"/>
      <c r="J26" s="2"/>
    </row>
    <row r="27" spans="2:11" x14ac:dyDescent="0.2">
      <c r="B27" s="179"/>
      <c r="C27" s="163"/>
      <c r="D27" s="163"/>
      <c r="E27" s="31"/>
      <c r="G27" s="872" t="s">
        <v>648</v>
      </c>
      <c r="H27" s="873"/>
      <c r="I27" s="873"/>
      <c r="J27" s="874"/>
    </row>
    <row r="28" spans="2:11" x14ac:dyDescent="0.2">
      <c r="B28" s="179"/>
      <c r="C28" s="163"/>
      <c r="D28" s="163"/>
      <c r="E28" s="31"/>
      <c r="G28" s="875"/>
      <c r="H28" s="876"/>
      <c r="I28" s="876"/>
      <c r="J28" s="877"/>
    </row>
    <row r="29" spans="2:11" x14ac:dyDescent="0.2">
      <c r="B29" s="180" t="str">
        <f>CONCATENATE("Cash Reserve (",E1," column)")</f>
        <v>Cash Reserve (2025 column)</v>
      </c>
      <c r="C29" s="163"/>
      <c r="D29" s="163"/>
      <c r="E29" s="31"/>
      <c r="G29" s="533" t="str">
        <f>'Budget Hearing Notice'!H24</f>
        <v xml:space="preserve">  </v>
      </c>
      <c r="H29" s="530" t="str">
        <f>CONCATENATE("",E1," Estimated Fund Mill Rate")</f>
        <v>2025 Estimated Fund Mill Rate</v>
      </c>
      <c r="I29" s="531"/>
      <c r="J29" s="532"/>
    </row>
    <row r="30" spans="2:11" x14ac:dyDescent="0.2">
      <c r="B30" s="180" t="s">
        <v>9</v>
      </c>
      <c r="C30" s="163"/>
      <c r="D30" s="163"/>
      <c r="E30" s="31"/>
      <c r="G30" s="729" t="str">
        <f>'Budget Hearing Notice'!E24</f>
        <v xml:space="preserve">  </v>
      </c>
      <c r="H30" s="530" t="str">
        <f>CONCATENATE("",E1-1," Fund Mill Rate")</f>
        <v>2024 Fund Mill Rate</v>
      </c>
      <c r="I30" s="531"/>
      <c r="J30" s="532"/>
    </row>
    <row r="31" spans="2:11" x14ac:dyDescent="0.2">
      <c r="B31" s="180" t="s">
        <v>371</v>
      </c>
      <c r="C31" s="168" t="str">
        <f>IF(C32*0.1&lt;C30,"Exceed 10% Rule","")</f>
        <v/>
      </c>
      <c r="D31" s="168" t="str">
        <f>IF(D32*0.1&lt;D30,"Exceed 10% Rule","")</f>
        <v/>
      </c>
      <c r="E31" s="202" t="str">
        <f>IF(E32*0.1&lt;E30,"Exceed 10% Rule","")</f>
        <v/>
      </c>
      <c r="G31" s="730">
        <f>'Budget Hearing Notice'!H53</f>
        <v>0</v>
      </c>
      <c r="H31" s="731" t="s">
        <v>649</v>
      </c>
      <c r="I31" s="531"/>
      <c r="J31" s="532"/>
    </row>
    <row r="32" spans="2:11" x14ac:dyDescent="0.2">
      <c r="B32" s="170" t="s">
        <v>75</v>
      </c>
      <c r="C32" s="172">
        <f>SUM(C24:C30)</f>
        <v>0</v>
      </c>
      <c r="D32" s="172">
        <f>SUM(D24:D30)</f>
        <v>0</v>
      </c>
      <c r="E32" s="173">
        <f>SUM(E24:E30)</f>
        <v>0</v>
      </c>
      <c r="G32" s="533">
        <f>'Budget Hearing Notice'!H52</f>
        <v>0</v>
      </c>
      <c r="H32" s="530" t="str">
        <f>CONCATENATE(E1," Estimated Total Mill Rate")</f>
        <v>2025 Estimated Total Mill Rate</v>
      </c>
      <c r="I32" s="531"/>
      <c r="J32" s="532"/>
    </row>
    <row r="33" spans="2:10" x14ac:dyDescent="0.2">
      <c r="B33" s="87" t="s">
        <v>141</v>
      </c>
      <c r="C33" s="176">
        <f>C22-C32</f>
        <v>0</v>
      </c>
      <c r="D33" s="176">
        <f>D22-D32</f>
        <v>0</v>
      </c>
      <c r="E33" s="189" t="s">
        <v>49</v>
      </c>
      <c r="G33" s="534">
        <f>'Budget Hearing Notice'!E52</f>
        <v>0</v>
      </c>
      <c r="H33" s="530" t="str">
        <f>CONCATENATE(E1-1," Total Mill Rate")</f>
        <v>2024 Total Mill Rate</v>
      </c>
      <c r="I33" s="531"/>
      <c r="J33" s="532"/>
    </row>
    <row r="34" spans="2:10" x14ac:dyDescent="0.2">
      <c r="B34" s="102" t="str">
        <f>CONCATENATE("",E1-2,"/",E1-1,"/",E1," Budget Authority Amount:")</f>
        <v>2023/2024/2025 Budget Authority Amount:</v>
      </c>
      <c r="C34" s="612">
        <f>inputOth!B75</f>
        <v>0</v>
      </c>
      <c r="D34" s="584">
        <f>inputPrYr!D28</f>
        <v>0</v>
      </c>
      <c r="E34" s="134">
        <f>E32</f>
        <v>0</v>
      </c>
      <c r="G34" s="563"/>
      <c r="H34" s="539"/>
      <c r="I34" s="539"/>
      <c r="J34" s="570"/>
    </row>
    <row r="35" spans="2:10" x14ac:dyDescent="0.2">
      <c r="B35" s="73"/>
      <c r="C35" s="861" t="s">
        <v>329</v>
      </c>
      <c r="D35" s="862"/>
      <c r="E35" s="31"/>
      <c r="F35" s="181"/>
      <c r="G35" s="878" t="s">
        <v>650</v>
      </c>
      <c r="H35" s="879"/>
      <c r="I35" s="879"/>
      <c r="J35" s="882" t="str">
        <f>IF(G32&gt;G31, "Yes", "No")</f>
        <v>No</v>
      </c>
    </row>
    <row r="36" spans="2:10" x14ac:dyDescent="0.2">
      <c r="B36" s="354" t="str">
        <f>CONCATENATE(C96,"     ",D96)</f>
        <v xml:space="preserve">     </v>
      </c>
      <c r="C36" s="863" t="s">
        <v>330</v>
      </c>
      <c r="D36" s="864"/>
      <c r="E36" s="134">
        <f>E32+E35</f>
        <v>0</v>
      </c>
      <c r="F36" s="604" t="str">
        <f>IF(E32/0.95-E32&lt;E35,"Exceeds 5%","")</f>
        <v/>
      </c>
      <c r="G36" s="880"/>
      <c r="H36" s="881"/>
      <c r="I36" s="881"/>
      <c r="J36" s="883"/>
    </row>
    <row r="37" spans="2:10" x14ac:dyDescent="0.2">
      <c r="B37" s="354" t="str">
        <f>CONCATENATE(C97,"     ",D97)</f>
        <v xml:space="preserve">     </v>
      </c>
      <c r="C37" s="182"/>
      <c r="D37" s="101" t="s">
        <v>76</v>
      </c>
      <c r="E37" s="42">
        <f>IF(E36-E22&gt;0,E36-E22,0)</f>
        <v>0</v>
      </c>
      <c r="G37" s="859" t="str">
        <f>IF(J35="Yes", "Follow procedure prescribed by KSA 79-2988 to exceed the Revenue Neutral Rate.", " ")</f>
        <v xml:space="preserve"> </v>
      </c>
      <c r="H37" s="859"/>
      <c r="I37" s="859"/>
      <c r="J37" s="859"/>
    </row>
    <row r="38" spans="2:10" x14ac:dyDescent="0.2">
      <c r="B38" s="101"/>
      <c r="C38" s="258" t="s">
        <v>328</v>
      </c>
      <c r="D38" s="493">
        <f>inputOth!$E$53</f>
        <v>0</v>
      </c>
      <c r="E38" s="134">
        <f>ROUND(IF(D38&gt;0,(E37*D38),0),0)</f>
        <v>0</v>
      </c>
      <c r="G38" s="860"/>
      <c r="H38" s="860"/>
      <c r="I38" s="860"/>
      <c r="J38" s="860"/>
    </row>
    <row r="39" spans="2:10" ht="16.5" thickBot="1" x14ac:dyDescent="0.25">
      <c r="B39" s="20"/>
      <c r="C39" s="865" t="str">
        <f>CONCATENATE("Amount of  ",$E$1-1," Ad Valorem Tax")</f>
        <v>Amount of  2024 Ad Valorem Tax</v>
      </c>
      <c r="D39" s="866"/>
      <c r="E39" s="496">
        <f>E37+E38</f>
        <v>0</v>
      </c>
      <c r="G39" s="860"/>
      <c r="H39" s="860"/>
      <c r="I39" s="860"/>
      <c r="J39" s="860"/>
    </row>
    <row r="40" spans="2:10" ht="16.5" thickTop="1" x14ac:dyDescent="0.2">
      <c r="B40" s="20"/>
      <c r="C40" s="20"/>
      <c r="D40" s="20"/>
      <c r="E40" s="20"/>
    </row>
    <row r="41" spans="2:10" x14ac:dyDescent="0.2">
      <c r="B41" s="21"/>
      <c r="C41" s="79"/>
      <c r="D41" s="79"/>
      <c r="E41" s="79"/>
    </row>
    <row r="42" spans="2:10" x14ac:dyDescent="0.2">
      <c r="B42" s="21" t="s">
        <v>59</v>
      </c>
      <c r="C42" s="292" t="s">
        <v>377</v>
      </c>
      <c r="D42" s="291" t="s">
        <v>378</v>
      </c>
      <c r="E42" s="271" t="s">
        <v>379</v>
      </c>
    </row>
    <row r="43" spans="2:10" x14ac:dyDescent="0.2">
      <c r="B43" s="357">
        <f>inputPrYr!B29</f>
        <v>0</v>
      </c>
      <c r="C43" s="293" t="str">
        <f>CONCATENATE("Actual for ",E1-2,"")</f>
        <v>Actual for 2023</v>
      </c>
      <c r="D43" s="293" t="str">
        <f>CONCATENATE("Estimate for ",E1-1,"")</f>
        <v>Estimate for 2024</v>
      </c>
      <c r="E43" s="279" t="str">
        <f>CONCATENATE("Year for ",E1,"")</f>
        <v>Year for 2025</v>
      </c>
    </row>
    <row r="44" spans="2:10" x14ac:dyDescent="0.2">
      <c r="B44" s="158" t="s">
        <v>140</v>
      </c>
      <c r="C44" s="163"/>
      <c r="D44" s="161">
        <f>C72</f>
        <v>0</v>
      </c>
      <c r="E44" s="134">
        <f>D72</f>
        <v>0</v>
      </c>
    </row>
    <row r="45" spans="2:10" x14ac:dyDescent="0.2">
      <c r="B45" s="162" t="s">
        <v>142</v>
      </c>
      <c r="C45" s="96"/>
      <c r="D45" s="96"/>
      <c r="E45" s="44"/>
    </row>
    <row r="46" spans="2:10" x14ac:dyDescent="0.2">
      <c r="B46" s="87" t="s">
        <v>60</v>
      </c>
      <c r="C46" s="163"/>
      <c r="D46" s="161">
        <f>IF(inputPrYr!H21&gt;0,inputPrYr!G33,inputPrYr!E29)</f>
        <v>0</v>
      </c>
      <c r="E46" s="189" t="s">
        <v>49</v>
      </c>
    </row>
    <row r="47" spans="2:10" x14ac:dyDescent="0.2">
      <c r="B47" s="87" t="s">
        <v>61</v>
      </c>
      <c r="C47" s="163"/>
      <c r="D47" s="163"/>
      <c r="E47" s="31"/>
    </row>
    <row r="48" spans="2:10" x14ac:dyDescent="0.2">
      <c r="B48" s="87" t="s">
        <v>62</v>
      </c>
      <c r="C48" s="163"/>
      <c r="D48" s="163"/>
      <c r="E48" s="134" t="str">
        <f>Mvalloc!D17</f>
        <v xml:space="preserve">  </v>
      </c>
    </row>
    <row r="49" spans="2:11" x14ac:dyDescent="0.2">
      <c r="B49" s="87" t="s">
        <v>63</v>
      </c>
      <c r="C49" s="163"/>
      <c r="D49" s="163"/>
      <c r="E49" s="134" t="str">
        <f>Mvalloc!E17</f>
        <v xml:space="preserve"> </v>
      </c>
      <c r="G49" s="889" t="str">
        <f>CONCATENATE("Desired Carryover Into ",E1+1,"")</f>
        <v>Desired Carryover Into 2026</v>
      </c>
      <c r="H49" s="870"/>
      <c r="I49" s="870"/>
      <c r="J49" s="871"/>
    </row>
    <row r="50" spans="2:11" x14ac:dyDescent="0.2">
      <c r="B50" s="96" t="s">
        <v>132</v>
      </c>
      <c r="C50" s="163"/>
      <c r="D50" s="163"/>
      <c r="E50" s="134" t="str">
        <f>Mvalloc!F17</f>
        <v xml:space="preserve"> </v>
      </c>
      <c r="G50" s="538"/>
      <c r="H50" s="539"/>
      <c r="I50" s="540"/>
      <c r="J50" s="541"/>
    </row>
    <row r="51" spans="2:11" x14ac:dyDescent="0.2">
      <c r="B51" s="158" t="s">
        <v>518</v>
      </c>
      <c r="C51" s="163"/>
      <c r="D51" s="163"/>
      <c r="E51" s="134" t="str">
        <f>Mvalloc!G17</f>
        <v xml:space="preserve"> </v>
      </c>
      <c r="G51" s="542" t="s">
        <v>368</v>
      </c>
      <c r="H51" s="540"/>
      <c r="I51" s="540"/>
      <c r="J51" s="543">
        <v>0</v>
      </c>
    </row>
    <row r="52" spans="2:11" x14ac:dyDescent="0.2">
      <c r="B52" s="158" t="s">
        <v>519</v>
      </c>
      <c r="C52" s="163"/>
      <c r="D52" s="163"/>
      <c r="E52" s="134" t="str">
        <f>Mvalloc!H17</f>
        <v xml:space="preserve"> </v>
      </c>
      <c r="G52" s="538" t="s">
        <v>369</v>
      </c>
      <c r="H52" s="539"/>
      <c r="I52" s="539"/>
      <c r="J52" s="544" t="str">
        <f>IF(J51=0,"",ROUND((J51+E78-G64)/inputOth!E9*1000,3)-G69)</f>
        <v/>
      </c>
    </row>
    <row r="53" spans="2:11" x14ac:dyDescent="0.2">
      <c r="B53" s="179"/>
      <c r="C53" s="163"/>
      <c r="D53" s="163"/>
      <c r="E53" s="31"/>
      <c r="G53" s="545" t="str">
        <f>CONCATENATE("",E1," Tot Exp/Non-Appr Must Be:")</f>
        <v>2025 Tot Exp/Non-Appr Must Be:</v>
      </c>
      <c r="H53" s="546"/>
      <c r="I53" s="547"/>
      <c r="J53" s="548">
        <f>IF(J51&gt;0,IF(E75&lt;E61,IF(J51=G64,E75,((J51-G64)*(1-D77))+E61),E75+(J51-G64)),0)</f>
        <v>0</v>
      </c>
    </row>
    <row r="54" spans="2:11" x14ac:dyDescent="0.2">
      <c r="B54" s="179"/>
      <c r="C54" s="163"/>
      <c r="D54" s="163"/>
      <c r="E54" s="31"/>
      <c r="G54" s="549" t="s">
        <v>380</v>
      </c>
      <c r="H54" s="550"/>
      <c r="I54" s="550"/>
      <c r="J54" s="518">
        <f>IF(J51&gt;0,J53-E75,0)</f>
        <v>0</v>
      </c>
    </row>
    <row r="55" spans="2:11" x14ac:dyDescent="0.25">
      <c r="B55" s="179"/>
      <c r="C55" s="163"/>
      <c r="D55" s="163"/>
      <c r="E55" s="31"/>
      <c r="J55" s="2"/>
    </row>
    <row r="56" spans="2:11" x14ac:dyDescent="0.2">
      <c r="B56" s="167" t="s">
        <v>67</v>
      </c>
      <c r="C56" s="163"/>
      <c r="D56" s="163"/>
      <c r="E56" s="31"/>
      <c r="G56" s="889" t="str">
        <f>CONCATENATE("Projected Carryover Into ",E1+1,"")</f>
        <v>Projected Carryover Into 2026</v>
      </c>
      <c r="H56" s="891"/>
      <c r="I56" s="891"/>
      <c r="J56" s="892"/>
    </row>
    <row r="57" spans="2:11" x14ac:dyDescent="0.2">
      <c r="B57" s="180" t="s">
        <v>8</v>
      </c>
      <c r="C57" s="163"/>
      <c r="D57" s="163"/>
      <c r="E57" s="666">
        <f>'NR Rebate'!E16*-1</f>
        <v>0</v>
      </c>
      <c r="G57" s="563"/>
      <c r="H57" s="539"/>
      <c r="I57" s="539"/>
      <c r="J57" s="570"/>
    </row>
    <row r="58" spans="2:11" x14ac:dyDescent="0.2">
      <c r="B58" s="96" t="s">
        <v>9</v>
      </c>
      <c r="C58" s="163"/>
      <c r="D58" s="163"/>
      <c r="E58" s="31"/>
      <c r="G58" s="565">
        <f>D72</f>
        <v>0</v>
      </c>
      <c r="H58" s="530" t="str">
        <f>CONCATENATE("",E1-1," Ending Cash Balance (est.)")</f>
        <v>2024 Ending Cash Balance (est.)</v>
      </c>
      <c r="I58" s="566"/>
      <c r="J58" s="570"/>
    </row>
    <row r="59" spans="2:11" x14ac:dyDescent="0.2">
      <c r="B59" s="158" t="s">
        <v>370</v>
      </c>
      <c r="C59" s="168" t="str">
        <f>IF(C60*0.1&lt;C58,"Exceed 10% Rule","")</f>
        <v/>
      </c>
      <c r="D59" s="168" t="str">
        <f>IF(D60*0.1&lt;D58,"Exceed 10% Rule","")</f>
        <v/>
      </c>
      <c r="E59" s="202" t="str">
        <f>IF(E60*0.1+E78&lt;E58,"Exceed 10% Rule","")</f>
        <v/>
      </c>
      <c r="G59" s="565">
        <f>E60</f>
        <v>0</v>
      </c>
      <c r="H59" s="540" t="str">
        <f>CONCATENATE("",E1," Non-AV Receipts (est.)")</f>
        <v>2025 Non-AV Receipts (est.)</v>
      </c>
      <c r="I59" s="566"/>
      <c r="J59" s="570"/>
    </row>
    <row r="60" spans="2:11" x14ac:dyDescent="0.2">
      <c r="B60" s="170" t="s">
        <v>68</v>
      </c>
      <c r="C60" s="172">
        <f>SUM(C46:C58)</f>
        <v>0</v>
      </c>
      <c r="D60" s="172">
        <f>SUM(D46:D58)</f>
        <v>0</v>
      </c>
      <c r="E60" s="173">
        <f>SUM(E46:E58)</f>
        <v>0</v>
      </c>
      <c r="G60" s="567">
        <f>IF(D77&gt;0,E76,E78)</f>
        <v>0</v>
      </c>
      <c r="H60" s="540" t="str">
        <f>CONCATENATE("",E1," Ad Valorem Tax (est.)")</f>
        <v>2025 Ad Valorem Tax (est.)</v>
      </c>
      <c r="I60" s="566"/>
      <c r="J60" s="570"/>
      <c r="K60" s="523" t="str">
        <f>IF(G60=E78,"","Note: Does not include Delinquent Taxes")</f>
        <v/>
      </c>
    </row>
    <row r="61" spans="2:11" x14ac:dyDescent="0.2">
      <c r="B61" s="170" t="s">
        <v>69</v>
      </c>
      <c r="C61" s="172">
        <f>C44+C60</f>
        <v>0</v>
      </c>
      <c r="D61" s="172">
        <f>D44+D60</f>
        <v>0</v>
      </c>
      <c r="E61" s="173">
        <f>E44+E60</f>
        <v>0</v>
      </c>
      <c r="G61" s="569">
        <f>SUM(G58:G60)</f>
        <v>0</v>
      </c>
      <c r="H61" s="540" t="str">
        <f>CONCATENATE("Total ",E1," Resources Available")</f>
        <v>Total 2025 Resources Available</v>
      </c>
      <c r="I61" s="570"/>
      <c r="J61" s="570"/>
    </row>
    <row r="62" spans="2:11" x14ac:dyDescent="0.2">
      <c r="B62" s="87" t="s">
        <v>71</v>
      </c>
      <c r="C62" s="180"/>
      <c r="D62" s="180"/>
      <c r="E62" s="30"/>
      <c r="G62" s="571"/>
      <c r="H62" s="572"/>
      <c r="I62" s="539"/>
      <c r="J62" s="570"/>
    </row>
    <row r="63" spans="2:11" x14ac:dyDescent="0.2">
      <c r="B63" s="179"/>
      <c r="C63" s="163"/>
      <c r="D63" s="163"/>
      <c r="E63" s="31"/>
      <c r="G63" s="573">
        <f>ROUND(C71*0.05+C71,0)</f>
        <v>0</v>
      </c>
      <c r="H63" s="572" t="str">
        <f>CONCATENATE("Less ",E1-2," Expenditures + 5%")</f>
        <v>Less 2023 Expenditures + 5%</v>
      </c>
      <c r="I63" s="570"/>
      <c r="J63" s="570"/>
    </row>
    <row r="64" spans="2:11" x14ac:dyDescent="0.25">
      <c r="B64" s="179"/>
      <c r="C64" s="163"/>
      <c r="D64" s="163"/>
      <c r="E64" s="31"/>
      <c r="G64" s="574">
        <f>G61-G63</f>
        <v>0</v>
      </c>
      <c r="H64" s="575" t="str">
        <f>CONCATENATE("Projected ",E1+1," carryover (est.)")</f>
        <v>Projected 2026 carryover (est.)</v>
      </c>
      <c r="I64" s="576"/>
      <c r="J64" s="577"/>
    </row>
    <row r="65" spans="2:10" x14ac:dyDescent="0.25">
      <c r="B65" s="179"/>
      <c r="C65" s="163"/>
      <c r="D65" s="163"/>
      <c r="E65" s="31"/>
      <c r="G65" s="2"/>
      <c r="H65" s="2"/>
      <c r="I65" s="2"/>
    </row>
    <row r="66" spans="2:10" x14ac:dyDescent="0.2">
      <c r="B66" s="179"/>
      <c r="C66" s="163"/>
      <c r="D66" s="163"/>
      <c r="E66" s="31"/>
      <c r="G66" s="872" t="s">
        <v>648</v>
      </c>
      <c r="H66" s="873"/>
      <c r="I66" s="873"/>
      <c r="J66" s="874"/>
    </row>
    <row r="67" spans="2:10" x14ac:dyDescent="0.2">
      <c r="B67" s="179"/>
      <c r="C67" s="163"/>
      <c r="D67" s="163"/>
      <c r="E67" s="31"/>
      <c r="G67" s="875"/>
      <c r="H67" s="876"/>
      <c r="I67" s="876"/>
      <c r="J67" s="877"/>
    </row>
    <row r="68" spans="2:10" x14ac:dyDescent="0.2">
      <c r="B68" s="180" t="str">
        <f>CONCATENATE("Cash Reserve (",E1," column)")</f>
        <v>Cash Reserve (2025 column)</v>
      </c>
      <c r="C68" s="163"/>
      <c r="D68" s="163"/>
      <c r="E68" s="31"/>
      <c r="G68" s="533" t="str">
        <f>'Budget Hearing Notice'!H25</f>
        <v xml:space="preserve">  </v>
      </c>
      <c r="H68" s="530" t="str">
        <f>CONCATENATE("",E1," Estimated Fund Mill Rate")</f>
        <v>2025 Estimated Fund Mill Rate</v>
      </c>
      <c r="I68" s="531"/>
      <c r="J68" s="532"/>
    </row>
    <row r="69" spans="2:10" x14ac:dyDescent="0.2">
      <c r="B69" s="180" t="s">
        <v>9</v>
      </c>
      <c r="C69" s="163"/>
      <c r="D69" s="163"/>
      <c r="E69" s="31"/>
      <c r="G69" s="729" t="str">
        <f>'Budget Hearing Notice'!E25</f>
        <v xml:space="preserve">  </v>
      </c>
      <c r="H69" s="530" t="str">
        <f>CONCATENATE("",E1-1," Fund Mill Rate")</f>
        <v>2024 Fund Mill Rate</v>
      </c>
      <c r="I69" s="531"/>
      <c r="J69" s="532"/>
    </row>
    <row r="70" spans="2:10" x14ac:dyDescent="0.2">
      <c r="B70" s="180" t="s">
        <v>371</v>
      </c>
      <c r="C70" s="168" t="str">
        <f>IF(C71*0.1&lt;C69,"Exceed 10% Rule","")</f>
        <v/>
      </c>
      <c r="D70" s="168" t="str">
        <f>IF(D71*0.1&lt;D69,"Exceed 10% Rule","")</f>
        <v/>
      </c>
      <c r="E70" s="202" t="str">
        <f>IF(E71*0.1&lt;E69,"Exceed 10% Rule","")</f>
        <v/>
      </c>
      <c r="G70" s="730">
        <f>'Budget Hearing Notice'!H53</f>
        <v>0</v>
      </c>
      <c r="H70" s="731" t="s">
        <v>649</v>
      </c>
      <c r="I70" s="531"/>
      <c r="J70" s="532"/>
    </row>
    <row r="71" spans="2:10" x14ac:dyDescent="0.2">
      <c r="B71" s="170" t="s">
        <v>75</v>
      </c>
      <c r="C71" s="172">
        <f>SUM(C63:C69)</f>
        <v>0</v>
      </c>
      <c r="D71" s="172">
        <f>SUM(D63:D69)</f>
        <v>0</v>
      </c>
      <c r="E71" s="173">
        <f>SUM(E63:E69)</f>
        <v>0</v>
      </c>
      <c r="G71" s="533">
        <f>'Budget Hearing Notice'!H52</f>
        <v>0</v>
      </c>
      <c r="H71" s="530" t="str">
        <f>CONCATENATE(E1," Estimated Total Mill Rate")</f>
        <v>2025 Estimated Total Mill Rate</v>
      </c>
      <c r="I71" s="531"/>
      <c r="J71" s="532"/>
    </row>
    <row r="72" spans="2:10" x14ac:dyDescent="0.2">
      <c r="B72" s="87" t="s">
        <v>141</v>
      </c>
      <c r="C72" s="176">
        <f>C61-C71</f>
        <v>0</v>
      </c>
      <c r="D72" s="176">
        <f>D61-D71</f>
        <v>0</v>
      </c>
      <c r="E72" s="189" t="s">
        <v>49</v>
      </c>
      <c r="G72" s="534">
        <f>'Budget Hearing Notice'!E52</f>
        <v>0</v>
      </c>
      <c r="H72" s="530" t="str">
        <f>CONCATENATE(E1-1," Total Mill Rate")</f>
        <v>2024 Total Mill Rate</v>
      </c>
      <c r="I72" s="531"/>
      <c r="J72" s="532"/>
    </row>
    <row r="73" spans="2:10" x14ac:dyDescent="0.2">
      <c r="B73" s="102" t="str">
        <f>CONCATENATE("",E1-2,"/",E1-1,"/",E1," Budget Authority Amount:")</f>
        <v>2023/2024/2025 Budget Authority Amount:</v>
      </c>
      <c r="C73" s="612">
        <f>inputOth!B76</f>
        <v>0</v>
      </c>
      <c r="D73" s="584">
        <f>inputPrYr!D29</f>
        <v>0</v>
      </c>
      <c r="E73" s="134">
        <f>E71</f>
        <v>0</v>
      </c>
      <c r="G73" s="563"/>
      <c r="H73" s="539"/>
      <c r="I73" s="539"/>
      <c r="J73" s="570"/>
    </row>
    <row r="74" spans="2:10" x14ac:dyDescent="0.2">
      <c r="B74" s="73"/>
      <c r="C74" s="861" t="s">
        <v>329</v>
      </c>
      <c r="D74" s="862"/>
      <c r="E74" s="53"/>
      <c r="G74" s="878" t="s">
        <v>650</v>
      </c>
      <c r="H74" s="879"/>
      <c r="I74" s="879"/>
      <c r="J74" s="882" t="str">
        <f>IF(G71&gt;G70, "Yes", "No")</f>
        <v>No</v>
      </c>
    </row>
    <row r="75" spans="2:10" x14ac:dyDescent="0.2">
      <c r="B75" s="354" t="str">
        <f>CONCATENATE(C98,"     ",D98)</f>
        <v xml:space="preserve">     </v>
      </c>
      <c r="C75" s="863" t="s">
        <v>330</v>
      </c>
      <c r="D75" s="864"/>
      <c r="E75" s="134">
        <f>E71+E74</f>
        <v>0</v>
      </c>
      <c r="F75" s="181"/>
      <c r="G75" s="880"/>
      <c r="H75" s="881"/>
      <c r="I75" s="881"/>
      <c r="J75" s="883"/>
    </row>
    <row r="76" spans="2:10" x14ac:dyDescent="0.2">
      <c r="B76" s="354" t="str">
        <f>CONCATENATE(C99,"     ",D99)</f>
        <v xml:space="preserve">     </v>
      </c>
      <c r="C76" s="182"/>
      <c r="D76" s="101" t="s">
        <v>76</v>
      </c>
      <c r="E76" s="42">
        <f>IF(E75-E61&gt;0,E75-E61,0)</f>
        <v>0</v>
      </c>
      <c r="F76" s="604" t="str">
        <f>IF(E71/0.95-E71&lt;E74,"Exceeds 5%","")</f>
        <v/>
      </c>
      <c r="G76" s="859" t="str">
        <f>IF(J74="Yes", "Follow procedure prescribed by KSA 79-2988 to exceed the Revenue Neutral Rate.", " ")</f>
        <v xml:space="preserve"> </v>
      </c>
      <c r="H76" s="859"/>
      <c r="I76" s="859"/>
      <c r="J76" s="859"/>
    </row>
    <row r="77" spans="2:10" x14ac:dyDescent="0.2">
      <c r="B77" s="73"/>
      <c r="C77" s="258" t="s">
        <v>328</v>
      </c>
      <c r="D77" s="493">
        <f>inputOth!$E$53</f>
        <v>0</v>
      </c>
      <c r="E77" s="134">
        <f>ROUND(IF(D77&gt;0,(E76*D77),0),0)</f>
        <v>0</v>
      </c>
      <c r="G77" s="860"/>
      <c r="H77" s="860"/>
      <c r="I77" s="860"/>
      <c r="J77" s="860"/>
    </row>
    <row r="78" spans="2:10" ht="16.5" thickBot="1" x14ac:dyDescent="0.25">
      <c r="B78" s="101"/>
      <c r="C78" s="865" t="str">
        <f>CONCATENATE("Amount of  ",$E$1-1," Ad Valorem Tax")</f>
        <v>Amount of  2024 Ad Valorem Tax</v>
      </c>
      <c r="D78" s="866"/>
      <c r="E78" s="496">
        <f>E76+E77</f>
        <v>0</v>
      </c>
      <c r="G78" s="860"/>
      <c r="H78" s="860"/>
      <c r="I78" s="860"/>
      <c r="J78" s="860"/>
    </row>
    <row r="79" spans="2:10" ht="16.5" thickTop="1" x14ac:dyDescent="0.2">
      <c r="B79" s="20"/>
      <c r="C79" s="20"/>
      <c r="D79" s="20"/>
      <c r="E79" s="20"/>
    </row>
    <row r="80" spans="2:10" x14ac:dyDescent="0.2">
      <c r="B80" s="698" t="s">
        <v>529</v>
      </c>
      <c r="C80" s="61"/>
      <c r="D80" s="61"/>
      <c r="E80" s="677"/>
    </row>
    <row r="81" spans="2:5" x14ac:dyDescent="0.2">
      <c r="B81" s="563"/>
      <c r="C81" s="20"/>
      <c r="D81" s="20"/>
      <c r="E81" s="570"/>
    </row>
    <row r="82" spans="2:5" x14ac:dyDescent="0.2">
      <c r="B82" s="498"/>
      <c r="C82" s="35"/>
      <c r="D82" s="35"/>
      <c r="E82" s="41"/>
    </row>
    <row r="83" spans="2:5" x14ac:dyDescent="0.2">
      <c r="B83" s="20"/>
      <c r="C83" s="20"/>
      <c r="D83" s="20"/>
      <c r="E83" s="20"/>
    </row>
    <row r="84" spans="2:5" x14ac:dyDescent="0.2">
      <c r="B84" s="73" t="s">
        <v>78</v>
      </c>
      <c r="C84" s="186"/>
      <c r="D84" s="20"/>
      <c r="E84" s="20"/>
    </row>
    <row r="94" spans="2:5" hidden="1" x14ac:dyDescent="0.2"/>
    <row r="95" spans="2:5" hidden="1" x14ac:dyDescent="0.2"/>
    <row r="96" spans="2:5" hidden="1" x14ac:dyDescent="0.2">
      <c r="C96" s="353" t="str">
        <f>IF(C32&gt;C34,"See Tab A","")</f>
        <v/>
      </c>
      <c r="D96" s="353" t="str">
        <f>IF(D30&gt;D34,"See Tab C","")</f>
        <v/>
      </c>
    </row>
    <row r="97" spans="3:4" hidden="1" x14ac:dyDescent="0.2">
      <c r="C97" s="353" t="str">
        <f>IF(C33&lt;0,"See Tab B","")</f>
        <v/>
      </c>
      <c r="D97" s="353" t="str">
        <f>IF(D33&lt;0,"See Tab D","")</f>
        <v/>
      </c>
    </row>
    <row r="98" spans="3:4" x14ac:dyDescent="0.2">
      <c r="C98" s="353" t="str">
        <f>IF(C69&gt;C73,"See Tab A","")</f>
        <v/>
      </c>
      <c r="D98" s="353" t="str">
        <f>IF(D69&gt;D73,"See Tab C","")</f>
        <v/>
      </c>
    </row>
    <row r="99" spans="3:4" x14ac:dyDescent="0.2">
      <c r="C99" s="353" t="str">
        <f>IF(C72&lt;0,"See Tab B","")</f>
        <v/>
      </c>
      <c r="D99" s="353" t="str">
        <f>IF(D72&lt;0,"See Tab D","")</f>
        <v/>
      </c>
    </row>
  </sheetData>
  <sheetProtection sheet="1"/>
  <mergeCells count="18">
    <mergeCell ref="G66:J67"/>
    <mergeCell ref="G74:I75"/>
    <mergeCell ref="J74:J75"/>
    <mergeCell ref="G76:J78"/>
    <mergeCell ref="G10:J10"/>
    <mergeCell ref="G17:J17"/>
    <mergeCell ref="G49:J49"/>
    <mergeCell ref="G56:J56"/>
    <mergeCell ref="G27:J28"/>
    <mergeCell ref="G35:I36"/>
    <mergeCell ref="J35:J36"/>
    <mergeCell ref="G37:J39"/>
    <mergeCell ref="C74:D74"/>
    <mergeCell ref="C75:D75"/>
    <mergeCell ref="C35:D35"/>
    <mergeCell ref="C36:D36"/>
    <mergeCell ref="C78:D78"/>
    <mergeCell ref="C39:D39"/>
  </mergeCells>
  <phoneticPr fontId="0" type="noConversion"/>
  <conditionalFormatting sqref="C19">
    <cfRule type="cellIs" dxfId="233" priority="19" stopIfTrue="1" operator="greaterThan">
      <formula>$C$21*0.1</formula>
    </cfRule>
  </conditionalFormatting>
  <conditionalFormatting sqref="C30">
    <cfRule type="cellIs" dxfId="232" priority="9" stopIfTrue="1" operator="greaterThan">
      <formula>$C$32*0.1</formula>
    </cfRule>
  </conditionalFormatting>
  <conditionalFormatting sqref="C32">
    <cfRule type="cellIs" dxfId="231" priority="12" stopIfTrue="1" operator="greaterThan">
      <formula>$C$34</formula>
    </cfRule>
  </conditionalFormatting>
  <conditionalFormatting sqref="C33 C72">
    <cfRule type="cellIs" dxfId="230" priority="13" stopIfTrue="1" operator="lessThan">
      <formula>0</formula>
    </cfRule>
  </conditionalFormatting>
  <conditionalFormatting sqref="C58">
    <cfRule type="cellIs" dxfId="229" priority="21" stopIfTrue="1" operator="greaterThan">
      <formula>$C$60*0.1</formula>
    </cfRule>
  </conditionalFormatting>
  <conditionalFormatting sqref="C69">
    <cfRule type="cellIs" dxfId="228" priority="14" stopIfTrue="1" operator="greaterThan">
      <formula>$C$71*0.1</formula>
    </cfRule>
  </conditionalFormatting>
  <conditionalFormatting sqref="C71">
    <cfRule type="cellIs" dxfId="227" priority="16" stopIfTrue="1" operator="greaterThan">
      <formula>$C$73</formula>
    </cfRule>
  </conditionalFormatting>
  <conditionalFormatting sqref="D19">
    <cfRule type="cellIs" dxfId="226" priority="18" stopIfTrue="1" operator="greaterThan">
      <formula>$D$21*0.1</formula>
    </cfRule>
  </conditionalFormatting>
  <conditionalFormatting sqref="D30">
    <cfRule type="cellIs" dxfId="225" priority="10" stopIfTrue="1" operator="greaterThan">
      <formula>$D$32*0.1</formula>
    </cfRule>
  </conditionalFormatting>
  <conditionalFormatting sqref="D32">
    <cfRule type="cellIs" dxfId="224" priority="11" stopIfTrue="1" operator="greaterThan">
      <formula>$D$34</formula>
    </cfRule>
  </conditionalFormatting>
  <conditionalFormatting sqref="D33 D72">
    <cfRule type="cellIs" dxfId="223" priority="4" stopIfTrue="1" operator="lessThan">
      <formula>0</formula>
    </cfRule>
  </conditionalFormatting>
  <conditionalFormatting sqref="D58">
    <cfRule type="cellIs" dxfId="222" priority="20" stopIfTrue="1" operator="greaterThan">
      <formula>$D$60*0.1</formula>
    </cfRule>
  </conditionalFormatting>
  <conditionalFormatting sqref="D69">
    <cfRule type="cellIs" dxfId="221" priority="17" stopIfTrue="1" operator="greaterThan">
      <formula>$D$71*0.1</formula>
    </cfRule>
  </conditionalFormatting>
  <conditionalFormatting sqref="D71">
    <cfRule type="cellIs" dxfId="220" priority="15" stopIfTrue="1" operator="greaterThan">
      <formula>$D$73</formula>
    </cfRule>
  </conditionalFormatting>
  <conditionalFormatting sqref="E19">
    <cfRule type="cellIs" dxfId="219" priority="23" stopIfTrue="1" operator="greaterThan">
      <formula>$E$21*0.1+E39</formula>
    </cfRule>
  </conditionalFormatting>
  <conditionalFormatting sqref="E30">
    <cfRule type="cellIs" dxfId="218" priority="5" stopIfTrue="1" operator="greaterThan">
      <formula>$E$32*0.1</formula>
    </cfRule>
  </conditionalFormatting>
  <conditionalFormatting sqref="E35">
    <cfRule type="cellIs" dxfId="217" priority="6" stopIfTrue="1" operator="greaterThan">
      <formula>$E$32/0.95-$E$32</formula>
    </cfRule>
  </conditionalFormatting>
  <conditionalFormatting sqref="E58">
    <cfRule type="cellIs" dxfId="216" priority="22" stopIfTrue="1" operator="greaterThan">
      <formula>$E$60*0.1+E78</formula>
    </cfRule>
  </conditionalFormatting>
  <conditionalFormatting sqref="E69">
    <cfRule type="cellIs" dxfId="215" priority="7" stopIfTrue="1" operator="greaterThan">
      <formula>$E$71*0.1</formula>
    </cfRule>
  </conditionalFormatting>
  <conditionalFormatting sqref="E74">
    <cfRule type="cellIs" dxfId="214" priority="8" stopIfTrue="1" operator="greaterThan">
      <formula>$E$71/0.95-$E$71</formula>
    </cfRule>
  </conditionalFormatting>
  <conditionalFormatting sqref="J35">
    <cfRule type="containsText" dxfId="213" priority="2" operator="containsText" text="Yes">
      <formula>NOT(ISERROR(SEARCH("Yes",J35)))</formula>
    </cfRule>
  </conditionalFormatting>
  <conditionalFormatting sqref="J74">
    <cfRule type="containsText" dxfId="212" priority="1" operator="containsText" text="Yes">
      <formula>NOT(ISERROR(SEARCH("Yes",J74)))</formula>
    </cfRule>
  </conditionalFormatting>
  <pageMargins left="0.5" right="0.5" top="1" bottom="0.5" header="0.5" footer="0.5"/>
  <pageSetup scale="53" orientation="portrait" blackAndWhite="1" horizontalDpi="120" verticalDpi="144"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B0F0"/>
    <pageSetUpPr fitToPage="1"/>
  </sheetPr>
  <dimension ref="B1:K101"/>
  <sheetViews>
    <sheetView zoomScaleNormal="100" workbookViewId="0">
      <selection activeCell="B9" sqref="B9"/>
    </sheetView>
  </sheetViews>
  <sheetFormatPr defaultColWidth="8.88671875" defaultRowHeight="15.75" x14ac:dyDescent="0.2"/>
  <cols>
    <col min="1" max="1" width="2.44140625" style="18" customWidth="1"/>
    <col min="2" max="2" width="31.109375" style="18" customWidth="1"/>
    <col min="3" max="4" width="15.77734375" style="18" customWidth="1"/>
    <col min="5" max="5" width="16.21875" style="18" customWidth="1"/>
    <col min="6" max="6" width="8.109375" style="18" customWidth="1"/>
    <col min="7" max="7" width="10.21875" style="18" customWidth="1"/>
    <col min="8" max="8" width="8.88671875" style="18"/>
    <col min="9" max="9" width="5.5546875" style="18" customWidth="1"/>
    <col min="10" max="10" width="10" style="18" customWidth="1"/>
    <col min="11" max="16384" width="8.88671875" style="18"/>
  </cols>
  <sheetData>
    <row r="1" spans="2:10" x14ac:dyDescent="0.2">
      <c r="B1" s="39">
        <f>(inputPrYr!D3)</f>
        <v>0</v>
      </c>
      <c r="C1" s="20"/>
      <c r="D1" s="20"/>
      <c r="E1" s="73">
        <f>inputPrYr!C6</f>
        <v>2025</v>
      </c>
    </row>
    <row r="2" spans="2:10" x14ac:dyDescent="0.2">
      <c r="B2" s="20"/>
      <c r="C2" s="20"/>
      <c r="D2" s="20"/>
      <c r="E2" s="101"/>
    </row>
    <row r="3" spans="2:10" x14ac:dyDescent="0.2">
      <c r="B3" s="154" t="s">
        <v>125</v>
      </c>
      <c r="C3" s="110"/>
      <c r="D3" s="110"/>
      <c r="E3" s="126"/>
    </row>
    <row r="4" spans="2:10" x14ac:dyDescent="0.2">
      <c r="B4" s="21" t="s">
        <v>59</v>
      </c>
      <c r="C4" s="292" t="s">
        <v>377</v>
      </c>
      <c r="D4" s="291" t="s">
        <v>378</v>
      </c>
      <c r="E4" s="271" t="s">
        <v>379</v>
      </c>
    </row>
    <row r="5" spans="2:10" x14ac:dyDescent="0.2">
      <c r="B5" s="357">
        <f>inputPrYr!B30</f>
        <v>0</v>
      </c>
      <c r="C5" s="293" t="str">
        <f>CONCATENATE("Actual for ",E1-2,"")</f>
        <v>Actual for 2023</v>
      </c>
      <c r="D5" s="293" t="str">
        <f>CONCATENATE("Estimate for ",E1-1,"")</f>
        <v>Estimate for 2024</v>
      </c>
      <c r="E5" s="279" t="str">
        <f>CONCATENATE("Year for ",E1,"")</f>
        <v>Year for 2025</v>
      </c>
    </row>
    <row r="6" spans="2:10" x14ac:dyDescent="0.2">
      <c r="B6" s="158" t="s">
        <v>140</v>
      </c>
      <c r="C6" s="163"/>
      <c r="D6" s="161">
        <f>C34</f>
        <v>0</v>
      </c>
      <c r="E6" s="134">
        <f>D34</f>
        <v>0</v>
      </c>
    </row>
    <row r="7" spans="2:10" x14ac:dyDescent="0.2">
      <c r="B7" s="162" t="s">
        <v>142</v>
      </c>
      <c r="C7" s="96"/>
      <c r="D7" s="96"/>
      <c r="E7" s="44"/>
    </row>
    <row r="8" spans="2:10" x14ac:dyDescent="0.2">
      <c r="B8" s="87" t="s">
        <v>60</v>
      </c>
      <c r="C8" s="163"/>
      <c r="D8" s="161">
        <f>IF(inputPrYr!H21&gt;0,inputPrYr!G34,inputPrYr!E30)</f>
        <v>0</v>
      </c>
      <c r="E8" s="189" t="s">
        <v>49</v>
      </c>
    </row>
    <row r="9" spans="2:10" x14ac:dyDescent="0.2">
      <c r="B9" s="87" t="s">
        <v>61</v>
      </c>
      <c r="C9" s="163"/>
      <c r="D9" s="163"/>
      <c r="E9" s="31"/>
    </row>
    <row r="10" spans="2:10" x14ac:dyDescent="0.2">
      <c r="B10" s="87" t="s">
        <v>62</v>
      </c>
      <c r="C10" s="163"/>
      <c r="D10" s="163"/>
      <c r="E10" s="134" t="str">
        <f>Mvalloc!D18</f>
        <v xml:space="preserve">  </v>
      </c>
    </row>
    <row r="11" spans="2:10" x14ac:dyDescent="0.2">
      <c r="B11" s="87" t="s">
        <v>63</v>
      </c>
      <c r="C11" s="163"/>
      <c r="D11" s="163"/>
      <c r="E11" s="134" t="str">
        <f>Mvalloc!E18</f>
        <v xml:space="preserve"> </v>
      </c>
      <c r="G11" s="889" t="str">
        <f>CONCATENATE("Desired Carryover Into ",E1+1,"")</f>
        <v>Desired Carryover Into 2026</v>
      </c>
      <c r="H11" s="870"/>
      <c r="I11" s="870"/>
      <c r="J11" s="871"/>
    </row>
    <row r="12" spans="2:10" x14ac:dyDescent="0.2">
      <c r="B12" s="96" t="s">
        <v>132</v>
      </c>
      <c r="C12" s="163"/>
      <c r="D12" s="163"/>
      <c r="E12" s="134" t="str">
        <f>Mvalloc!F18</f>
        <v xml:space="preserve"> </v>
      </c>
      <c r="G12" s="538"/>
      <c r="H12" s="539"/>
      <c r="I12" s="540"/>
      <c r="J12" s="541"/>
    </row>
    <row r="13" spans="2:10" x14ac:dyDescent="0.2">
      <c r="B13" s="158" t="s">
        <v>518</v>
      </c>
      <c r="C13" s="163"/>
      <c r="D13" s="163"/>
      <c r="E13" s="134" t="str">
        <f>Mvalloc!G18</f>
        <v xml:space="preserve"> </v>
      </c>
      <c r="G13" s="542" t="s">
        <v>368</v>
      </c>
      <c r="H13" s="540"/>
      <c r="I13" s="540"/>
      <c r="J13" s="543">
        <v>0</v>
      </c>
    </row>
    <row r="14" spans="2:10" x14ac:dyDescent="0.2">
      <c r="B14" s="158" t="s">
        <v>519</v>
      </c>
      <c r="C14" s="163"/>
      <c r="D14" s="163"/>
      <c r="E14" s="134" t="str">
        <f>Mvalloc!H18</f>
        <v xml:space="preserve"> </v>
      </c>
      <c r="G14" s="538" t="s">
        <v>369</v>
      </c>
      <c r="H14" s="539"/>
      <c r="I14" s="539"/>
      <c r="J14" s="544" t="str">
        <f>IF(J13=0,"",ROUND((J13+E40-G26)/inputOth!E9*1000,3)-G31)</f>
        <v/>
      </c>
    </row>
    <row r="15" spans="2:10" x14ac:dyDescent="0.2">
      <c r="B15" s="179"/>
      <c r="C15" s="163"/>
      <c r="D15" s="163"/>
      <c r="E15" s="31"/>
      <c r="G15" s="545" t="str">
        <f>CONCATENATE("",E1," Tot Exp/Non-Appr Must Be:")</f>
        <v>2025 Tot Exp/Non-Appr Must Be:</v>
      </c>
      <c r="H15" s="546"/>
      <c r="I15" s="547"/>
      <c r="J15" s="548">
        <f>IF(J13&gt;0,IF(E37&lt;E22,IF(J13=G26,E37,((J13-G26)*(1-D39))+E22),E37+(J13-G26)),0)</f>
        <v>0</v>
      </c>
    </row>
    <row r="16" spans="2:10" x14ac:dyDescent="0.2">
      <c r="B16" s="179"/>
      <c r="C16" s="163"/>
      <c r="D16" s="163"/>
      <c r="E16" s="31"/>
      <c r="G16" s="549" t="s">
        <v>380</v>
      </c>
      <c r="H16" s="550"/>
      <c r="I16" s="550"/>
      <c r="J16" s="518">
        <f>IF(J13&gt;0,J15-E37,0)</f>
        <v>0</v>
      </c>
    </row>
    <row r="17" spans="2:11" x14ac:dyDescent="0.25">
      <c r="B17" s="167" t="s">
        <v>67</v>
      </c>
      <c r="C17" s="163"/>
      <c r="D17" s="163"/>
      <c r="E17" s="31"/>
      <c r="J17" s="2"/>
    </row>
    <row r="18" spans="2:11" x14ac:dyDescent="0.2">
      <c r="B18" s="180" t="s">
        <v>8</v>
      </c>
      <c r="C18" s="163"/>
      <c r="D18" s="163"/>
      <c r="E18" s="666">
        <f>'NR Rebate'!E17*-1</f>
        <v>0</v>
      </c>
      <c r="G18" s="889" t="str">
        <f>CONCATENATE("Projected Carryover Into ",E1+1,"")</f>
        <v>Projected Carryover Into 2026</v>
      </c>
      <c r="H18" s="896"/>
      <c r="I18" s="896"/>
      <c r="J18" s="892"/>
    </row>
    <row r="19" spans="2:11" x14ac:dyDescent="0.25">
      <c r="B19" s="96" t="s">
        <v>9</v>
      </c>
      <c r="C19" s="163"/>
      <c r="D19" s="163"/>
      <c r="E19" s="31"/>
      <c r="G19" s="538"/>
      <c r="H19" s="540"/>
      <c r="I19" s="540"/>
      <c r="J19" s="564"/>
    </row>
    <row r="20" spans="2:11" x14ac:dyDescent="0.25">
      <c r="B20" s="158" t="s">
        <v>370</v>
      </c>
      <c r="C20" s="168" t="str">
        <f>IF(C21*0.1&lt;C19,"Exceed 10% Rule","")</f>
        <v/>
      </c>
      <c r="D20" s="168" t="str">
        <f>IF(D21*0.1&lt;D19,"Exceed 10% Rule","")</f>
        <v/>
      </c>
      <c r="E20" s="202" t="str">
        <f>IF(E21*0.1+E40&lt;E19,"Exceed 10% Rule","")</f>
        <v/>
      </c>
      <c r="G20" s="565">
        <f>D34</f>
        <v>0</v>
      </c>
      <c r="H20" s="530" t="str">
        <f>CONCATENATE("",E1-1," Ending Cash Balance (est.)")</f>
        <v>2024 Ending Cash Balance (est.)</v>
      </c>
      <c r="I20" s="566"/>
      <c r="J20" s="564"/>
    </row>
    <row r="21" spans="2:11" x14ac:dyDescent="0.25">
      <c r="B21" s="170" t="s">
        <v>68</v>
      </c>
      <c r="C21" s="172">
        <f>SUM(C8:C19)</f>
        <v>0</v>
      </c>
      <c r="D21" s="172">
        <f>SUM(D8:D19)</f>
        <v>0</v>
      </c>
      <c r="E21" s="173">
        <f>SUM(E8:E19)</f>
        <v>0</v>
      </c>
      <c r="G21" s="565">
        <f>E21</f>
        <v>0</v>
      </c>
      <c r="H21" s="540" t="str">
        <f>CONCATENATE("",E1," Non-AV Receipts (est.)")</f>
        <v>2025 Non-AV Receipts (est.)</v>
      </c>
      <c r="I21" s="566"/>
      <c r="J21" s="564"/>
    </row>
    <row r="22" spans="2:11" x14ac:dyDescent="0.2">
      <c r="B22" s="170" t="s">
        <v>69</v>
      </c>
      <c r="C22" s="172">
        <f>C6+C21</f>
        <v>0</v>
      </c>
      <c r="D22" s="172">
        <f>D6+D21</f>
        <v>0</v>
      </c>
      <c r="E22" s="173">
        <f>E6+E21</f>
        <v>0</v>
      </c>
      <c r="G22" s="567">
        <f>IF(E39&gt;0,E38,E40)</f>
        <v>0</v>
      </c>
      <c r="H22" s="540" t="str">
        <f>CONCATENATE("",E1," Ad Valorem Tax (est.)")</f>
        <v>2025 Ad Valorem Tax (est.)</v>
      </c>
      <c r="I22" s="566"/>
      <c r="J22" s="552"/>
      <c r="K22" s="523" t="str">
        <f>IF(G22=E40,"","Note: Does not include Delinquent Taxes")</f>
        <v/>
      </c>
    </row>
    <row r="23" spans="2:11" x14ac:dyDescent="0.25">
      <c r="B23" s="87" t="s">
        <v>71</v>
      </c>
      <c r="C23" s="180"/>
      <c r="D23" s="180"/>
      <c r="E23" s="30"/>
      <c r="G23" s="565">
        <f>SUM(G20:G22)</f>
        <v>0</v>
      </c>
      <c r="H23" s="540" t="str">
        <f>CONCATENATE("Total ",E1," Resources Available")</f>
        <v>Total 2025 Resources Available</v>
      </c>
      <c r="I23" s="566"/>
      <c r="J23" s="564"/>
    </row>
    <row r="24" spans="2:11" x14ac:dyDescent="0.25">
      <c r="B24" s="179"/>
      <c r="C24" s="163"/>
      <c r="D24" s="163"/>
      <c r="E24" s="31"/>
      <c r="G24" s="579"/>
      <c r="H24" s="540"/>
      <c r="I24" s="540"/>
      <c r="J24" s="564"/>
    </row>
    <row r="25" spans="2:11" x14ac:dyDescent="0.25">
      <c r="B25" s="179"/>
      <c r="C25" s="163"/>
      <c r="D25" s="163"/>
      <c r="E25" s="31"/>
      <c r="G25" s="567">
        <f>ROUND(C33*0.05+C33,0)</f>
        <v>0</v>
      </c>
      <c r="H25" s="540" t="str">
        <f>CONCATENATE("Less ",E1-2," Expenditures + 5%")</f>
        <v>Less 2023 Expenditures + 5%</v>
      </c>
      <c r="I25" s="566"/>
      <c r="J25" s="564"/>
    </row>
    <row r="26" spans="2:11" x14ac:dyDescent="0.25">
      <c r="B26" s="179"/>
      <c r="C26" s="163"/>
      <c r="D26" s="163"/>
      <c r="E26" s="31"/>
      <c r="G26" s="580">
        <f>G23-G25</f>
        <v>0</v>
      </c>
      <c r="H26" s="581" t="str">
        <f>CONCATENATE("Projected ",E1+1," carryover (est.)")</f>
        <v>Projected 2026 carryover (est.)</v>
      </c>
      <c r="I26" s="582"/>
      <c r="J26" s="577"/>
    </row>
    <row r="27" spans="2:11" x14ac:dyDescent="0.25">
      <c r="B27" s="179"/>
      <c r="C27" s="163"/>
      <c r="D27" s="163"/>
      <c r="E27" s="31"/>
      <c r="G27" s="2"/>
      <c r="H27" s="2"/>
      <c r="I27" s="2"/>
      <c r="J27" s="2"/>
    </row>
    <row r="28" spans="2:11" x14ac:dyDescent="0.2">
      <c r="B28" s="179"/>
      <c r="C28" s="163"/>
      <c r="D28" s="163"/>
      <c r="E28" s="31"/>
      <c r="G28" s="872" t="s">
        <v>648</v>
      </c>
      <c r="H28" s="873"/>
      <c r="I28" s="873"/>
      <c r="J28" s="874"/>
    </row>
    <row r="29" spans="2:11" x14ac:dyDescent="0.2">
      <c r="B29" s="179"/>
      <c r="C29" s="163"/>
      <c r="D29" s="163"/>
      <c r="E29" s="31"/>
      <c r="G29" s="875"/>
      <c r="H29" s="876"/>
      <c r="I29" s="876"/>
      <c r="J29" s="877"/>
    </row>
    <row r="30" spans="2:11" x14ac:dyDescent="0.2">
      <c r="B30" s="180" t="str">
        <f>CONCATENATE("Cash Reserve (",E1," column)")</f>
        <v>Cash Reserve (2025 column)</v>
      </c>
      <c r="C30" s="163"/>
      <c r="D30" s="163"/>
      <c r="E30" s="31"/>
      <c r="G30" s="533" t="str">
        <f>'Budget Hearing Notice'!H26</f>
        <v xml:space="preserve">  </v>
      </c>
      <c r="H30" s="530" t="str">
        <f>CONCATENATE("",E1," Estimated Fund Mill Rate")</f>
        <v>2025 Estimated Fund Mill Rate</v>
      </c>
      <c r="I30" s="531"/>
      <c r="J30" s="532"/>
    </row>
    <row r="31" spans="2:11" x14ac:dyDescent="0.2">
      <c r="B31" s="180" t="s">
        <v>9</v>
      </c>
      <c r="C31" s="163"/>
      <c r="D31" s="163"/>
      <c r="E31" s="31"/>
      <c r="G31" s="729" t="str">
        <f>'Budget Hearing Notice'!E26</f>
        <v xml:space="preserve">  </v>
      </c>
      <c r="H31" s="530" t="str">
        <f>CONCATENATE("",E1-1," Fund Mill Rate")</f>
        <v>2024 Fund Mill Rate</v>
      </c>
      <c r="I31" s="531"/>
      <c r="J31" s="532"/>
    </row>
    <row r="32" spans="2:11" x14ac:dyDescent="0.2">
      <c r="B32" s="180" t="s">
        <v>371</v>
      </c>
      <c r="C32" s="168" t="str">
        <f>IF(C33*0.1&lt;C31,"Exceed 10% Rule","")</f>
        <v/>
      </c>
      <c r="D32" s="168" t="str">
        <f>IF(D33*0.1&lt;D31,"Exceed 10% Rule","")</f>
        <v/>
      </c>
      <c r="E32" s="202" t="str">
        <f>IF(E33*0.1&lt;E31,"Exceed 10% Rule","")</f>
        <v/>
      </c>
      <c r="G32" s="730">
        <f>'Budget Hearing Notice'!H53</f>
        <v>0</v>
      </c>
      <c r="H32" s="731" t="s">
        <v>649</v>
      </c>
      <c r="I32" s="531"/>
      <c r="J32" s="532"/>
    </row>
    <row r="33" spans="2:10" x14ac:dyDescent="0.2">
      <c r="B33" s="170" t="s">
        <v>75</v>
      </c>
      <c r="C33" s="172">
        <f>SUM(C24:C31)</f>
        <v>0</v>
      </c>
      <c r="D33" s="172">
        <f>SUM(D24:D31)</f>
        <v>0</v>
      </c>
      <c r="E33" s="173">
        <f>SUM(E24:E31)</f>
        <v>0</v>
      </c>
      <c r="G33" s="533">
        <f>'Budget Hearing Notice'!H52</f>
        <v>0</v>
      </c>
      <c r="H33" s="530" t="str">
        <f>CONCATENATE(E1," Estimated Total Mill Rate")</f>
        <v>2025 Estimated Total Mill Rate</v>
      </c>
      <c r="I33" s="531"/>
      <c r="J33" s="532"/>
    </row>
    <row r="34" spans="2:10" x14ac:dyDescent="0.2">
      <c r="B34" s="87" t="s">
        <v>141</v>
      </c>
      <c r="C34" s="176">
        <f>C22-C33</f>
        <v>0</v>
      </c>
      <c r="D34" s="176">
        <f>D22-D33</f>
        <v>0</v>
      </c>
      <c r="E34" s="189" t="s">
        <v>49</v>
      </c>
      <c r="G34" s="534">
        <f>'Budget Hearing Notice'!E52</f>
        <v>0</v>
      </c>
      <c r="H34" s="530" t="str">
        <f>CONCATENATE(E1-1," Total Mill Rate")</f>
        <v>2024 Total Mill Rate</v>
      </c>
      <c r="I34" s="531"/>
      <c r="J34" s="532"/>
    </row>
    <row r="35" spans="2:10" x14ac:dyDescent="0.2">
      <c r="B35" s="102" t="str">
        <f>CONCATENATE("",E1-2,"/",E1-1,"/",E1," Budget Authority Amount:")</f>
        <v>2023/2024/2025 Budget Authority Amount:</v>
      </c>
      <c r="C35" s="584">
        <f>inputOth!B77</f>
        <v>0</v>
      </c>
      <c r="D35" s="584">
        <f>inputPrYr!D30</f>
        <v>0</v>
      </c>
      <c r="E35" s="134">
        <f>E33</f>
        <v>0</v>
      </c>
      <c r="G35" s="563"/>
      <c r="H35" s="539"/>
      <c r="I35" s="539"/>
      <c r="J35" s="570"/>
    </row>
    <row r="36" spans="2:10" x14ac:dyDescent="0.2">
      <c r="B36" s="73"/>
      <c r="C36" s="861" t="s">
        <v>329</v>
      </c>
      <c r="D36" s="862"/>
      <c r="E36" s="31"/>
      <c r="G36" s="878" t="s">
        <v>650</v>
      </c>
      <c r="H36" s="879"/>
      <c r="I36" s="879"/>
      <c r="J36" s="882" t="str">
        <f>IF(G33&gt;G32, "Yes", "No")</f>
        <v>No</v>
      </c>
    </row>
    <row r="37" spans="2:10" x14ac:dyDescent="0.2">
      <c r="B37" s="354" t="str">
        <f>CONCATENATE(C97,"     ",D97)</f>
        <v xml:space="preserve">     </v>
      </c>
      <c r="C37" s="863" t="s">
        <v>330</v>
      </c>
      <c r="D37" s="864"/>
      <c r="E37" s="134">
        <f>E33+E36</f>
        <v>0</v>
      </c>
      <c r="F37" s="181"/>
      <c r="G37" s="880"/>
      <c r="H37" s="881"/>
      <c r="I37" s="881"/>
      <c r="J37" s="883"/>
    </row>
    <row r="38" spans="2:10" x14ac:dyDescent="0.2">
      <c r="B38" s="354" t="str">
        <f>CONCATENATE(C98,"     ",D98)</f>
        <v xml:space="preserve">     </v>
      </c>
      <c r="C38" s="182"/>
      <c r="D38" s="101" t="s">
        <v>76</v>
      </c>
      <c r="E38" s="42">
        <f>IF(E37-E22&gt;0,E37-E22,0)</f>
        <v>0</v>
      </c>
      <c r="F38" s="604" t="str">
        <f>IF(E33/0.95-E33&lt;E36,"Exceeds 5%","")</f>
        <v/>
      </c>
      <c r="G38" s="859" t="str">
        <f>IF(J36="Yes", "Follow procedure prescribed by KSA 79-2988 to exceed the Revenue Neutral Rate.", " ")</f>
        <v xml:space="preserve"> </v>
      </c>
      <c r="H38" s="859"/>
      <c r="I38" s="859"/>
      <c r="J38" s="859"/>
    </row>
    <row r="39" spans="2:10" x14ac:dyDescent="0.2">
      <c r="B39" s="101"/>
      <c r="C39" s="258" t="s">
        <v>328</v>
      </c>
      <c r="D39" s="493">
        <f>inputOth!$E$53</f>
        <v>0</v>
      </c>
      <c r="E39" s="134">
        <f>ROUND(IF(D39&gt;0,(E38*D39),0),0)</f>
        <v>0</v>
      </c>
      <c r="G39" s="860"/>
      <c r="H39" s="860"/>
      <c r="I39" s="860"/>
      <c r="J39" s="860"/>
    </row>
    <row r="40" spans="2:10" ht="16.5" thickBot="1" x14ac:dyDescent="0.25">
      <c r="B40" s="20"/>
      <c r="C40" s="865" t="str">
        <f>CONCATENATE("Amount of  ",$E$1-1," Ad Valorem Tax")</f>
        <v>Amount of  2024 Ad Valorem Tax</v>
      </c>
      <c r="D40" s="866"/>
      <c r="E40" s="496">
        <f>E38+E39</f>
        <v>0</v>
      </c>
      <c r="G40" s="860"/>
      <c r="H40" s="860"/>
      <c r="I40" s="860"/>
      <c r="J40" s="860"/>
    </row>
    <row r="41" spans="2:10" ht="16.5" thickTop="1" x14ac:dyDescent="0.2">
      <c r="B41" s="20"/>
      <c r="C41" s="20"/>
      <c r="D41" s="20"/>
      <c r="E41" s="20"/>
    </row>
    <row r="42" spans="2:10" x14ac:dyDescent="0.2">
      <c r="B42" s="21"/>
      <c r="C42" s="79"/>
      <c r="D42" s="79"/>
      <c r="E42" s="79"/>
    </row>
    <row r="43" spans="2:10" x14ac:dyDescent="0.2">
      <c r="B43" s="21" t="s">
        <v>59</v>
      </c>
      <c r="C43" s="292" t="s">
        <v>377</v>
      </c>
      <c r="D43" s="291" t="s">
        <v>378</v>
      </c>
      <c r="E43" s="271" t="s">
        <v>379</v>
      </c>
    </row>
    <row r="44" spans="2:10" x14ac:dyDescent="0.2">
      <c r="B44" s="357">
        <f>inputPrYr!B31</f>
        <v>0</v>
      </c>
      <c r="C44" s="293" t="str">
        <f>CONCATENATE("Actual for ",E1-2,"")</f>
        <v>Actual for 2023</v>
      </c>
      <c r="D44" s="293" t="str">
        <f>CONCATENATE("Estimate for ",E1-1,"")</f>
        <v>Estimate for 2024</v>
      </c>
      <c r="E44" s="279" t="str">
        <f>CONCATENATE("Year for ",E1,"")</f>
        <v>Year for 2025</v>
      </c>
    </row>
    <row r="45" spans="2:10" x14ac:dyDescent="0.2">
      <c r="B45" s="158" t="s">
        <v>140</v>
      </c>
      <c r="C45" s="163"/>
      <c r="D45" s="161">
        <f>C73</f>
        <v>0</v>
      </c>
      <c r="E45" s="134">
        <f>D73</f>
        <v>0</v>
      </c>
    </row>
    <row r="46" spans="2:10" x14ac:dyDescent="0.2">
      <c r="B46" s="162" t="s">
        <v>142</v>
      </c>
      <c r="C46" s="96"/>
      <c r="D46" s="96"/>
      <c r="E46" s="44"/>
    </row>
    <row r="47" spans="2:10" x14ac:dyDescent="0.2">
      <c r="B47" s="87" t="s">
        <v>60</v>
      </c>
      <c r="C47" s="163"/>
      <c r="D47" s="161">
        <f>IF(inputPrYr!H21&gt;0,inputPrYr!G35,inputPrYr!E31)</f>
        <v>0</v>
      </c>
      <c r="E47" s="189" t="s">
        <v>49</v>
      </c>
    </row>
    <row r="48" spans="2:10" x14ac:dyDescent="0.2">
      <c r="B48" s="87" t="s">
        <v>61</v>
      </c>
      <c r="C48" s="163"/>
      <c r="D48" s="163"/>
      <c r="E48" s="31"/>
    </row>
    <row r="49" spans="2:11" x14ac:dyDescent="0.2">
      <c r="B49" s="87" t="s">
        <v>62</v>
      </c>
      <c r="C49" s="163"/>
      <c r="D49" s="163"/>
      <c r="E49" s="134" t="str">
        <f>Mvalloc!D19</f>
        <v xml:space="preserve">  </v>
      </c>
    </row>
    <row r="50" spans="2:11" x14ac:dyDescent="0.2">
      <c r="B50" s="87" t="s">
        <v>63</v>
      </c>
      <c r="C50" s="163"/>
      <c r="D50" s="163"/>
      <c r="E50" s="134" t="str">
        <f>Mvalloc!E19</f>
        <v xml:space="preserve"> </v>
      </c>
      <c r="G50" s="889" t="str">
        <f>CONCATENATE("Desired Carryover Into ",E1+1,"")</f>
        <v>Desired Carryover Into 2026</v>
      </c>
      <c r="H50" s="870"/>
      <c r="I50" s="870"/>
      <c r="J50" s="871"/>
    </row>
    <row r="51" spans="2:11" x14ac:dyDescent="0.2">
      <c r="B51" s="96" t="s">
        <v>132</v>
      </c>
      <c r="C51" s="163"/>
      <c r="D51" s="163"/>
      <c r="E51" s="134" t="str">
        <f>Mvalloc!F19</f>
        <v xml:space="preserve"> </v>
      </c>
      <c r="G51" s="538"/>
      <c r="H51" s="539"/>
      <c r="I51" s="540"/>
      <c r="J51" s="541"/>
    </row>
    <row r="52" spans="2:11" x14ac:dyDescent="0.2">
      <c r="B52" s="158" t="s">
        <v>518</v>
      </c>
      <c r="C52" s="163"/>
      <c r="D52" s="163"/>
      <c r="E52" s="134" t="str">
        <f>Mvalloc!G19</f>
        <v xml:space="preserve"> </v>
      </c>
      <c r="G52" s="542" t="s">
        <v>368</v>
      </c>
      <c r="H52" s="540"/>
      <c r="I52" s="540"/>
      <c r="J52" s="543">
        <v>0</v>
      </c>
    </row>
    <row r="53" spans="2:11" x14ac:dyDescent="0.2">
      <c r="B53" s="158" t="s">
        <v>519</v>
      </c>
      <c r="C53" s="163"/>
      <c r="D53" s="163"/>
      <c r="E53" s="134" t="str">
        <f>Mvalloc!H19</f>
        <v xml:space="preserve"> </v>
      </c>
      <c r="G53" s="538" t="s">
        <v>369</v>
      </c>
      <c r="H53" s="539"/>
      <c r="I53" s="539"/>
      <c r="J53" s="544" t="str">
        <f>IF(J52=0,"",ROUND((J52+E79-G65)/inputOth!E9*1000,3)-G70)</f>
        <v/>
      </c>
    </row>
    <row r="54" spans="2:11" x14ac:dyDescent="0.2">
      <c r="B54" s="179"/>
      <c r="C54" s="163"/>
      <c r="D54" s="163"/>
      <c r="E54" s="31"/>
      <c r="G54" s="545" t="str">
        <f>CONCATENATE("",E1," Tot Exp/Non-Appr Must Be:")</f>
        <v>2025 Tot Exp/Non-Appr Must Be:</v>
      </c>
      <c r="H54" s="546"/>
      <c r="I54" s="547"/>
      <c r="J54" s="548">
        <f>IF(J52&gt;0,IF(E76&lt;E61,IF(J52=G65,E76,((J52-G65)*(1-D78))+E61),E76+(J52-G65)),0)</f>
        <v>0</v>
      </c>
    </row>
    <row r="55" spans="2:11" x14ac:dyDescent="0.2">
      <c r="B55" s="179"/>
      <c r="C55" s="163"/>
      <c r="D55" s="163"/>
      <c r="E55" s="31"/>
      <c r="G55" s="549" t="s">
        <v>380</v>
      </c>
      <c r="H55" s="550"/>
      <c r="I55" s="550"/>
      <c r="J55" s="518">
        <f>IF(J52&gt;0,J54-E77,0)</f>
        <v>0</v>
      </c>
    </row>
    <row r="56" spans="2:11" x14ac:dyDescent="0.25">
      <c r="B56" s="167" t="s">
        <v>67</v>
      </c>
      <c r="C56" s="163"/>
      <c r="D56" s="163"/>
      <c r="E56" s="31"/>
      <c r="J56" s="2"/>
    </row>
    <row r="57" spans="2:11" x14ac:dyDescent="0.2">
      <c r="B57" s="180" t="s">
        <v>8</v>
      </c>
      <c r="C57" s="163"/>
      <c r="D57" s="163"/>
      <c r="E57" s="666">
        <f>'NR Rebate'!E18*-1</f>
        <v>0</v>
      </c>
      <c r="G57" s="889" t="str">
        <f>CONCATENATE("Projected Carryover Into ",E1+1,"")</f>
        <v>Projected Carryover Into 2026</v>
      </c>
      <c r="H57" s="891"/>
      <c r="I57" s="891"/>
      <c r="J57" s="892"/>
    </row>
    <row r="58" spans="2:11" x14ac:dyDescent="0.2">
      <c r="B58" s="96" t="s">
        <v>9</v>
      </c>
      <c r="C58" s="163"/>
      <c r="D58" s="163"/>
      <c r="E58" s="31"/>
      <c r="G58" s="563"/>
      <c r="H58" s="539"/>
      <c r="I58" s="539"/>
      <c r="J58" s="570"/>
    </row>
    <row r="59" spans="2:11" x14ac:dyDescent="0.2">
      <c r="B59" s="158" t="s">
        <v>370</v>
      </c>
      <c r="C59" s="168" t="str">
        <f>IF(C60*0.1&lt;C58,"Exceed 10% Rule","")</f>
        <v/>
      </c>
      <c r="D59" s="168" t="str">
        <f>IF(D60*0.1&lt;D58,"Exceed 10% Rule","")</f>
        <v/>
      </c>
      <c r="E59" s="202" t="str">
        <f>IF(E60*0.1+E79&lt;E58,"Exceed 10% Rule","")</f>
        <v/>
      </c>
      <c r="G59" s="565">
        <f>D73</f>
        <v>0</v>
      </c>
      <c r="H59" s="530" t="str">
        <f>CONCATENATE("",E1-1," Ending Cash Balance (est.)")</f>
        <v>2024 Ending Cash Balance (est.)</v>
      </c>
      <c r="I59" s="566"/>
      <c r="J59" s="570"/>
    </row>
    <row r="60" spans="2:11" x14ac:dyDescent="0.2">
      <c r="B60" s="170" t="s">
        <v>68</v>
      </c>
      <c r="C60" s="172">
        <f>SUM(C47:C58)</f>
        <v>0</v>
      </c>
      <c r="D60" s="172">
        <f>SUM(D47:D58)</f>
        <v>0</v>
      </c>
      <c r="E60" s="173">
        <f>SUM(E47:E58)</f>
        <v>0</v>
      </c>
      <c r="G60" s="565">
        <f>E60</f>
        <v>0</v>
      </c>
      <c r="H60" s="540" t="str">
        <f>CONCATENATE("",E1," Non-AV Receipts (est.)")</f>
        <v>2025 Non-AV Receipts (est.)</v>
      </c>
      <c r="I60" s="566"/>
      <c r="J60" s="570"/>
    </row>
    <row r="61" spans="2:11" x14ac:dyDescent="0.2">
      <c r="B61" s="170" t="s">
        <v>69</v>
      </c>
      <c r="C61" s="172">
        <f>C45+C60</f>
        <v>0</v>
      </c>
      <c r="D61" s="172">
        <f>D45+D60</f>
        <v>0</v>
      </c>
      <c r="E61" s="173">
        <f>E45+E60</f>
        <v>0</v>
      </c>
      <c r="G61" s="567">
        <f>IF(D78&gt;0,E77,E79)</f>
        <v>0</v>
      </c>
      <c r="H61" s="540" t="str">
        <f>CONCATENATE("",E1," Ad Valorem Tax (est.)")</f>
        <v>2025 Ad Valorem Tax (est.)</v>
      </c>
      <c r="I61" s="566"/>
      <c r="J61" s="570"/>
      <c r="K61" s="523" t="str">
        <f>IF(G61=E79,"","Note: Does not include Delinquent Taxes")</f>
        <v/>
      </c>
    </row>
    <row r="62" spans="2:11" x14ac:dyDescent="0.2">
      <c r="B62" s="87" t="s">
        <v>71</v>
      </c>
      <c r="C62" s="180"/>
      <c r="D62" s="180"/>
      <c r="E62" s="30"/>
      <c r="G62" s="569">
        <f>SUM(G59:G61)</f>
        <v>0</v>
      </c>
      <c r="H62" s="540" t="str">
        <f>CONCATENATE("Total ",E1," Resources Available")</f>
        <v>Total 2025 Resources Available</v>
      </c>
      <c r="I62" s="570"/>
      <c r="J62" s="570"/>
    </row>
    <row r="63" spans="2:11" x14ac:dyDescent="0.2">
      <c r="B63" s="179"/>
      <c r="C63" s="163"/>
      <c r="D63" s="163"/>
      <c r="E63" s="31"/>
      <c r="G63" s="571"/>
      <c r="H63" s="572"/>
      <c r="I63" s="539"/>
      <c r="J63" s="570"/>
    </row>
    <row r="64" spans="2:11" x14ac:dyDescent="0.2">
      <c r="B64" s="179"/>
      <c r="C64" s="163"/>
      <c r="D64" s="163"/>
      <c r="E64" s="31"/>
      <c r="G64" s="573">
        <f>ROUND(C72*0.05+C72,0)</f>
        <v>0</v>
      </c>
      <c r="H64" s="572" t="str">
        <f>CONCATENATE("Less ",E1-2," Expenditures + 5%")</f>
        <v>Less 2023 Expenditures + 5%</v>
      </c>
      <c r="I64" s="570"/>
      <c r="J64" s="570"/>
    </row>
    <row r="65" spans="2:10" x14ac:dyDescent="0.25">
      <c r="B65" s="179"/>
      <c r="C65" s="163"/>
      <c r="D65" s="163"/>
      <c r="E65" s="31"/>
      <c r="G65" s="574">
        <f>G62-G64</f>
        <v>0</v>
      </c>
      <c r="H65" s="575" t="str">
        <f>CONCATENATE("Projected ",E1+1," carryover (est.)")</f>
        <v>Projected 2026 carryover (est.)</v>
      </c>
      <c r="I65" s="576"/>
      <c r="J65" s="577"/>
    </row>
    <row r="66" spans="2:10" x14ac:dyDescent="0.25">
      <c r="B66" s="179"/>
      <c r="C66" s="163"/>
      <c r="D66" s="163"/>
      <c r="E66" s="31"/>
      <c r="G66" s="2"/>
      <c r="H66" s="2"/>
      <c r="I66" s="2"/>
    </row>
    <row r="67" spans="2:10" x14ac:dyDescent="0.2">
      <c r="B67" s="179"/>
      <c r="C67" s="163"/>
      <c r="D67" s="163"/>
      <c r="E67" s="31"/>
      <c r="G67" s="872" t="s">
        <v>648</v>
      </c>
      <c r="H67" s="873"/>
      <c r="I67" s="873"/>
      <c r="J67" s="874"/>
    </row>
    <row r="68" spans="2:10" x14ac:dyDescent="0.2">
      <c r="B68" s="179"/>
      <c r="C68" s="163"/>
      <c r="D68" s="163"/>
      <c r="E68" s="31"/>
      <c r="G68" s="875"/>
      <c r="H68" s="876"/>
      <c r="I68" s="876"/>
      <c r="J68" s="877"/>
    </row>
    <row r="69" spans="2:10" x14ac:dyDescent="0.2">
      <c r="B69" s="180" t="str">
        <f>CONCATENATE("Cash Reserve (",E1," column)")</f>
        <v>Cash Reserve (2025 column)</v>
      </c>
      <c r="C69" s="163"/>
      <c r="D69" s="163"/>
      <c r="E69" s="31"/>
      <c r="G69" s="533" t="str">
        <f>'Budget Hearing Notice'!H27</f>
        <v xml:space="preserve">  </v>
      </c>
      <c r="H69" s="530" t="str">
        <f>CONCATENATE("",E1," Estimated Fund Mill Rate")</f>
        <v>2025 Estimated Fund Mill Rate</v>
      </c>
      <c r="I69" s="531"/>
      <c r="J69" s="532"/>
    </row>
    <row r="70" spans="2:10" x14ac:dyDescent="0.2">
      <c r="B70" s="180" t="s">
        <v>9</v>
      </c>
      <c r="C70" s="163"/>
      <c r="D70" s="163"/>
      <c r="E70" s="31"/>
      <c r="G70" s="729" t="str">
        <f>'Budget Hearing Notice'!E27</f>
        <v xml:space="preserve">  </v>
      </c>
      <c r="H70" s="530" t="str">
        <f>CONCATENATE("",E1-1," Fund Mill Rate")</f>
        <v>2024 Fund Mill Rate</v>
      </c>
      <c r="I70" s="531"/>
      <c r="J70" s="532"/>
    </row>
    <row r="71" spans="2:10" x14ac:dyDescent="0.2">
      <c r="B71" s="180" t="s">
        <v>371</v>
      </c>
      <c r="C71" s="168" t="str">
        <f>IF(C72*0.1&lt;C70,"Exceed 10% Rule","")</f>
        <v/>
      </c>
      <c r="D71" s="168" t="str">
        <f>IF(D72*0.1&lt;D70,"Exceed 10% Rule","")</f>
        <v/>
      </c>
      <c r="E71" s="202" t="str">
        <f>IF(E72*0.1&lt;E70,"Exceed 10% Rule","")</f>
        <v/>
      </c>
      <c r="G71" s="730">
        <f>'Budget Hearing Notice'!H53</f>
        <v>0</v>
      </c>
      <c r="H71" s="731" t="s">
        <v>649</v>
      </c>
      <c r="I71" s="531"/>
      <c r="J71" s="532"/>
    </row>
    <row r="72" spans="2:10" x14ac:dyDescent="0.2">
      <c r="B72" s="170" t="s">
        <v>75</v>
      </c>
      <c r="C72" s="172">
        <f>SUM(C63:C70)</f>
        <v>0</v>
      </c>
      <c r="D72" s="172">
        <f>SUM(D63:D70)</f>
        <v>0</v>
      </c>
      <c r="E72" s="173">
        <f>SUM(E63:E70)</f>
        <v>0</v>
      </c>
      <c r="G72" s="533">
        <f>'Budget Hearing Notice'!H52</f>
        <v>0</v>
      </c>
      <c r="H72" s="530" t="str">
        <f>CONCATENATE(E1," Estimated Total Mill Rate")</f>
        <v>2025 Estimated Total Mill Rate</v>
      </c>
      <c r="I72" s="531"/>
      <c r="J72" s="532"/>
    </row>
    <row r="73" spans="2:10" x14ac:dyDescent="0.2">
      <c r="B73" s="87" t="s">
        <v>141</v>
      </c>
      <c r="C73" s="176">
        <f>C61-C72</f>
        <v>0</v>
      </c>
      <c r="D73" s="176">
        <f>D61-D72</f>
        <v>0</v>
      </c>
      <c r="E73" s="189" t="s">
        <v>49</v>
      </c>
      <c r="G73" s="534">
        <f>'Budget Hearing Notice'!E52</f>
        <v>0</v>
      </c>
      <c r="H73" s="530" t="str">
        <f>CONCATENATE(E1-1," Total Mill Rate")</f>
        <v>2024 Total Mill Rate</v>
      </c>
      <c r="I73" s="531"/>
      <c r="J73" s="532"/>
    </row>
    <row r="74" spans="2:10" x14ac:dyDescent="0.2">
      <c r="B74" s="102" t="str">
        <f>CONCATENATE("",E1-2,"/",E1-1,"/",E1," Budget Authority Amount:")</f>
        <v>2023/2024/2025 Budget Authority Amount:</v>
      </c>
      <c r="C74" s="584">
        <f>inputOth!B78</f>
        <v>0</v>
      </c>
      <c r="D74" s="584">
        <f>inputPrYr!D31</f>
        <v>0</v>
      </c>
      <c r="E74" s="134">
        <f>E72</f>
        <v>0</v>
      </c>
      <c r="G74" s="563"/>
      <c r="H74" s="539"/>
      <c r="I74" s="539"/>
      <c r="J74" s="570"/>
    </row>
    <row r="75" spans="2:10" x14ac:dyDescent="0.2">
      <c r="B75" s="73"/>
      <c r="C75" s="861" t="s">
        <v>329</v>
      </c>
      <c r="D75" s="862"/>
      <c r="E75" s="31"/>
      <c r="G75" s="878" t="s">
        <v>650</v>
      </c>
      <c r="H75" s="879"/>
      <c r="I75" s="879"/>
      <c r="J75" s="882" t="str">
        <f>IF(G72&gt;G71, "Yes", "No")</f>
        <v>No</v>
      </c>
    </row>
    <row r="76" spans="2:10" x14ac:dyDescent="0.2">
      <c r="B76" s="354" t="str">
        <f>CONCATENATE(C99,"     ",D99)</f>
        <v xml:space="preserve">     </v>
      </c>
      <c r="C76" s="863" t="s">
        <v>330</v>
      </c>
      <c r="D76" s="864"/>
      <c r="E76" s="134">
        <f>E72+E75</f>
        <v>0</v>
      </c>
      <c r="G76" s="880"/>
      <c r="H76" s="881"/>
      <c r="I76" s="881"/>
      <c r="J76" s="883"/>
    </row>
    <row r="77" spans="2:10" x14ac:dyDescent="0.2">
      <c r="B77" s="354" t="str">
        <f>CONCATENATE(C100,"     ",D100)</f>
        <v xml:space="preserve">     </v>
      </c>
      <c r="C77" s="182"/>
      <c r="D77" s="101" t="s">
        <v>76</v>
      </c>
      <c r="E77" s="42">
        <f>IF(E76-E61&gt;0,E76-E61,0)</f>
        <v>0</v>
      </c>
      <c r="G77" s="859" t="str">
        <f>IF(J75="Yes", "Follow procedure prescribed by KSA 79-2988 to exceed the Revenue Neutral Rate.", " ")</f>
        <v xml:space="preserve"> </v>
      </c>
      <c r="H77" s="859"/>
      <c r="I77" s="859"/>
      <c r="J77" s="859"/>
    </row>
    <row r="78" spans="2:10" x14ac:dyDescent="0.2">
      <c r="B78" s="73"/>
      <c r="C78" s="258" t="s">
        <v>328</v>
      </c>
      <c r="D78" s="493">
        <f>inputOth!$E$53</f>
        <v>0</v>
      </c>
      <c r="E78" s="134">
        <f>ROUND(IF(D78&gt;0,(E77*D78),0),0)</f>
        <v>0</v>
      </c>
      <c r="G78" s="860"/>
      <c r="H78" s="860"/>
      <c r="I78" s="860"/>
      <c r="J78" s="860"/>
    </row>
    <row r="79" spans="2:10" ht="16.5" thickBot="1" x14ac:dyDescent="0.25">
      <c r="B79" s="101"/>
      <c r="C79" s="865" t="str">
        <f>CONCATENATE("Amount of  ",$E$1-1," Ad Valorem Tax")</f>
        <v>Amount of  2024 Ad Valorem Tax</v>
      </c>
      <c r="D79" s="866"/>
      <c r="E79" s="496">
        <f>E77+E78</f>
        <v>0</v>
      </c>
      <c r="F79" s="181"/>
      <c r="G79" s="860"/>
      <c r="H79" s="860"/>
      <c r="I79" s="860"/>
      <c r="J79" s="860"/>
    </row>
    <row r="80" spans="2:10" ht="16.5" thickTop="1" x14ac:dyDescent="0.2">
      <c r="B80" s="20"/>
      <c r="C80" s="20"/>
      <c r="D80" s="20"/>
      <c r="E80" s="20"/>
      <c r="F80" s="604" t="str">
        <f>IF(E72/0.95-E72&lt;E75,"Exceeds 5%","")</f>
        <v/>
      </c>
    </row>
    <row r="81" spans="2:5" x14ac:dyDescent="0.2">
      <c r="B81" s="698" t="s">
        <v>529</v>
      </c>
      <c r="C81" s="61"/>
      <c r="D81" s="61"/>
      <c r="E81" s="677"/>
    </row>
    <row r="82" spans="2:5" x14ac:dyDescent="0.2">
      <c r="B82" s="563"/>
      <c r="C82" s="20"/>
      <c r="D82" s="20"/>
      <c r="E82" s="570"/>
    </row>
    <row r="83" spans="2:5" x14ac:dyDescent="0.2">
      <c r="B83" s="498"/>
      <c r="C83" s="35"/>
      <c r="D83" s="35"/>
      <c r="E83" s="41"/>
    </row>
    <row r="84" spans="2:5" x14ac:dyDescent="0.2">
      <c r="B84" s="20"/>
      <c r="C84" s="20"/>
      <c r="D84" s="20"/>
      <c r="E84" s="20"/>
    </row>
    <row r="85" spans="2:5" x14ac:dyDescent="0.2">
      <c r="B85" s="73" t="s">
        <v>78</v>
      </c>
      <c r="C85" s="186"/>
      <c r="D85" s="20"/>
      <c r="E85" s="20"/>
    </row>
    <row r="97" spans="3:4" x14ac:dyDescent="0.2">
      <c r="C97" s="353" t="str">
        <f>IF(C33&gt;C35,"See Tab A","")</f>
        <v/>
      </c>
      <c r="D97" s="353" t="str">
        <f>IF(D31&gt;D35,"See Tab C","")</f>
        <v/>
      </c>
    </row>
    <row r="98" spans="3:4" hidden="1" x14ac:dyDescent="0.2">
      <c r="C98" s="353" t="str">
        <f>IF(C34&lt;0,"See Tab B","")</f>
        <v/>
      </c>
      <c r="D98" s="353" t="str">
        <f>IF(D34&lt;0,"See Tab D","")</f>
        <v/>
      </c>
    </row>
    <row r="99" spans="3:4" hidden="1" x14ac:dyDescent="0.2">
      <c r="C99" s="353" t="str">
        <f>IF(C70&gt;C74,"See Tab A","")</f>
        <v/>
      </c>
      <c r="D99" s="353" t="str">
        <f>IF(D70&gt;D74,"See Tab C","")</f>
        <v/>
      </c>
    </row>
    <row r="100" spans="3:4" hidden="1" x14ac:dyDescent="0.2">
      <c r="C100" s="353" t="str">
        <f>IF(C73&lt;0,"See Tab B","")</f>
        <v/>
      </c>
      <c r="D100" s="353" t="str">
        <f>IF(D73&lt;0,"See Tab D","")</f>
        <v/>
      </c>
    </row>
    <row r="101" spans="3:4" hidden="1" x14ac:dyDescent="0.2"/>
  </sheetData>
  <sheetProtection sheet="1"/>
  <mergeCells count="18">
    <mergeCell ref="G67:J68"/>
    <mergeCell ref="G75:I76"/>
    <mergeCell ref="J75:J76"/>
    <mergeCell ref="G77:J79"/>
    <mergeCell ref="G11:J11"/>
    <mergeCell ref="G18:J18"/>
    <mergeCell ref="G50:J50"/>
    <mergeCell ref="G57:J57"/>
    <mergeCell ref="G28:J29"/>
    <mergeCell ref="G36:I37"/>
    <mergeCell ref="J36:J37"/>
    <mergeCell ref="G38:J40"/>
    <mergeCell ref="C36:D36"/>
    <mergeCell ref="C37:D37"/>
    <mergeCell ref="C79:D79"/>
    <mergeCell ref="C40:D40"/>
    <mergeCell ref="C75:D75"/>
    <mergeCell ref="C76:D76"/>
  </mergeCells>
  <phoneticPr fontId="0" type="noConversion"/>
  <conditionalFormatting sqref="C19">
    <cfRule type="cellIs" dxfId="211" priority="19" stopIfTrue="1" operator="greaterThan">
      <formula>$C$21*0.1</formula>
    </cfRule>
  </conditionalFormatting>
  <conditionalFormatting sqref="C31">
    <cfRule type="cellIs" dxfId="210" priority="9" stopIfTrue="1" operator="greaterThan">
      <formula>$C$33*0.1</formula>
    </cfRule>
  </conditionalFormatting>
  <conditionalFormatting sqref="C33">
    <cfRule type="cellIs" dxfId="209" priority="12" stopIfTrue="1" operator="greaterThan">
      <formula>$C$35</formula>
    </cfRule>
  </conditionalFormatting>
  <conditionalFormatting sqref="C34 C73">
    <cfRule type="cellIs" dxfId="208" priority="13" stopIfTrue="1" operator="lessThan">
      <formula>0</formula>
    </cfRule>
  </conditionalFormatting>
  <conditionalFormatting sqref="C58">
    <cfRule type="cellIs" dxfId="207" priority="21" stopIfTrue="1" operator="greaterThan">
      <formula>$C$60*0.1</formula>
    </cfRule>
  </conditionalFormatting>
  <conditionalFormatting sqref="C70">
    <cfRule type="cellIs" dxfId="206" priority="14" stopIfTrue="1" operator="greaterThan">
      <formula>$C$72*0.1</formula>
    </cfRule>
  </conditionalFormatting>
  <conditionalFormatting sqref="C72">
    <cfRule type="cellIs" dxfId="205" priority="17" stopIfTrue="1" operator="greaterThan">
      <formula>$C$74</formula>
    </cfRule>
  </conditionalFormatting>
  <conditionalFormatting sqref="D19">
    <cfRule type="cellIs" dxfId="204" priority="18" stopIfTrue="1" operator="greaterThan">
      <formula>$D$21*0.1</formula>
    </cfRule>
  </conditionalFormatting>
  <conditionalFormatting sqref="D31">
    <cfRule type="cellIs" dxfId="203" priority="10" stopIfTrue="1" operator="greaterThan">
      <formula>$D$33*0.1</formula>
    </cfRule>
  </conditionalFormatting>
  <conditionalFormatting sqref="D33">
    <cfRule type="cellIs" dxfId="202" priority="11" stopIfTrue="1" operator="greaterThan">
      <formula>$D$35</formula>
    </cfRule>
  </conditionalFormatting>
  <conditionalFormatting sqref="D34 D73">
    <cfRule type="cellIs" dxfId="201" priority="4" stopIfTrue="1" operator="lessThan">
      <formula>0</formula>
    </cfRule>
  </conditionalFormatting>
  <conditionalFormatting sqref="D58">
    <cfRule type="cellIs" dxfId="200" priority="20" stopIfTrue="1" operator="greaterThan">
      <formula>$D$60*0.1</formula>
    </cfRule>
  </conditionalFormatting>
  <conditionalFormatting sqref="D70">
    <cfRule type="cellIs" dxfId="199" priority="15" stopIfTrue="1" operator="greaterThan">
      <formula>$D$72*0.1</formula>
    </cfRule>
  </conditionalFormatting>
  <conditionalFormatting sqref="D72">
    <cfRule type="cellIs" dxfId="198" priority="16" stopIfTrue="1" operator="greaterThan">
      <formula>$D$74</formula>
    </cfRule>
  </conditionalFormatting>
  <conditionalFormatting sqref="E19">
    <cfRule type="cellIs" dxfId="197" priority="23" stopIfTrue="1" operator="greaterThan">
      <formula>$E$21*0.1+E40</formula>
    </cfRule>
  </conditionalFormatting>
  <conditionalFormatting sqref="E31">
    <cfRule type="cellIs" dxfId="196" priority="5" stopIfTrue="1" operator="greaterThan">
      <formula>$E$33*0.1</formula>
    </cfRule>
  </conditionalFormatting>
  <conditionalFormatting sqref="E36">
    <cfRule type="cellIs" dxfId="195" priority="6" stopIfTrue="1" operator="greaterThan">
      <formula>$E$33/0.95-$E$33</formula>
    </cfRule>
  </conditionalFormatting>
  <conditionalFormatting sqref="E58">
    <cfRule type="cellIs" dxfId="194" priority="22" stopIfTrue="1" operator="greaterThan">
      <formula>$E$60*0.1+E79</formula>
    </cfRule>
  </conditionalFormatting>
  <conditionalFormatting sqref="E70">
    <cfRule type="cellIs" dxfId="193" priority="7" stopIfTrue="1" operator="greaterThan">
      <formula>$E$72*0.1</formula>
    </cfRule>
  </conditionalFormatting>
  <conditionalFormatting sqref="E75">
    <cfRule type="cellIs" dxfId="192" priority="8" stopIfTrue="1" operator="greaterThan">
      <formula>$E$72/0.95-$E$72</formula>
    </cfRule>
  </conditionalFormatting>
  <conditionalFormatting sqref="J36">
    <cfRule type="containsText" dxfId="191" priority="2" operator="containsText" text="Yes">
      <formula>NOT(ISERROR(SEARCH("Yes",J36)))</formula>
    </cfRule>
  </conditionalFormatting>
  <conditionalFormatting sqref="J75">
    <cfRule type="containsText" dxfId="190" priority="1" operator="containsText" text="Yes">
      <formula>NOT(ISERROR(SEARCH("Yes",J75)))</formula>
    </cfRule>
  </conditionalFormatting>
  <pageMargins left="0.5" right="0.5" top="1" bottom="0.5" header="0.5" footer="0.5"/>
  <pageSetup scale="51" orientation="portrait" blackAndWhite="1" horizontalDpi="120" verticalDpi="144"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B0F0"/>
    <pageSetUpPr fitToPage="1"/>
  </sheetPr>
  <dimension ref="B1:E65"/>
  <sheetViews>
    <sheetView zoomScaleNormal="100" workbookViewId="0">
      <selection activeCell="B2" sqref="B2"/>
    </sheetView>
  </sheetViews>
  <sheetFormatPr defaultColWidth="8.88671875" defaultRowHeight="15.75" x14ac:dyDescent="0.2"/>
  <cols>
    <col min="1" max="1" width="2.44140625" style="18" customWidth="1"/>
    <col min="2" max="2" width="31.109375" style="18" customWidth="1"/>
    <col min="3" max="4" width="15.77734375" style="18" customWidth="1"/>
    <col min="5" max="5" width="16.21875" style="18" customWidth="1"/>
    <col min="6" max="16384" width="8.88671875" style="18"/>
  </cols>
  <sheetData>
    <row r="1" spans="2:5" x14ac:dyDescent="0.2">
      <c r="B1" s="39">
        <f>(inputPrYr!D3)</f>
        <v>0</v>
      </c>
      <c r="C1" s="20"/>
      <c r="D1" s="20"/>
      <c r="E1" s="73">
        <f>inputPrYr!C6</f>
        <v>2025</v>
      </c>
    </row>
    <row r="2" spans="2:5" x14ac:dyDescent="0.2">
      <c r="B2" s="20"/>
      <c r="C2" s="20"/>
      <c r="D2" s="20"/>
      <c r="E2" s="101"/>
    </row>
    <row r="3" spans="2:5" x14ac:dyDescent="0.2">
      <c r="B3" s="154" t="s">
        <v>126</v>
      </c>
      <c r="C3" s="191"/>
      <c r="D3" s="191"/>
      <c r="E3" s="191"/>
    </row>
    <row r="4" spans="2:5" x14ac:dyDescent="0.2">
      <c r="B4" s="21" t="s">
        <v>59</v>
      </c>
      <c r="C4" s="292" t="s">
        <v>377</v>
      </c>
      <c r="D4" s="291" t="s">
        <v>378</v>
      </c>
      <c r="E4" s="271" t="s">
        <v>379</v>
      </c>
    </row>
    <row r="5" spans="2:5" x14ac:dyDescent="0.2">
      <c r="B5" s="357" t="str">
        <f>(inputPrYr!B37)</f>
        <v>Special Highway</v>
      </c>
      <c r="C5" s="293" t="str">
        <f>CONCATENATE("Actual for ",E1-2,"")</f>
        <v>Actual for 2023</v>
      </c>
      <c r="D5" s="293" t="str">
        <f>CONCATENATE("Estimate for ",E1-1,"")</f>
        <v>Estimate for 2024</v>
      </c>
      <c r="E5" s="279" t="str">
        <f>CONCATENATE("Year for ",E1,"")</f>
        <v>Year for 2025</v>
      </c>
    </row>
    <row r="6" spans="2:5" x14ac:dyDescent="0.2">
      <c r="B6" s="158" t="s">
        <v>140</v>
      </c>
      <c r="C6" s="31"/>
      <c r="D6" s="134">
        <f>C27</f>
        <v>0</v>
      </c>
      <c r="E6" s="134">
        <f>D27</f>
        <v>0</v>
      </c>
    </row>
    <row r="7" spans="2:5" x14ac:dyDescent="0.2">
      <c r="B7" s="162" t="s">
        <v>142</v>
      </c>
      <c r="C7" s="44"/>
      <c r="D7" s="44"/>
      <c r="E7" s="44"/>
    </row>
    <row r="8" spans="2:5" x14ac:dyDescent="0.2">
      <c r="B8" s="180" t="s">
        <v>135</v>
      </c>
      <c r="C8" s="31"/>
      <c r="D8" s="195">
        <f>inputOth!E58</f>
        <v>0</v>
      </c>
      <c r="E8" s="134">
        <f>inputOth!E56</f>
        <v>0</v>
      </c>
    </row>
    <row r="9" spans="2:5" x14ac:dyDescent="0.2">
      <c r="B9" s="196" t="s">
        <v>176</v>
      </c>
      <c r="C9" s="31"/>
      <c r="D9" s="195">
        <f>inputOth!E59</f>
        <v>0</v>
      </c>
      <c r="E9" s="195">
        <f>inputOth!E57</f>
        <v>0</v>
      </c>
    </row>
    <row r="10" spans="2:5" x14ac:dyDescent="0.2">
      <c r="B10" s="179"/>
      <c r="C10" s="31"/>
      <c r="D10" s="31"/>
      <c r="E10" s="31"/>
    </row>
    <row r="11" spans="2:5" x14ac:dyDescent="0.2">
      <c r="B11" s="179"/>
      <c r="C11" s="31"/>
      <c r="D11" s="31"/>
      <c r="E11" s="31"/>
    </row>
    <row r="12" spans="2:5" x14ac:dyDescent="0.2">
      <c r="B12" s="167" t="s">
        <v>67</v>
      </c>
      <c r="C12" s="31"/>
      <c r="D12" s="31"/>
      <c r="E12" s="31"/>
    </row>
    <row r="13" spans="2:5" x14ac:dyDescent="0.2">
      <c r="B13" s="96" t="s">
        <v>9</v>
      </c>
      <c r="C13" s="31"/>
      <c r="D13" s="164"/>
      <c r="E13" s="164"/>
    </row>
    <row r="14" spans="2:5" x14ac:dyDescent="0.2">
      <c r="B14" s="158" t="s">
        <v>370</v>
      </c>
      <c r="C14" s="202" t="str">
        <f>IF(C15*0.1&lt;C13,"Exceed 10% Rule","")</f>
        <v/>
      </c>
      <c r="D14" s="169" t="str">
        <f>IF(D15*0.1&lt;D13,"Exceed 10% Rule","")</f>
        <v/>
      </c>
      <c r="E14" s="169" t="str">
        <f>IF(E15*0.1&lt;E13,"Exceed 10% Rule","")</f>
        <v/>
      </c>
    </row>
    <row r="15" spans="2:5" x14ac:dyDescent="0.2">
      <c r="B15" s="170" t="s">
        <v>68</v>
      </c>
      <c r="C15" s="173">
        <f>SUM(C8:C13)</f>
        <v>0</v>
      </c>
      <c r="D15" s="173">
        <f>SUM(D8:D13)</f>
        <v>0</v>
      </c>
      <c r="E15" s="173">
        <f>SUM(E8:E13)</f>
        <v>0</v>
      </c>
    </row>
    <row r="16" spans="2:5" x14ac:dyDescent="0.2">
      <c r="B16" s="170" t="s">
        <v>69</v>
      </c>
      <c r="C16" s="173">
        <f>C6+C15</f>
        <v>0</v>
      </c>
      <c r="D16" s="173">
        <f>D6+D15</f>
        <v>0</v>
      </c>
      <c r="E16" s="173">
        <f>E6+E15</f>
        <v>0</v>
      </c>
    </row>
    <row r="17" spans="2:5" x14ac:dyDescent="0.2">
      <c r="B17" s="87" t="s">
        <v>71</v>
      </c>
      <c r="C17" s="134"/>
      <c r="D17" s="134"/>
      <c r="E17" s="134"/>
    </row>
    <row r="18" spans="2:5" x14ac:dyDescent="0.2">
      <c r="B18" s="179"/>
      <c r="C18" s="31"/>
      <c r="D18" s="31"/>
      <c r="E18" s="31"/>
    </row>
    <row r="19" spans="2:5" x14ac:dyDescent="0.2">
      <c r="B19" s="179"/>
      <c r="C19" s="31"/>
      <c r="D19" s="31"/>
      <c r="E19" s="31"/>
    </row>
    <row r="20" spans="2:5" x14ac:dyDescent="0.2">
      <c r="B20" s="179"/>
      <c r="C20" s="31"/>
      <c r="D20" s="31"/>
      <c r="E20" s="31"/>
    </row>
    <row r="21" spans="2:5" x14ac:dyDescent="0.2">
      <c r="B21" s="179"/>
      <c r="C21" s="31"/>
      <c r="D21" s="31"/>
      <c r="E21" s="31"/>
    </row>
    <row r="22" spans="2:5" x14ac:dyDescent="0.2">
      <c r="B22" s="179"/>
      <c r="C22" s="31"/>
      <c r="D22" s="31"/>
      <c r="E22" s="31"/>
    </row>
    <row r="23" spans="2:5" x14ac:dyDescent="0.2">
      <c r="B23" s="180" t="str">
        <f>CONCATENATE("Cash Reserve (",E1," column)")</f>
        <v>Cash Reserve (2025 column)</v>
      </c>
      <c r="C23" s="31"/>
      <c r="D23" s="31"/>
      <c r="E23" s="31"/>
    </row>
    <row r="24" spans="2:5" x14ac:dyDescent="0.2">
      <c r="B24" s="180" t="s">
        <v>9</v>
      </c>
      <c r="C24" s="31"/>
      <c r="D24" s="164"/>
      <c r="E24" s="164"/>
    </row>
    <row r="25" spans="2:5" x14ac:dyDescent="0.2">
      <c r="B25" s="180" t="s">
        <v>371</v>
      </c>
      <c r="C25" s="202" t="str">
        <f>IF(C26*0.1&lt;C24,"Exceed 10% Rule","")</f>
        <v/>
      </c>
      <c r="D25" s="169" t="str">
        <f>IF(D26*0.1&lt;D24,"Exceed 10% Rule","")</f>
        <v/>
      </c>
      <c r="E25" s="169" t="str">
        <f>IF(E26*0.1&lt;E24,"Exceed 10% Rule","")</f>
        <v/>
      </c>
    </row>
    <row r="26" spans="2:5" x14ac:dyDescent="0.2">
      <c r="B26" s="170" t="s">
        <v>75</v>
      </c>
      <c r="C26" s="173">
        <f>SUM(C18:C24)</f>
        <v>0</v>
      </c>
      <c r="D26" s="173">
        <f>SUM(D18:D24)</f>
        <v>0</v>
      </c>
      <c r="E26" s="173">
        <f>SUM(E18:E24)</f>
        <v>0</v>
      </c>
    </row>
    <row r="27" spans="2:5" x14ac:dyDescent="0.2">
      <c r="B27" s="87" t="s">
        <v>141</v>
      </c>
      <c r="C27" s="42">
        <f>C16-C26</f>
        <v>0</v>
      </c>
      <c r="D27" s="42">
        <f>D16-D26</f>
        <v>0</v>
      </c>
      <c r="E27" s="42">
        <f>E16-E26</f>
        <v>0</v>
      </c>
    </row>
    <row r="28" spans="2:5" x14ac:dyDescent="0.2">
      <c r="B28" s="102" t="str">
        <f>CONCATENATE("",E1-2,"/",E1-1,"/",E1," Budget Authority Amount:")</f>
        <v>2023/2024/2025 Budget Authority Amount:</v>
      </c>
      <c r="C28" s="584">
        <f>inputOth!B80</f>
        <v>0</v>
      </c>
      <c r="D28" s="584">
        <f>inputPrYr!D37</f>
        <v>0</v>
      </c>
      <c r="E28" s="613">
        <f>E26</f>
        <v>0</v>
      </c>
    </row>
    <row r="29" spans="2:5" x14ac:dyDescent="0.2">
      <c r="B29" s="73"/>
      <c r="C29" s="182" t="str">
        <f>IF(C26&gt;C28,"See Tab A","")</f>
        <v/>
      </c>
      <c r="D29" s="182" t="str">
        <f>IF(D26&gt;D28,"See Tab C","")</f>
        <v/>
      </c>
      <c r="E29" s="614" t="str">
        <f>IF(E27&lt;0,"See Tab E","")</f>
        <v/>
      </c>
    </row>
    <row r="30" spans="2:5" x14ac:dyDescent="0.2">
      <c r="B30" s="73"/>
      <c r="C30" s="182" t="str">
        <f>IF(C27&lt;0,"See Tab B","")</f>
        <v/>
      </c>
      <c r="D30" s="182" t="str">
        <f>IF(D27&lt;0,"See Tab D","")</f>
        <v/>
      </c>
      <c r="E30" s="48"/>
    </row>
    <row r="31" spans="2:5" x14ac:dyDescent="0.2">
      <c r="B31" s="20"/>
      <c r="C31" s="48"/>
      <c r="D31" s="48"/>
      <c r="E31" s="48"/>
    </row>
    <row r="32" spans="2:5" x14ac:dyDescent="0.2">
      <c r="B32" s="21"/>
      <c r="C32" s="197"/>
      <c r="D32" s="197"/>
      <c r="E32" s="197"/>
    </row>
    <row r="33" spans="2:5" x14ac:dyDescent="0.2">
      <c r="B33" s="21" t="s">
        <v>59</v>
      </c>
      <c r="C33" s="183" t="s">
        <v>377</v>
      </c>
      <c r="D33" s="81" t="s">
        <v>378</v>
      </c>
      <c r="E33" s="81" t="s">
        <v>379</v>
      </c>
    </row>
    <row r="34" spans="2:5" x14ac:dyDescent="0.2">
      <c r="B34" s="357">
        <f>(inputPrYr!B38)</f>
        <v>0</v>
      </c>
      <c r="C34" s="86" t="str">
        <f>C5</f>
        <v>Actual for 2023</v>
      </c>
      <c r="D34" s="86" t="str">
        <f>D5</f>
        <v>Estimate for 2024</v>
      </c>
      <c r="E34" s="86" t="str">
        <f>E5</f>
        <v>Year for 2025</v>
      </c>
    </row>
    <row r="35" spans="2:5" x14ac:dyDescent="0.2">
      <c r="B35" s="158" t="s">
        <v>140</v>
      </c>
      <c r="C35" s="31"/>
      <c r="D35" s="134">
        <f>C58</f>
        <v>0</v>
      </c>
      <c r="E35" s="134">
        <f>D58</f>
        <v>0</v>
      </c>
    </row>
    <row r="36" spans="2:5" x14ac:dyDescent="0.2">
      <c r="B36" s="162" t="s">
        <v>142</v>
      </c>
      <c r="C36" s="44"/>
      <c r="D36" s="44"/>
      <c r="E36" s="44"/>
    </row>
    <row r="37" spans="2:5" x14ac:dyDescent="0.2">
      <c r="B37" s="179"/>
      <c r="C37" s="31"/>
      <c r="D37" s="31"/>
      <c r="E37" s="31"/>
    </row>
    <row r="38" spans="2:5" x14ac:dyDescent="0.2">
      <c r="B38" s="179"/>
      <c r="C38" s="31"/>
      <c r="D38" s="31"/>
      <c r="E38" s="31"/>
    </row>
    <row r="39" spans="2:5" x14ac:dyDescent="0.2">
      <c r="B39" s="179"/>
      <c r="C39" s="31"/>
      <c r="D39" s="31"/>
      <c r="E39" s="31"/>
    </row>
    <row r="40" spans="2:5" x14ac:dyDescent="0.2">
      <c r="B40" s="179"/>
      <c r="C40" s="31"/>
      <c r="D40" s="31"/>
      <c r="E40" s="31"/>
    </row>
    <row r="41" spans="2:5" x14ac:dyDescent="0.2">
      <c r="B41" s="167" t="s">
        <v>67</v>
      </c>
      <c r="C41" s="31"/>
      <c r="D41" s="31"/>
      <c r="E41" s="31"/>
    </row>
    <row r="42" spans="2:5" x14ac:dyDescent="0.2">
      <c r="B42" s="96" t="s">
        <v>9</v>
      </c>
      <c r="C42" s="31"/>
      <c r="D42" s="164"/>
      <c r="E42" s="164"/>
    </row>
    <row r="43" spans="2:5" x14ac:dyDescent="0.2">
      <c r="B43" s="158" t="s">
        <v>370</v>
      </c>
      <c r="C43" s="202" t="str">
        <f>IF(C44*0.1&lt;C42,"Exceed 10% Rule","")</f>
        <v/>
      </c>
      <c r="D43" s="169" t="str">
        <f>IF(D44*0.1&lt;D42,"Exceed 10% Rule","")</f>
        <v/>
      </c>
      <c r="E43" s="169" t="str">
        <f>IF(E44*0.1&lt;E42,"Exceed 10% Rule","")</f>
        <v/>
      </c>
    </row>
    <row r="44" spans="2:5" x14ac:dyDescent="0.2">
      <c r="B44" s="170" t="s">
        <v>68</v>
      </c>
      <c r="C44" s="173">
        <f>SUM(C37:C42)</f>
        <v>0</v>
      </c>
      <c r="D44" s="173">
        <f>SUM(D37:D42)</f>
        <v>0</v>
      </c>
      <c r="E44" s="173">
        <f>SUM(E37:E42)</f>
        <v>0</v>
      </c>
    </row>
    <row r="45" spans="2:5" x14ac:dyDescent="0.2">
      <c r="B45" s="170" t="s">
        <v>69</v>
      </c>
      <c r="C45" s="173">
        <f>C35+C44</f>
        <v>0</v>
      </c>
      <c r="D45" s="173">
        <f>D35+D44</f>
        <v>0</v>
      </c>
      <c r="E45" s="173">
        <f>E35+E44</f>
        <v>0</v>
      </c>
    </row>
    <row r="46" spans="2:5" x14ac:dyDescent="0.2">
      <c r="B46" s="87" t="s">
        <v>71</v>
      </c>
      <c r="C46" s="134"/>
      <c r="D46" s="134"/>
      <c r="E46" s="134"/>
    </row>
    <row r="47" spans="2:5" x14ac:dyDescent="0.2">
      <c r="B47" s="179"/>
      <c r="C47" s="31"/>
      <c r="D47" s="31"/>
      <c r="E47" s="31"/>
    </row>
    <row r="48" spans="2:5" x14ac:dyDescent="0.2">
      <c r="B48" s="179"/>
      <c r="C48" s="31"/>
      <c r="D48" s="31"/>
      <c r="E48" s="31"/>
    </row>
    <row r="49" spans="2:5" x14ac:dyDescent="0.2">
      <c r="B49" s="179"/>
      <c r="C49" s="31"/>
      <c r="D49" s="31"/>
      <c r="E49" s="31"/>
    </row>
    <row r="50" spans="2:5" x14ac:dyDescent="0.2">
      <c r="B50" s="179"/>
      <c r="C50" s="31"/>
      <c r="D50" s="31"/>
      <c r="E50" s="31"/>
    </row>
    <row r="51" spans="2:5" x14ac:dyDescent="0.2">
      <c r="B51" s="179"/>
      <c r="C51" s="31"/>
      <c r="D51" s="31"/>
      <c r="E51" s="31"/>
    </row>
    <row r="52" spans="2:5" x14ac:dyDescent="0.2">
      <c r="B52" s="179"/>
      <c r="C52" s="31"/>
      <c r="D52" s="31"/>
      <c r="E52" s="31"/>
    </row>
    <row r="53" spans="2:5" x14ac:dyDescent="0.2">
      <c r="B53" s="179"/>
      <c r="C53" s="31"/>
      <c r="D53" s="31"/>
      <c r="E53" s="31"/>
    </row>
    <row r="54" spans="2:5" x14ac:dyDescent="0.2">
      <c r="B54" s="180" t="str">
        <f>CONCATENATE("Cash Reserve (",E1," column)")</f>
        <v>Cash Reserve (2025 column)</v>
      </c>
      <c r="C54" s="31"/>
      <c r="D54" s="31"/>
      <c r="E54" s="31"/>
    </row>
    <row r="55" spans="2:5" x14ac:dyDescent="0.2">
      <c r="B55" s="180" t="s">
        <v>9</v>
      </c>
      <c r="C55" s="31"/>
      <c r="D55" s="164"/>
      <c r="E55" s="164"/>
    </row>
    <row r="56" spans="2:5" x14ac:dyDescent="0.2">
      <c r="B56" s="180" t="s">
        <v>371</v>
      </c>
      <c r="C56" s="202" t="str">
        <f>IF(C57*0.1&lt;C55,"Exceed 10% Rule","")</f>
        <v/>
      </c>
      <c r="D56" s="169" t="str">
        <f>IF(D57*0.1&lt;D55,"Exceed 10% Rule","")</f>
        <v/>
      </c>
      <c r="E56" s="169" t="str">
        <f>IF(E57*0.1&lt;E55,"Exceed 10% Rule","")</f>
        <v/>
      </c>
    </row>
    <row r="57" spans="2:5" x14ac:dyDescent="0.2">
      <c r="B57" s="170" t="s">
        <v>75</v>
      </c>
      <c r="C57" s="173">
        <f>SUM(C47:C55)</f>
        <v>0</v>
      </c>
      <c r="D57" s="173">
        <f>SUM(D47:D55)</f>
        <v>0</v>
      </c>
      <c r="E57" s="173">
        <f>SUM(E47:E55)</f>
        <v>0</v>
      </c>
    </row>
    <row r="58" spans="2:5" x14ac:dyDescent="0.2">
      <c r="B58" s="87" t="s">
        <v>141</v>
      </c>
      <c r="C58" s="42">
        <f>C45-C57</f>
        <v>0</v>
      </c>
      <c r="D58" s="42">
        <f>D45-D57</f>
        <v>0</v>
      </c>
      <c r="E58" s="42">
        <f>E45-E57</f>
        <v>0</v>
      </c>
    </row>
    <row r="59" spans="2:5" x14ac:dyDescent="0.2">
      <c r="B59" s="102" t="str">
        <f>CONCATENATE("",E1-2,"/",E1-1,"/",E1," Budget Authority Amount:")</f>
        <v>2023/2024/2025 Budget Authority Amount:</v>
      </c>
      <c r="C59" s="584">
        <f>inputOth!B81</f>
        <v>0</v>
      </c>
      <c r="D59" s="584">
        <f>inputPrYr!D38</f>
        <v>0</v>
      </c>
      <c r="E59" s="613">
        <f>E57</f>
        <v>0</v>
      </c>
    </row>
    <row r="60" spans="2:5" x14ac:dyDescent="0.2">
      <c r="B60" s="73"/>
      <c r="C60" s="182" t="str">
        <f>IF(C57&gt;C59,"See Tab A","")</f>
        <v/>
      </c>
      <c r="D60" s="182" t="str">
        <f>IF(D57&gt;D59,"See Tab C","")</f>
        <v/>
      </c>
      <c r="E60" s="614" t="str">
        <f>IF(E58&lt;0,"See Tab E","")</f>
        <v/>
      </c>
    </row>
    <row r="61" spans="2:5" x14ac:dyDescent="0.2">
      <c r="B61" s="704" t="s">
        <v>529</v>
      </c>
      <c r="C61" s="691" t="str">
        <f>IF(C58&lt;0,"See Tab B","")</f>
        <v/>
      </c>
      <c r="D61" s="691" t="str">
        <f>IF(D58&lt;0,"See Tab D","")</f>
        <v/>
      </c>
      <c r="E61" s="677"/>
    </row>
    <row r="62" spans="2:5" x14ac:dyDescent="0.2">
      <c r="B62" s="563"/>
      <c r="C62" s="20"/>
      <c r="D62" s="20"/>
      <c r="E62" s="570"/>
    </row>
    <row r="63" spans="2:5" x14ac:dyDescent="0.2">
      <c r="B63" s="498"/>
      <c r="C63" s="35"/>
      <c r="D63" s="35"/>
      <c r="E63" s="41"/>
    </row>
    <row r="64" spans="2:5" x14ac:dyDescent="0.2">
      <c r="B64" s="20"/>
      <c r="C64" s="20"/>
      <c r="D64" s="20"/>
      <c r="E64" s="20"/>
    </row>
    <row r="65" spans="2:5" x14ac:dyDescent="0.2">
      <c r="B65" s="101" t="s">
        <v>78</v>
      </c>
      <c r="C65" s="186"/>
      <c r="D65" s="20"/>
      <c r="E65" s="20"/>
    </row>
  </sheetData>
  <sheetProtection sheet="1"/>
  <phoneticPr fontId="0" type="noConversion"/>
  <conditionalFormatting sqref="C13">
    <cfRule type="cellIs" dxfId="189" priority="3" stopIfTrue="1" operator="greaterThan">
      <formula>$C$15*0.1</formula>
    </cfRule>
  </conditionalFormatting>
  <conditionalFormatting sqref="C24">
    <cfRule type="cellIs" dxfId="188" priority="6" stopIfTrue="1" operator="greaterThan">
      <formula>$C$26*0.1</formula>
    </cfRule>
  </conditionalFormatting>
  <conditionalFormatting sqref="C26">
    <cfRule type="cellIs" dxfId="187" priority="19" stopIfTrue="1" operator="greaterThan">
      <formula>$C$28</formula>
    </cfRule>
  </conditionalFormatting>
  <conditionalFormatting sqref="C27 E27 C58 E58">
    <cfRule type="cellIs" dxfId="186" priority="17" stopIfTrue="1" operator="lessThan">
      <formula>0</formula>
    </cfRule>
  </conditionalFormatting>
  <conditionalFormatting sqref="C42">
    <cfRule type="cellIs" dxfId="185" priority="9" stopIfTrue="1" operator="greaterThan">
      <formula>$C$44*0.1</formula>
    </cfRule>
  </conditionalFormatting>
  <conditionalFormatting sqref="C55">
    <cfRule type="cellIs" dxfId="184" priority="12" stopIfTrue="1" operator="greaterThan">
      <formula>$C$57*0.1</formula>
    </cfRule>
  </conditionalFormatting>
  <conditionalFormatting sqref="C57">
    <cfRule type="cellIs" dxfId="183" priority="16" stopIfTrue="1" operator="greaterThan">
      <formula>$C$59</formula>
    </cfRule>
  </conditionalFormatting>
  <conditionalFormatting sqref="D13">
    <cfRule type="cellIs" dxfId="182" priority="4" stopIfTrue="1" operator="greaterThan">
      <formula>$D$15*0.1</formula>
    </cfRule>
  </conditionalFormatting>
  <conditionalFormatting sqref="D24">
    <cfRule type="cellIs" dxfId="181" priority="7" stopIfTrue="1" operator="greaterThan">
      <formula>$D$26*0.1</formula>
    </cfRule>
  </conditionalFormatting>
  <conditionalFormatting sqref="D26">
    <cfRule type="cellIs" dxfId="180" priority="18" stopIfTrue="1" operator="greaterThan">
      <formula>$D$28</formula>
    </cfRule>
  </conditionalFormatting>
  <conditionalFormatting sqref="D27">
    <cfRule type="cellIs" dxfId="179" priority="2" stopIfTrue="1" operator="lessThan">
      <formula>0</formula>
    </cfRule>
  </conditionalFormatting>
  <conditionalFormatting sqref="D42">
    <cfRule type="cellIs" dxfId="178" priority="10" stopIfTrue="1" operator="greaterThan">
      <formula>$D$44*0.1</formula>
    </cfRule>
  </conditionalFormatting>
  <conditionalFormatting sqref="D55">
    <cfRule type="cellIs" dxfId="177" priority="13" stopIfTrue="1" operator="greaterThan">
      <formula>$D$57*0.1</formula>
    </cfRule>
  </conditionalFormatting>
  <conditionalFormatting sqref="D57">
    <cfRule type="cellIs" dxfId="176" priority="15" stopIfTrue="1" operator="greaterThan">
      <formula>$D$59</formula>
    </cfRule>
  </conditionalFormatting>
  <conditionalFormatting sqref="D58">
    <cfRule type="cellIs" dxfId="175" priority="1" stopIfTrue="1" operator="lessThan">
      <formula>0</formula>
    </cfRule>
  </conditionalFormatting>
  <conditionalFormatting sqref="E13">
    <cfRule type="cellIs" dxfId="174" priority="5" stopIfTrue="1" operator="greaterThan">
      <formula>$E$15*0.1</formula>
    </cfRule>
  </conditionalFormatting>
  <conditionalFormatting sqref="E24">
    <cfRule type="cellIs" dxfId="173" priority="8" stopIfTrue="1" operator="greaterThan">
      <formula>$E$26*0.1</formula>
    </cfRule>
  </conditionalFormatting>
  <conditionalFormatting sqref="E42">
    <cfRule type="cellIs" dxfId="172" priority="11" stopIfTrue="1" operator="greaterThan">
      <formula>$E$44*0.1</formula>
    </cfRule>
  </conditionalFormatting>
  <conditionalFormatting sqref="E55">
    <cfRule type="cellIs" dxfId="171" priority="14" stopIfTrue="1" operator="greaterThan">
      <formula>$E$57*0.1</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B0F0"/>
    <pageSetUpPr fitToPage="1"/>
  </sheetPr>
  <dimension ref="B1:E64"/>
  <sheetViews>
    <sheetView workbookViewId="0">
      <selection activeCell="B2" sqref="B2"/>
    </sheetView>
  </sheetViews>
  <sheetFormatPr defaultColWidth="8.88671875" defaultRowHeight="15.75" x14ac:dyDescent="0.2"/>
  <cols>
    <col min="1" max="1" width="2.44140625" style="18" customWidth="1"/>
    <col min="2" max="2" width="31.109375" style="18" customWidth="1"/>
    <col min="3" max="4" width="15.77734375" style="18" customWidth="1"/>
    <col min="5" max="5" width="16.33203125" style="18" customWidth="1"/>
    <col min="6" max="16384" width="8.88671875" style="18"/>
  </cols>
  <sheetData>
    <row r="1" spans="2:5" x14ac:dyDescent="0.2">
      <c r="B1" s="39">
        <f>(inputPrYr!D3)</f>
        <v>0</v>
      </c>
      <c r="C1" s="20"/>
      <c r="D1" s="20"/>
      <c r="E1" s="73">
        <f>inputPrYr!C6</f>
        <v>2025</v>
      </c>
    </row>
    <row r="2" spans="2:5" x14ac:dyDescent="0.2">
      <c r="B2" s="20"/>
      <c r="C2" s="20"/>
      <c r="D2" s="20"/>
      <c r="E2" s="101"/>
    </row>
    <row r="3" spans="2:5" x14ac:dyDescent="0.2">
      <c r="B3" s="154" t="s">
        <v>126</v>
      </c>
      <c r="C3" s="191"/>
      <c r="D3" s="191"/>
      <c r="E3" s="191"/>
    </row>
    <row r="4" spans="2:5" x14ac:dyDescent="0.2">
      <c r="B4" s="21" t="s">
        <v>59</v>
      </c>
      <c r="C4" s="292" t="s">
        <v>377</v>
      </c>
      <c r="D4" s="291" t="s">
        <v>378</v>
      </c>
      <c r="E4" s="271" t="s">
        <v>379</v>
      </c>
    </row>
    <row r="5" spans="2:5" x14ac:dyDescent="0.2">
      <c r="B5" s="357">
        <f>(inputPrYr!B39)</f>
        <v>0</v>
      </c>
      <c r="C5" s="293" t="str">
        <f>CONCATENATE("Actual for ",E1-2,"")</f>
        <v>Actual for 2023</v>
      </c>
      <c r="D5" s="293" t="str">
        <f>CONCATENATE("Estimate for ",E1-1,"")</f>
        <v>Estimate for 2024</v>
      </c>
      <c r="E5" s="279" t="str">
        <f>CONCATENATE("Year for ",E1,"")</f>
        <v>Year for 2025</v>
      </c>
    </row>
    <row r="6" spans="2:5" x14ac:dyDescent="0.2">
      <c r="B6" s="158" t="s">
        <v>140</v>
      </c>
      <c r="C6" s="31"/>
      <c r="D6" s="134">
        <f>C27</f>
        <v>0</v>
      </c>
      <c r="E6" s="134">
        <f>D27</f>
        <v>0</v>
      </c>
    </row>
    <row r="7" spans="2:5" x14ac:dyDescent="0.2">
      <c r="B7" s="162" t="s">
        <v>142</v>
      </c>
      <c r="C7" s="44"/>
      <c r="D7" s="44"/>
      <c r="E7" s="44"/>
    </row>
    <row r="8" spans="2:5" x14ac:dyDescent="0.2">
      <c r="B8" s="179"/>
      <c r="C8" s="31"/>
      <c r="D8" s="31"/>
      <c r="E8" s="31"/>
    </row>
    <row r="9" spans="2:5" x14ac:dyDescent="0.2">
      <c r="B9" s="179"/>
      <c r="C9" s="31"/>
      <c r="D9" s="31"/>
      <c r="E9" s="31"/>
    </row>
    <row r="10" spans="2:5" x14ac:dyDescent="0.2">
      <c r="B10" s="179"/>
      <c r="C10" s="31"/>
      <c r="D10" s="31"/>
      <c r="E10" s="31"/>
    </row>
    <row r="11" spans="2:5" x14ac:dyDescent="0.2">
      <c r="B11" s="179"/>
      <c r="C11" s="31"/>
      <c r="D11" s="31"/>
      <c r="E11" s="31"/>
    </row>
    <row r="12" spans="2:5" x14ac:dyDescent="0.2">
      <c r="B12" s="167" t="s">
        <v>67</v>
      </c>
      <c r="C12" s="31"/>
      <c r="D12" s="31"/>
      <c r="E12" s="31"/>
    </row>
    <row r="13" spans="2:5" x14ac:dyDescent="0.2">
      <c r="B13" s="96" t="s">
        <v>9</v>
      </c>
      <c r="C13" s="31"/>
      <c r="D13" s="164"/>
      <c r="E13" s="164"/>
    </row>
    <row r="14" spans="2:5" x14ac:dyDescent="0.2">
      <c r="B14" s="158" t="s">
        <v>370</v>
      </c>
      <c r="C14" s="202" t="str">
        <f>IF(C15*0.1&lt;C13,"Exceed 10% Rule","")</f>
        <v/>
      </c>
      <c r="D14" s="169" t="str">
        <f>IF(D15*0.1&lt;D13,"Exceed 10% Rule","")</f>
        <v/>
      </c>
      <c r="E14" s="169" t="str">
        <f>IF(E15*0.1&lt;E13,"Exceed 10% Rule","")</f>
        <v/>
      </c>
    </row>
    <row r="15" spans="2:5" x14ac:dyDescent="0.2">
      <c r="B15" s="170" t="s">
        <v>68</v>
      </c>
      <c r="C15" s="173">
        <f>SUM(C8:C13)</f>
        <v>0</v>
      </c>
      <c r="D15" s="173">
        <f>SUM(D8:D13)</f>
        <v>0</v>
      </c>
      <c r="E15" s="173">
        <f>SUM(E8:E13)</f>
        <v>0</v>
      </c>
    </row>
    <row r="16" spans="2:5" x14ac:dyDescent="0.2">
      <c r="B16" s="170" t="s">
        <v>69</v>
      </c>
      <c r="C16" s="173">
        <f>C6+C15</f>
        <v>0</v>
      </c>
      <c r="D16" s="173">
        <f>D6+D15</f>
        <v>0</v>
      </c>
      <c r="E16" s="173">
        <f>E6+E15</f>
        <v>0</v>
      </c>
    </row>
    <row r="17" spans="2:5" x14ac:dyDescent="0.2">
      <c r="B17" s="87" t="s">
        <v>71</v>
      </c>
      <c r="C17" s="134"/>
      <c r="D17" s="134"/>
      <c r="E17" s="134"/>
    </row>
    <row r="18" spans="2:5" x14ac:dyDescent="0.2">
      <c r="B18" s="179"/>
      <c r="C18" s="31"/>
      <c r="D18" s="31"/>
      <c r="E18" s="31"/>
    </row>
    <row r="19" spans="2:5" x14ac:dyDescent="0.2">
      <c r="B19" s="179"/>
      <c r="C19" s="31"/>
      <c r="D19" s="31"/>
      <c r="E19" s="31"/>
    </row>
    <row r="20" spans="2:5" x14ac:dyDescent="0.2">
      <c r="B20" s="179"/>
      <c r="C20" s="31"/>
      <c r="D20" s="31"/>
      <c r="E20" s="31"/>
    </row>
    <row r="21" spans="2:5" x14ac:dyDescent="0.2">
      <c r="B21" s="179"/>
      <c r="C21" s="31"/>
      <c r="D21" s="31"/>
      <c r="E21" s="31"/>
    </row>
    <row r="22" spans="2:5" x14ac:dyDescent="0.2">
      <c r="B22" s="179"/>
      <c r="C22" s="31"/>
      <c r="D22" s="31"/>
      <c r="E22" s="31"/>
    </row>
    <row r="23" spans="2:5" x14ac:dyDescent="0.2">
      <c r="B23" s="180" t="str">
        <f>CONCATENATE("Cash Reserve (",E1," column)")</f>
        <v>Cash Reserve (2025 column)</v>
      </c>
      <c r="C23" s="31"/>
      <c r="D23" s="31"/>
      <c r="E23" s="31"/>
    </row>
    <row r="24" spans="2:5" x14ac:dyDescent="0.2">
      <c r="B24" s="180" t="s">
        <v>9</v>
      </c>
      <c r="C24" s="31"/>
      <c r="D24" s="164"/>
      <c r="E24" s="164"/>
    </row>
    <row r="25" spans="2:5" x14ac:dyDescent="0.2">
      <c r="B25" s="180" t="s">
        <v>371</v>
      </c>
      <c r="C25" s="202" t="str">
        <f>IF(C26*0.1&lt;C24,"Exceed 10% Rule","")</f>
        <v/>
      </c>
      <c r="D25" s="169" t="str">
        <f>IF(D26*0.1&lt;D24,"Exceed 10% Rule","")</f>
        <v/>
      </c>
      <c r="E25" s="169" t="str">
        <f>IF(E26*0.1&lt;E24,"Exceed 10% Rule","")</f>
        <v/>
      </c>
    </row>
    <row r="26" spans="2:5" x14ac:dyDescent="0.2">
      <c r="B26" s="170" t="s">
        <v>75</v>
      </c>
      <c r="C26" s="173">
        <f>SUM(C18:C24)</f>
        <v>0</v>
      </c>
      <c r="D26" s="173">
        <f>SUM(D18:D24)</f>
        <v>0</v>
      </c>
      <c r="E26" s="173">
        <f>SUM(E18:E24)</f>
        <v>0</v>
      </c>
    </row>
    <row r="27" spans="2:5" x14ac:dyDescent="0.2">
      <c r="B27" s="87" t="s">
        <v>141</v>
      </c>
      <c r="C27" s="42">
        <f>C16-C26</f>
        <v>0</v>
      </c>
      <c r="D27" s="42">
        <f>D16-D26</f>
        <v>0</v>
      </c>
      <c r="E27" s="42">
        <f>E16-E26</f>
        <v>0</v>
      </c>
    </row>
    <row r="28" spans="2:5" x14ac:dyDescent="0.2">
      <c r="B28" s="102" t="str">
        <f>CONCATENATE("",E1-2,"/",E1-1,"/",E1," Budget Authority Amount:")</f>
        <v>2023/2024/2025 Budget Authority Amount:</v>
      </c>
      <c r="C28" s="584">
        <f>inputOth!B82</f>
        <v>0</v>
      </c>
      <c r="D28" s="584">
        <f>inputPrYr!D39</f>
        <v>0</v>
      </c>
      <c r="E28" s="613">
        <f>E26</f>
        <v>0</v>
      </c>
    </row>
    <row r="29" spans="2:5" x14ac:dyDescent="0.2">
      <c r="B29" s="73"/>
      <c r="C29" s="182" t="str">
        <f>IF(C26&gt;C28,"See Tab A","")</f>
        <v/>
      </c>
      <c r="D29" s="182" t="str">
        <f>IF(D26&gt;D28,"See Tab C","")</f>
        <v/>
      </c>
      <c r="E29" s="614" t="str">
        <f>IF(E27&lt;0,"See Tab E","")</f>
        <v/>
      </c>
    </row>
    <row r="30" spans="2:5" x14ac:dyDescent="0.2">
      <c r="B30" s="73"/>
      <c r="C30" s="182" t="str">
        <f>IF(C27&lt;0,"See Tab B","")</f>
        <v/>
      </c>
      <c r="D30" s="182" t="str">
        <f>IF(D27&lt;0,"See Tab D","")</f>
        <v/>
      </c>
      <c r="E30" s="48"/>
    </row>
    <row r="31" spans="2:5" x14ac:dyDescent="0.2">
      <c r="B31" s="20"/>
      <c r="C31" s="48"/>
      <c r="D31" s="48"/>
      <c r="E31" s="48"/>
    </row>
    <row r="32" spans="2:5" x14ac:dyDescent="0.2">
      <c r="B32" s="21"/>
      <c r="C32" s="197"/>
      <c r="D32" s="197"/>
      <c r="E32" s="197"/>
    </row>
    <row r="33" spans="2:5" x14ac:dyDescent="0.2">
      <c r="B33" s="21" t="s">
        <v>59</v>
      </c>
      <c r="C33" s="183" t="s">
        <v>377</v>
      </c>
      <c r="D33" s="81" t="s">
        <v>378</v>
      </c>
      <c r="E33" s="81" t="s">
        <v>379</v>
      </c>
    </row>
    <row r="34" spans="2:5" x14ac:dyDescent="0.2">
      <c r="B34" s="357">
        <f>(inputPrYr!B40)</f>
        <v>0</v>
      </c>
      <c r="C34" s="86" t="str">
        <f>C5</f>
        <v>Actual for 2023</v>
      </c>
      <c r="D34" s="86" t="str">
        <f>D5</f>
        <v>Estimate for 2024</v>
      </c>
      <c r="E34" s="86" t="str">
        <f>E5</f>
        <v>Year for 2025</v>
      </c>
    </row>
    <row r="35" spans="2:5" x14ac:dyDescent="0.2">
      <c r="B35" s="158" t="s">
        <v>140</v>
      </c>
      <c r="C35" s="31"/>
      <c r="D35" s="134">
        <f>C57</f>
        <v>0</v>
      </c>
      <c r="E35" s="134">
        <f>D57</f>
        <v>0</v>
      </c>
    </row>
    <row r="36" spans="2:5" x14ac:dyDescent="0.2">
      <c r="B36" s="162" t="s">
        <v>142</v>
      </c>
      <c r="C36" s="44"/>
      <c r="D36" s="44"/>
      <c r="E36" s="44"/>
    </row>
    <row r="37" spans="2:5" x14ac:dyDescent="0.2">
      <c r="B37" s="179"/>
      <c r="C37" s="31"/>
      <c r="D37" s="31"/>
      <c r="E37" s="31"/>
    </row>
    <row r="38" spans="2:5" x14ac:dyDescent="0.2">
      <c r="B38" s="179"/>
      <c r="C38" s="31"/>
      <c r="D38" s="31"/>
      <c r="E38" s="31"/>
    </row>
    <row r="39" spans="2:5" x14ac:dyDescent="0.2">
      <c r="B39" s="179"/>
      <c r="C39" s="31"/>
      <c r="D39" s="31"/>
      <c r="E39" s="31"/>
    </row>
    <row r="40" spans="2:5" x14ac:dyDescent="0.2">
      <c r="B40" s="179"/>
      <c r="C40" s="31"/>
      <c r="D40" s="31"/>
      <c r="E40" s="31"/>
    </row>
    <row r="41" spans="2:5" x14ac:dyDescent="0.2">
      <c r="B41" s="167" t="s">
        <v>67</v>
      </c>
      <c r="C41" s="31"/>
      <c r="D41" s="31"/>
      <c r="E41" s="31"/>
    </row>
    <row r="42" spans="2:5" x14ac:dyDescent="0.2">
      <c r="B42" s="96" t="s">
        <v>9</v>
      </c>
      <c r="C42" s="31"/>
      <c r="D42" s="164"/>
      <c r="E42" s="164"/>
    </row>
    <row r="43" spans="2:5" x14ac:dyDescent="0.2">
      <c r="B43" s="158" t="s">
        <v>370</v>
      </c>
      <c r="C43" s="202" t="str">
        <f>IF(C44*0.1&lt;C42,"Exceed 10% Rule","")</f>
        <v/>
      </c>
      <c r="D43" s="169" t="str">
        <f>IF(D44*0.1&lt;D42,"Exceed 10% Rule","")</f>
        <v/>
      </c>
      <c r="E43" s="169" t="str">
        <f>IF(E44*0.1&lt;E42,"Exceed 10% Rule","")</f>
        <v/>
      </c>
    </row>
    <row r="44" spans="2:5" x14ac:dyDescent="0.2">
      <c r="B44" s="170" t="s">
        <v>68</v>
      </c>
      <c r="C44" s="173">
        <f>SUM(C37:C42)</f>
        <v>0</v>
      </c>
      <c r="D44" s="173">
        <f>SUM(D37:D42)</f>
        <v>0</v>
      </c>
      <c r="E44" s="173">
        <f>SUM(E37:E42)</f>
        <v>0</v>
      </c>
    </row>
    <row r="45" spans="2:5" x14ac:dyDescent="0.2">
      <c r="B45" s="170" t="s">
        <v>69</v>
      </c>
      <c r="C45" s="173">
        <f>C35+C44</f>
        <v>0</v>
      </c>
      <c r="D45" s="173">
        <f>D35+D44</f>
        <v>0</v>
      </c>
      <c r="E45" s="173">
        <f>E35+E44</f>
        <v>0</v>
      </c>
    </row>
    <row r="46" spans="2:5" x14ac:dyDescent="0.2">
      <c r="B46" s="87" t="s">
        <v>71</v>
      </c>
      <c r="C46" s="134"/>
      <c r="D46" s="134"/>
      <c r="E46" s="134"/>
    </row>
    <row r="47" spans="2:5" x14ac:dyDescent="0.2">
      <c r="B47" s="179"/>
      <c r="C47" s="31"/>
      <c r="D47" s="31"/>
      <c r="E47" s="31"/>
    </row>
    <row r="48" spans="2:5" x14ac:dyDescent="0.2">
      <c r="B48" s="179"/>
      <c r="C48" s="31"/>
      <c r="D48" s="31"/>
      <c r="E48" s="31"/>
    </row>
    <row r="49" spans="2:5" x14ac:dyDescent="0.2">
      <c r="B49" s="179"/>
      <c r="C49" s="31"/>
      <c r="D49" s="31"/>
      <c r="E49" s="31"/>
    </row>
    <row r="50" spans="2:5" x14ac:dyDescent="0.2">
      <c r="B50" s="179"/>
      <c r="C50" s="31"/>
      <c r="D50" s="31"/>
      <c r="E50" s="31"/>
    </row>
    <row r="51" spans="2:5" x14ac:dyDescent="0.2">
      <c r="B51" s="179"/>
      <c r="C51" s="31"/>
      <c r="D51" s="31"/>
      <c r="E51" s="31"/>
    </row>
    <row r="52" spans="2:5" x14ac:dyDescent="0.2">
      <c r="B52" s="179"/>
      <c r="C52" s="31"/>
      <c r="D52" s="31"/>
      <c r="E52" s="31"/>
    </row>
    <row r="53" spans="2:5" x14ac:dyDescent="0.2">
      <c r="B53" s="180" t="str">
        <f>CONCATENATE("Cash Reserve (",E1," column)")</f>
        <v>Cash Reserve (2025 column)</v>
      </c>
      <c r="C53" s="31"/>
      <c r="D53" s="31"/>
      <c r="E53" s="31"/>
    </row>
    <row r="54" spans="2:5" x14ac:dyDescent="0.2">
      <c r="B54" s="180" t="s">
        <v>9</v>
      </c>
      <c r="C54" s="31"/>
      <c r="D54" s="164"/>
      <c r="E54" s="164"/>
    </row>
    <row r="55" spans="2:5" x14ac:dyDescent="0.2">
      <c r="B55" s="180" t="s">
        <v>371</v>
      </c>
      <c r="C55" s="202" t="str">
        <f>IF(C56*0.1&lt;C54,"Exceed 10% Rule","")</f>
        <v/>
      </c>
      <c r="D55" s="169" t="str">
        <f>IF(D56*0.1&lt;D54,"Exceed 10% Rule","")</f>
        <v/>
      </c>
      <c r="E55" s="169" t="str">
        <f>IF(E56*0.1&lt;E54,"Exceed 10% Rule","")</f>
        <v/>
      </c>
    </row>
    <row r="56" spans="2:5" x14ac:dyDescent="0.2">
      <c r="B56" s="170" t="s">
        <v>75</v>
      </c>
      <c r="C56" s="173">
        <f>SUM(C47:C54)</f>
        <v>0</v>
      </c>
      <c r="D56" s="173">
        <f>SUM(D47:D54)</f>
        <v>0</v>
      </c>
      <c r="E56" s="173">
        <f>SUM(E47:E54)</f>
        <v>0</v>
      </c>
    </row>
    <row r="57" spans="2:5" x14ac:dyDescent="0.2">
      <c r="B57" s="87" t="s">
        <v>141</v>
      </c>
      <c r="C57" s="42">
        <f>C45-C56</f>
        <v>0</v>
      </c>
      <c r="D57" s="42">
        <f>D45-D56</f>
        <v>0</v>
      </c>
      <c r="E57" s="42">
        <f>E45-E56</f>
        <v>0</v>
      </c>
    </row>
    <row r="58" spans="2:5" x14ac:dyDescent="0.2">
      <c r="B58" s="102" t="str">
        <f>CONCATENATE("",E1-2,"/",E1-1,"/",E1," Budget Authority Amount:")</f>
        <v>2023/2024/2025 Budget Authority Amount:</v>
      </c>
      <c r="C58" s="584">
        <f>inputOth!B83</f>
        <v>0</v>
      </c>
      <c r="D58" s="584">
        <f>inputPrYr!D40</f>
        <v>0</v>
      </c>
      <c r="E58" s="613">
        <f>E56</f>
        <v>0</v>
      </c>
    </row>
    <row r="59" spans="2:5" x14ac:dyDescent="0.2">
      <c r="B59" s="73"/>
      <c r="C59" s="182" t="str">
        <f>IF(C56&gt;C58,"See Tab A","")</f>
        <v/>
      </c>
      <c r="D59" s="182" t="str">
        <f>IF(D56&gt;D58,"See Tab C","")</f>
        <v/>
      </c>
      <c r="E59" s="614" t="str">
        <f>IF(E57&lt;0,"See Tab E","")</f>
        <v/>
      </c>
    </row>
    <row r="60" spans="2:5" x14ac:dyDescent="0.2">
      <c r="B60" s="704" t="s">
        <v>529</v>
      </c>
      <c r="C60" s="691" t="str">
        <f>IF(C57&lt;0,"See Tab B","")</f>
        <v/>
      </c>
      <c r="D60" s="691" t="str">
        <f>IF(D57&lt;0,"See Tab D","")</f>
        <v/>
      </c>
      <c r="E60" s="677"/>
    </row>
    <row r="61" spans="2:5" x14ac:dyDescent="0.2">
      <c r="B61" s="563"/>
      <c r="C61" s="20"/>
      <c r="D61" s="20"/>
      <c r="E61" s="570"/>
    </row>
    <row r="62" spans="2:5" x14ac:dyDescent="0.2">
      <c r="B62" s="498"/>
      <c r="C62" s="35"/>
      <c r="D62" s="35"/>
      <c r="E62" s="41"/>
    </row>
    <row r="63" spans="2:5" x14ac:dyDescent="0.2">
      <c r="B63" s="20"/>
      <c r="C63" s="20"/>
      <c r="D63" s="20"/>
      <c r="E63" s="20"/>
    </row>
    <row r="64" spans="2:5" x14ac:dyDescent="0.2">
      <c r="B64" s="101" t="s">
        <v>78</v>
      </c>
      <c r="C64" s="186"/>
      <c r="D64" s="20"/>
      <c r="E64" s="20"/>
    </row>
  </sheetData>
  <sheetProtection sheet="1"/>
  <phoneticPr fontId="0" type="noConversion"/>
  <conditionalFormatting sqref="C13">
    <cfRule type="cellIs" dxfId="170" priority="3" stopIfTrue="1" operator="greaterThan">
      <formula>$C$15*0.1</formula>
    </cfRule>
  </conditionalFormatting>
  <conditionalFormatting sqref="C24">
    <cfRule type="cellIs" dxfId="169" priority="6" stopIfTrue="1" operator="greaterThan">
      <formula>$C$26*0.1</formula>
    </cfRule>
  </conditionalFormatting>
  <conditionalFormatting sqref="C26">
    <cfRule type="cellIs" dxfId="168" priority="19" stopIfTrue="1" operator="greaterThan">
      <formula>$C$28</formula>
    </cfRule>
  </conditionalFormatting>
  <conditionalFormatting sqref="C27 E27 C57 E57">
    <cfRule type="cellIs" dxfId="167" priority="17" stopIfTrue="1" operator="lessThan">
      <formula>0</formula>
    </cfRule>
  </conditionalFormatting>
  <conditionalFormatting sqref="C42">
    <cfRule type="cellIs" dxfId="166" priority="9" stopIfTrue="1" operator="greaterThan">
      <formula>$C$44*0.1</formula>
    </cfRule>
  </conditionalFormatting>
  <conditionalFormatting sqref="C54">
    <cfRule type="cellIs" dxfId="165" priority="12" stopIfTrue="1" operator="greaterThan">
      <formula>$C$56*0.1</formula>
    </cfRule>
  </conditionalFormatting>
  <conditionalFormatting sqref="C56">
    <cfRule type="cellIs" dxfId="164" priority="16" stopIfTrue="1" operator="greaterThan">
      <formula>$C$58</formula>
    </cfRule>
  </conditionalFormatting>
  <conditionalFormatting sqref="D13">
    <cfRule type="cellIs" dxfId="163" priority="4" stopIfTrue="1" operator="greaterThan">
      <formula>$D$15*0.1</formula>
    </cfRule>
  </conditionalFormatting>
  <conditionalFormatting sqref="D24">
    <cfRule type="cellIs" dxfId="162" priority="7" stopIfTrue="1" operator="greaterThan">
      <formula>$D$26*0.1</formula>
    </cfRule>
  </conditionalFormatting>
  <conditionalFormatting sqref="D26">
    <cfRule type="cellIs" dxfId="161" priority="18" stopIfTrue="1" operator="greaterThan">
      <formula>$D$28</formula>
    </cfRule>
  </conditionalFormatting>
  <conditionalFormatting sqref="D27">
    <cfRule type="cellIs" dxfId="160" priority="1" stopIfTrue="1" operator="lessThan">
      <formula>0</formula>
    </cfRule>
  </conditionalFormatting>
  <conditionalFormatting sqref="D42">
    <cfRule type="cellIs" dxfId="159" priority="10" stopIfTrue="1" operator="greaterThan">
      <formula>$D$44*0.1</formula>
    </cfRule>
  </conditionalFormatting>
  <conditionalFormatting sqref="D54">
    <cfRule type="cellIs" dxfId="158" priority="13" stopIfTrue="1" operator="greaterThan">
      <formula>$D$56*0.1</formula>
    </cfRule>
  </conditionalFormatting>
  <conditionalFormatting sqref="D56">
    <cfRule type="cellIs" dxfId="157" priority="15" stopIfTrue="1" operator="greaterThan">
      <formula>$D$58</formula>
    </cfRule>
  </conditionalFormatting>
  <conditionalFormatting sqref="D57">
    <cfRule type="cellIs" dxfId="156" priority="2" stopIfTrue="1" operator="lessThan">
      <formula>0</formula>
    </cfRule>
  </conditionalFormatting>
  <conditionalFormatting sqref="E13">
    <cfRule type="cellIs" dxfId="155" priority="5" stopIfTrue="1" operator="greaterThan">
      <formula>$E$15*0.1</formula>
    </cfRule>
  </conditionalFormatting>
  <conditionalFormatting sqref="E24">
    <cfRule type="cellIs" dxfId="154" priority="8" stopIfTrue="1" operator="greaterThan">
      <formula>$E$26*0.1</formula>
    </cfRule>
  </conditionalFormatting>
  <conditionalFormatting sqref="E42">
    <cfRule type="cellIs" dxfId="153" priority="11" stopIfTrue="1" operator="greaterThan">
      <formula>$E$44*0.1</formula>
    </cfRule>
  </conditionalFormatting>
  <conditionalFormatting sqref="E54">
    <cfRule type="cellIs" dxfId="152" priority="14" stopIfTrue="1" operator="greaterThan">
      <formula>$E$56*0.1</formula>
    </cfRule>
  </conditionalFormatting>
  <pageMargins left="0.5" right="0.5" top="1" bottom="0.5" header="0.5" footer="0.5"/>
  <pageSetup scale="68" orientation="portrait" blackAndWhite="1" horizontalDpi="120" verticalDpi="144"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B0F0"/>
    <pageSetUpPr fitToPage="1"/>
  </sheetPr>
  <dimension ref="B1:E65"/>
  <sheetViews>
    <sheetView workbookViewId="0">
      <selection activeCell="B2" sqref="B2"/>
    </sheetView>
  </sheetViews>
  <sheetFormatPr defaultColWidth="8.88671875" defaultRowHeight="15.75" x14ac:dyDescent="0.2"/>
  <cols>
    <col min="1" max="1" width="2.44140625" style="18" customWidth="1"/>
    <col min="2" max="2" width="31.109375" style="18" customWidth="1"/>
    <col min="3" max="4" width="15.77734375" style="18" customWidth="1"/>
    <col min="5" max="5" width="16.109375" style="18" customWidth="1"/>
    <col min="6" max="16384" width="8.88671875" style="18"/>
  </cols>
  <sheetData>
    <row r="1" spans="2:5" x14ac:dyDescent="0.2">
      <c r="B1" s="39">
        <f>(inputPrYr!D3)</f>
        <v>0</v>
      </c>
      <c r="C1" s="20"/>
      <c r="D1" s="20"/>
      <c r="E1" s="73">
        <f>inputPrYr!C6</f>
        <v>2025</v>
      </c>
    </row>
    <row r="2" spans="2:5" x14ac:dyDescent="0.2">
      <c r="B2" s="20"/>
      <c r="C2" s="20"/>
      <c r="D2" s="20"/>
      <c r="E2" s="101"/>
    </row>
    <row r="3" spans="2:5" x14ac:dyDescent="0.2">
      <c r="B3" s="154" t="s">
        <v>126</v>
      </c>
      <c r="C3" s="191"/>
      <c r="D3" s="191"/>
      <c r="E3" s="191"/>
    </row>
    <row r="4" spans="2:5" x14ac:dyDescent="0.2">
      <c r="B4" s="21" t="s">
        <v>59</v>
      </c>
      <c r="C4" s="292" t="s">
        <v>377</v>
      </c>
      <c r="D4" s="291" t="s">
        <v>378</v>
      </c>
      <c r="E4" s="271" t="s">
        <v>379</v>
      </c>
    </row>
    <row r="5" spans="2:5" x14ac:dyDescent="0.2">
      <c r="B5" s="357">
        <f>(inputPrYr!B41)</f>
        <v>0</v>
      </c>
      <c r="C5" s="293" t="str">
        <f>CONCATENATE("Actual for ",E1-2,"")</f>
        <v>Actual for 2023</v>
      </c>
      <c r="D5" s="293" t="str">
        <f>CONCATENATE("Estimate for ",E1-1,"")</f>
        <v>Estimate for 2024</v>
      </c>
      <c r="E5" s="279" t="str">
        <f>CONCATENATE("Year for ",E1,"")</f>
        <v>Year for 2025</v>
      </c>
    </row>
    <row r="6" spans="2:5" x14ac:dyDescent="0.2">
      <c r="B6" s="158" t="s">
        <v>140</v>
      </c>
      <c r="C6" s="31"/>
      <c r="D6" s="134">
        <f>C27</f>
        <v>0</v>
      </c>
      <c r="E6" s="134">
        <f>D27</f>
        <v>0</v>
      </c>
    </row>
    <row r="7" spans="2:5" x14ac:dyDescent="0.2">
      <c r="B7" s="162" t="s">
        <v>142</v>
      </c>
      <c r="C7" s="44"/>
      <c r="D7" s="44"/>
      <c r="E7" s="44"/>
    </row>
    <row r="8" spans="2:5" x14ac:dyDescent="0.2">
      <c r="B8" s="179"/>
      <c r="C8" s="31"/>
      <c r="D8" s="31"/>
      <c r="E8" s="31"/>
    </row>
    <row r="9" spans="2:5" x14ac:dyDescent="0.2">
      <c r="B9" s="179"/>
      <c r="C9" s="31"/>
      <c r="D9" s="31"/>
      <c r="E9" s="31"/>
    </row>
    <row r="10" spans="2:5" x14ac:dyDescent="0.2">
      <c r="B10" s="179"/>
      <c r="C10" s="31"/>
      <c r="D10" s="31"/>
      <c r="E10" s="31"/>
    </row>
    <row r="11" spans="2:5" x14ac:dyDescent="0.2">
      <c r="B11" s="179"/>
      <c r="C11" s="31"/>
      <c r="D11" s="31"/>
      <c r="E11" s="31"/>
    </row>
    <row r="12" spans="2:5" x14ac:dyDescent="0.2">
      <c r="B12" s="167" t="s">
        <v>67</v>
      </c>
      <c r="C12" s="31"/>
      <c r="D12" s="31"/>
      <c r="E12" s="31"/>
    </row>
    <row r="13" spans="2:5" x14ac:dyDescent="0.2">
      <c r="B13" s="96" t="s">
        <v>9</v>
      </c>
      <c r="C13" s="31"/>
      <c r="D13" s="164"/>
      <c r="E13" s="164"/>
    </row>
    <row r="14" spans="2:5" x14ac:dyDescent="0.2">
      <c r="B14" s="158" t="s">
        <v>370</v>
      </c>
      <c r="C14" s="202" t="str">
        <f>IF(C15*0.1&lt;C13,"Exceed 10% Rule","")</f>
        <v/>
      </c>
      <c r="D14" s="169" t="str">
        <f>IF(D15*0.1&lt;D13,"Exceed 10% Rule","")</f>
        <v/>
      </c>
      <c r="E14" s="169" t="str">
        <f>IF(E15*0.1&lt;E13,"Exceed 10% Rule","")</f>
        <v/>
      </c>
    </row>
    <row r="15" spans="2:5" x14ac:dyDescent="0.2">
      <c r="B15" s="170" t="s">
        <v>68</v>
      </c>
      <c r="C15" s="173">
        <f>SUM(C8:C13)</f>
        <v>0</v>
      </c>
      <c r="D15" s="173">
        <f>SUM(D8:D13)</f>
        <v>0</v>
      </c>
      <c r="E15" s="173">
        <f>SUM(E8:E13)</f>
        <v>0</v>
      </c>
    </row>
    <row r="16" spans="2:5" x14ac:dyDescent="0.2">
      <c r="B16" s="170" t="s">
        <v>69</v>
      </c>
      <c r="C16" s="173">
        <f>C6+C15</f>
        <v>0</v>
      </c>
      <c r="D16" s="173">
        <f>D6+D15</f>
        <v>0</v>
      </c>
      <c r="E16" s="173">
        <f>E6+E15</f>
        <v>0</v>
      </c>
    </row>
    <row r="17" spans="2:5" x14ac:dyDescent="0.2">
      <c r="B17" s="87" t="s">
        <v>71</v>
      </c>
      <c r="C17" s="134"/>
      <c r="D17" s="134"/>
      <c r="E17" s="134"/>
    </row>
    <row r="18" spans="2:5" x14ac:dyDescent="0.2">
      <c r="B18" s="179"/>
      <c r="C18" s="31"/>
      <c r="D18" s="31"/>
      <c r="E18" s="31"/>
    </row>
    <row r="19" spans="2:5" x14ac:dyDescent="0.2">
      <c r="B19" s="179"/>
      <c r="C19" s="31"/>
      <c r="D19" s="31"/>
      <c r="E19" s="31"/>
    </row>
    <row r="20" spans="2:5" x14ac:dyDescent="0.2">
      <c r="B20" s="179"/>
      <c r="C20" s="31"/>
      <c r="D20" s="31"/>
      <c r="E20" s="31"/>
    </row>
    <row r="21" spans="2:5" x14ac:dyDescent="0.2">
      <c r="B21" s="179"/>
      <c r="C21" s="31"/>
      <c r="D21" s="31"/>
      <c r="E21" s="31"/>
    </row>
    <row r="22" spans="2:5" x14ac:dyDescent="0.2">
      <c r="B22" s="179"/>
      <c r="C22" s="31"/>
      <c r="D22" s="31"/>
      <c r="E22" s="31"/>
    </row>
    <row r="23" spans="2:5" x14ac:dyDescent="0.2">
      <c r="B23" s="180" t="str">
        <f>CONCATENATE("Cash Reserve (",E1," column)")</f>
        <v>Cash Reserve (2025 column)</v>
      </c>
      <c r="C23" s="31"/>
      <c r="D23" s="31"/>
      <c r="E23" s="31"/>
    </row>
    <row r="24" spans="2:5" x14ac:dyDescent="0.2">
      <c r="B24" s="180" t="s">
        <v>9</v>
      </c>
      <c r="C24" s="31"/>
      <c r="D24" s="164"/>
      <c r="E24" s="164"/>
    </row>
    <row r="25" spans="2:5" x14ac:dyDescent="0.2">
      <c r="B25" s="180" t="s">
        <v>371</v>
      </c>
      <c r="C25" s="202" t="str">
        <f>IF(C26*0.1&lt;C24,"Exceed 10% Rule","")</f>
        <v/>
      </c>
      <c r="D25" s="169" t="str">
        <f>IF(D26*0.1&lt;D24,"Exceed 10% Rule","")</f>
        <v/>
      </c>
      <c r="E25" s="169" t="str">
        <f>IF(E26*0.1&lt;E24,"Exceed 10% Rule","")</f>
        <v/>
      </c>
    </row>
    <row r="26" spans="2:5" x14ac:dyDescent="0.2">
      <c r="B26" s="170" t="s">
        <v>75</v>
      </c>
      <c r="C26" s="173">
        <f>SUM(C18:C24)</f>
        <v>0</v>
      </c>
      <c r="D26" s="173">
        <f>SUM(D18:D24)</f>
        <v>0</v>
      </c>
      <c r="E26" s="173">
        <f>SUM(E18:E24)</f>
        <v>0</v>
      </c>
    </row>
    <row r="27" spans="2:5" x14ac:dyDescent="0.2">
      <c r="B27" s="87" t="s">
        <v>141</v>
      </c>
      <c r="C27" s="42">
        <f>C16-C26</f>
        <v>0</v>
      </c>
      <c r="D27" s="42">
        <f>D16-D26</f>
        <v>0</v>
      </c>
      <c r="E27" s="42">
        <f>E16-E26</f>
        <v>0</v>
      </c>
    </row>
    <row r="28" spans="2:5" x14ac:dyDescent="0.2">
      <c r="B28" s="102" t="str">
        <f>CONCATENATE("",E1-2,"/",E1-1,"/",E1," Budget Authority Amount:")</f>
        <v>2023/2024/2025 Budget Authority Amount:</v>
      </c>
      <c r="C28" s="584">
        <f>inputOth!B84</f>
        <v>0</v>
      </c>
      <c r="D28" s="584">
        <f>inputPrYr!D41</f>
        <v>0</v>
      </c>
      <c r="E28" s="613">
        <f>E26</f>
        <v>0</v>
      </c>
    </row>
    <row r="29" spans="2:5" x14ac:dyDescent="0.2">
      <c r="B29" s="73"/>
      <c r="C29" s="182" t="str">
        <f>IF(C26&gt;C28,"See Tab A","")</f>
        <v/>
      </c>
      <c r="D29" s="182" t="str">
        <f>IF(D26&gt;D28,"See Tab C","")</f>
        <v/>
      </c>
      <c r="E29" s="614" t="str">
        <f>IF(E27&lt;0,"See Tab E","")</f>
        <v/>
      </c>
    </row>
    <row r="30" spans="2:5" x14ac:dyDescent="0.2">
      <c r="B30" s="73"/>
      <c r="C30" s="182" t="str">
        <f>IF(C27&lt;0,"See Tab B","")</f>
        <v/>
      </c>
      <c r="D30" s="182" t="str">
        <f>IF(D27&lt;0,"See Tab D","")</f>
        <v/>
      </c>
      <c r="E30" s="48"/>
    </row>
    <row r="31" spans="2:5" x14ac:dyDescent="0.2">
      <c r="B31" s="20"/>
      <c r="C31" s="48"/>
      <c r="D31" s="48"/>
      <c r="E31" s="48"/>
    </row>
    <row r="32" spans="2:5" x14ac:dyDescent="0.2">
      <c r="B32" s="21"/>
      <c r="C32" s="197"/>
      <c r="D32" s="197"/>
      <c r="E32" s="197"/>
    </row>
    <row r="33" spans="2:5" x14ac:dyDescent="0.2">
      <c r="B33" s="21" t="s">
        <v>59</v>
      </c>
      <c r="C33" s="183" t="s">
        <v>377</v>
      </c>
      <c r="D33" s="81" t="s">
        <v>378</v>
      </c>
      <c r="E33" s="81" t="s">
        <v>379</v>
      </c>
    </row>
    <row r="34" spans="2:5" x14ac:dyDescent="0.2">
      <c r="B34" s="357">
        <f>(inputPrYr!B42)</f>
        <v>0</v>
      </c>
      <c r="C34" s="86" t="str">
        <f>C5</f>
        <v>Actual for 2023</v>
      </c>
      <c r="D34" s="86" t="str">
        <f>D5</f>
        <v>Estimate for 2024</v>
      </c>
      <c r="E34" s="86" t="str">
        <f>E5</f>
        <v>Year for 2025</v>
      </c>
    </row>
    <row r="35" spans="2:5" x14ac:dyDescent="0.2">
      <c r="B35" s="158" t="s">
        <v>140</v>
      </c>
      <c r="C35" s="31"/>
      <c r="D35" s="134">
        <f>C58</f>
        <v>0</v>
      </c>
      <c r="E35" s="134">
        <f>D58</f>
        <v>0</v>
      </c>
    </row>
    <row r="36" spans="2:5" x14ac:dyDescent="0.2">
      <c r="B36" s="162" t="s">
        <v>142</v>
      </c>
      <c r="C36" s="44"/>
      <c r="D36" s="44"/>
      <c r="E36" s="44"/>
    </row>
    <row r="37" spans="2:5" x14ac:dyDescent="0.2">
      <c r="B37" s="179"/>
      <c r="C37" s="31"/>
      <c r="D37" s="31"/>
      <c r="E37" s="31"/>
    </row>
    <row r="38" spans="2:5" x14ac:dyDescent="0.2">
      <c r="B38" s="179"/>
      <c r="C38" s="31"/>
      <c r="D38" s="31"/>
      <c r="E38" s="31"/>
    </row>
    <row r="39" spans="2:5" x14ac:dyDescent="0.2">
      <c r="B39" s="179"/>
      <c r="C39" s="31"/>
      <c r="D39" s="31"/>
      <c r="E39" s="31"/>
    </row>
    <row r="40" spans="2:5" x14ac:dyDescent="0.2">
      <c r="B40" s="179"/>
      <c r="C40" s="31"/>
      <c r="D40" s="31"/>
      <c r="E40" s="31"/>
    </row>
    <row r="41" spans="2:5" x14ac:dyDescent="0.2">
      <c r="B41" s="167" t="s">
        <v>67</v>
      </c>
      <c r="C41" s="31"/>
      <c r="D41" s="31"/>
      <c r="E41" s="31"/>
    </row>
    <row r="42" spans="2:5" x14ac:dyDescent="0.2">
      <c r="B42" s="96" t="s">
        <v>9</v>
      </c>
      <c r="C42" s="31"/>
      <c r="D42" s="164"/>
      <c r="E42" s="164"/>
    </row>
    <row r="43" spans="2:5" x14ac:dyDescent="0.2">
      <c r="B43" s="158" t="s">
        <v>370</v>
      </c>
      <c r="C43" s="202" t="str">
        <f>IF(C44*0.1&lt;C42,"Exceed 10% Rule","")</f>
        <v/>
      </c>
      <c r="D43" s="169" t="str">
        <f>IF(D44*0.1&lt;D42,"Exceed 10% Rule","")</f>
        <v/>
      </c>
      <c r="E43" s="169" t="str">
        <f>IF(E44*0.1&lt;E42,"Exceed 10% Rule","")</f>
        <v/>
      </c>
    </row>
    <row r="44" spans="2:5" x14ac:dyDescent="0.2">
      <c r="B44" s="170" t="s">
        <v>68</v>
      </c>
      <c r="C44" s="173">
        <f>SUM(C37:C42)</f>
        <v>0</v>
      </c>
      <c r="D44" s="173">
        <f>SUM(D37:D42)</f>
        <v>0</v>
      </c>
      <c r="E44" s="173">
        <f>SUM(E37:E42)</f>
        <v>0</v>
      </c>
    </row>
    <row r="45" spans="2:5" x14ac:dyDescent="0.2">
      <c r="B45" s="170" t="s">
        <v>69</v>
      </c>
      <c r="C45" s="173">
        <f>C35+C44</f>
        <v>0</v>
      </c>
      <c r="D45" s="173">
        <f>D35+D44</f>
        <v>0</v>
      </c>
      <c r="E45" s="173">
        <f>E35+E44</f>
        <v>0</v>
      </c>
    </row>
    <row r="46" spans="2:5" x14ac:dyDescent="0.2">
      <c r="B46" s="87" t="s">
        <v>71</v>
      </c>
      <c r="C46" s="134"/>
      <c r="D46" s="134"/>
      <c r="E46" s="134"/>
    </row>
    <row r="47" spans="2:5" x14ac:dyDescent="0.2">
      <c r="B47" s="179"/>
      <c r="C47" s="31"/>
      <c r="D47" s="31"/>
      <c r="E47" s="31"/>
    </row>
    <row r="48" spans="2:5" x14ac:dyDescent="0.2">
      <c r="B48" s="179"/>
      <c r="C48" s="31"/>
      <c r="D48" s="31"/>
      <c r="E48" s="31"/>
    </row>
    <row r="49" spans="2:5" x14ac:dyDescent="0.2">
      <c r="B49" s="179"/>
      <c r="C49" s="31"/>
      <c r="D49" s="31"/>
      <c r="E49" s="31"/>
    </row>
    <row r="50" spans="2:5" x14ac:dyDescent="0.2">
      <c r="B50" s="179"/>
      <c r="C50" s="31"/>
      <c r="D50" s="31"/>
      <c r="E50" s="31"/>
    </row>
    <row r="51" spans="2:5" x14ac:dyDescent="0.2">
      <c r="B51" s="179"/>
      <c r="C51" s="31"/>
      <c r="D51" s="31"/>
      <c r="E51" s="31"/>
    </row>
    <row r="52" spans="2:5" x14ac:dyDescent="0.2">
      <c r="B52" s="179"/>
      <c r="C52" s="31"/>
      <c r="D52" s="31"/>
      <c r="E52" s="31"/>
    </row>
    <row r="53" spans="2:5" x14ac:dyDescent="0.2">
      <c r="B53" s="179"/>
      <c r="C53" s="31"/>
      <c r="D53" s="31"/>
      <c r="E53" s="31"/>
    </row>
    <row r="54" spans="2:5" x14ac:dyDescent="0.2">
      <c r="B54" s="180" t="str">
        <f>CONCATENATE("Cash Reserve (",E1," column)")</f>
        <v>Cash Reserve (2025 column)</v>
      </c>
      <c r="C54" s="31"/>
      <c r="D54" s="31"/>
      <c r="E54" s="31"/>
    </row>
    <row r="55" spans="2:5" x14ac:dyDescent="0.2">
      <c r="B55" s="180" t="s">
        <v>9</v>
      </c>
      <c r="C55" s="31"/>
      <c r="D55" s="164"/>
      <c r="E55" s="164"/>
    </row>
    <row r="56" spans="2:5" x14ac:dyDescent="0.2">
      <c r="B56" s="198" t="s">
        <v>371</v>
      </c>
      <c r="C56" s="202" t="str">
        <f>IF(C57*0.1&lt;C55,"Exceed 10% Rule","")</f>
        <v/>
      </c>
      <c r="D56" s="169" t="str">
        <f>IF(D57*0.1&lt;D55,"Exceed 10% Rule","")</f>
        <v/>
      </c>
      <c r="E56" s="169" t="str">
        <f>IF(E57*0.1&lt;E55,"Exceed 10% Rule","")</f>
        <v/>
      </c>
    </row>
    <row r="57" spans="2:5" x14ac:dyDescent="0.2">
      <c r="B57" s="170" t="s">
        <v>75</v>
      </c>
      <c r="C57" s="173">
        <f>SUM(C47:C55)</f>
        <v>0</v>
      </c>
      <c r="D57" s="173">
        <f>SUM(D47:D55)</f>
        <v>0</v>
      </c>
      <c r="E57" s="173">
        <f>SUM(E47:E55)</f>
        <v>0</v>
      </c>
    </row>
    <row r="58" spans="2:5" x14ac:dyDescent="0.2">
      <c r="B58" s="87" t="s">
        <v>141</v>
      </c>
      <c r="C58" s="42">
        <f>C45-C57</f>
        <v>0</v>
      </c>
      <c r="D58" s="42">
        <f>D45-D57</f>
        <v>0</v>
      </c>
      <c r="E58" s="42">
        <f>E45-E57</f>
        <v>0</v>
      </c>
    </row>
    <row r="59" spans="2:5" x14ac:dyDescent="0.2">
      <c r="B59" s="102" t="str">
        <f>CONCATENATE("",E1-2,"/",E1-1,"/",E1," Budget Authority Amount:")</f>
        <v>2023/2024/2025 Budget Authority Amount:</v>
      </c>
      <c r="C59" s="584">
        <f>inputOth!B85</f>
        <v>0</v>
      </c>
      <c r="D59" s="584">
        <f>inputPrYr!D42</f>
        <v>0</v>
      </c>
      <c r="E59" s="613">
        <f>E57</f>
        <v>0</v>
      </c>
    </row>
    <row r="60" spans="2:5" x14ac:dyDescent="0.2">
      <c r="B60" s="73"/>
      <c r="C60" s="182" t="str">
        <f>IF(C57&gt;C59,"See Tab A","")</f>
        <v/>
      </c>
      <c r="D60" s="182" t="str">
        <f>IF(D57&gt;D59,"See Tab C","")</f>
        <v/>
      </c>
      <c r="E60" s="614" t="str">
        <f>IF(E58&lt;0,"See Tab E","")</f>
        <v/>
      </c>
    </row>
    <row r="61" spans="2:5" x14ac:dyDescent="0.2">
      <c r="B61" s="704" t="s">
        <v>529</v>
      </c>
      <c r="C61" s="691" t="str">
        <f>IF(C58&lt;0,"See Tab B","")</f>
        <v/>
      </c>
      <c r="D61" s="691" t="str">
        <f>IF(D58&lt;0,"See Tab D","")</f>
        <v/>
      </c>
      <c r="E61" s="677"/>
    </row>
    <row r="62" spans="2:5" x14ac:dyDescent="0.2">
      <c r="B62" s="563"/>
      <c r="C62" s="20"/>
      <c r="D62" s="20"/>
      <c r="E62" s="570"/>
    </row>
    <row r="63" spans="2:5" x14ac:dyDescent="0.2">
      <c r="B63" s="498"/>
      <c r="C63" s="35"/>
      <c r="D63" s="35"/>
      <c r="E63" s="41"/>
    </row>
    <row r="64" spans="2:5" x14ac:dyDescent="0.2">
      <c r="B64" s="20"/>
      <c r="C64" s="20"/>
      <c r="D64" s="20"/>
      <c r="E64" s="20"/>
    </row>
    <row r="65" spans="2:5" x14ac:dyDescent="0.2">
      <c r="B65" s="101" t="s">
        <v>78</v>
      </c>
      <c r="C65" s="186"/>
      <c r="D65" s="20"/>
      <c r="E65" s="20"/>
    </row>
  </sheetData>
  <sheetProtection sheet="1"/>
  <phoneticPr fontId="0" type="noConversion"/>
  <conditionalFormatting sqref="C13">
    <cfRule type="cellIs" dxfId="151" priority="3" stopIfTrue="1" operator="greaterThan">
      <formula>$C$15*0.1</formula>
    </cfRule>
  </conditionalFormatting>
  <conditionalFormatting sqref="C24">
    <cfRule type="cellIs" dxfId="150" priority="6" stopIfTrue="1" operator="greaterThan">
      <formula>$C$26*0.1</formula>
    </cfRule>
  </conditionalFormatting>
  <conditionalFormatting sqref="C26">
    <cfRule type="cellIs" dxfId="149" priority="19" stopIfTrue="1" operator="greaterThan">
      <formula>$C$28</formula>
    </cfRule>
  </conditionalFormatting>
  <conditionalFormatting sqref="C27 E27 C58 E58">
    <cfRule type="cellIs" dxfId="148" priority="17" stopIfTrue="1" operator="lessThan">
      <formula>0</formula>
    </cfRule>
  </conditionalFormatting>
  <conditionalFormatting sqref="C42">
    <cfRule type="cellIs" dxfId="147" priority="9" stopIfTrue="1" operator="greaterThan">
      <formula>$C$44*0.1</formula>
    </cfRule>
  </conditionalFormatting>
  <conditionalFormatting sqref="C55">
    <cfRule type="cellIs" dxfId="146" priority="12" stopIfTrue="1" operator="greaterThan">
      <formula>$C$57*0.1</formula>
    </cfRule>
  </conditionalFormatting>
  <conditionalFormatting sqref="C57">
    <cfRule type="cellIs" dxfId="145" priority="16" stopIfTrue="1" operator="greaterThan">
      <formula>$C$59</formula>
    </cfRule>
  </conditionalFormatting>
  <conditionalFormatting sqref="D13">
    <cfRule type="cellIs" dxfId="144" priority="4" stopIfTrue="1" operator="greaterThan">
      <formula>$D$15*0.1</formula>
    </cfRule>
  </conditionalFormatting>
  <conditionalFormatting sqref="D24">
    <cfRule type="cellIs" dxfId="143" priority="7" stopIfTrue="1" operator="greaterThan">
      <formula>$D$26*0.1</formula>
    </cfRule>
  </conditionalFormatting>
  <conditionalFormatting sqref="D26">
    <cfRule type="cellIs" dxfId="142" priority="18" stopIfTrue="1" operator="greaterThan">
      <formula>$D$28</formula>
    </cfRule>
  </conditionalFormatting>
  <conditionalFormatting sqref="D27">
    <cfRule type="cellIs" dxfId="141" priority="1" stopIfTrue="1" operator="lessThan">
      <formula>0</formula>
    </cfRule>
  </conditionalFormatting>
  <conditionalFormatting sqref="D42">
    <cfRule type="cellIs" dxfId="140" priority="10" stopIfTrue="1" operator="greaterThan">
      <formula>$D$44*0.1</formula>
    </cfRule>
  </conditionalFormatting>
  <conditionalFormatting sqref="D55">
    <cfRule type="cellIs" dxfId="139" priority="13" stopIfTrue="1" operator="greaterThan">
      <formula>$D$57*0.1</formula>
    </cfRule>
  </conditionalFormatting>
  <conditionalFormatting sqref="D57">
    <cfRule type="cellIs" dxfId="138" priority="15" stopIfTrue="1" operator="greaterThan">
      <formula>$D$59</formula>
    </cfRule>
  </conditionalFormatting>
  <conditionalFormatting sqref="D58">
    <cfRule type="cellIs" dxfId="137" priority="2" stopIfTrue="1" operator="lessThan">
      <formula>0</formula>
    </cfRule>
  </conditionalFormatting>
  <conditionalFormatting sqref="E13">
    <cfRule type="cellIs" dxfId="136" priority="5" stopIfTrue="1" operator="greaterThan">
      <formula>$E$15*0.1</formula>
    </cfRule>
  </conditionalFormatting>
  <conditionalFormatting sqref="E24">
    <cfRule type="cellIs" dxfId="135" priority="8" stopIfTrue="1" operator="greaterThan">
      <formula>$E$26*0.1</formula>
    </cfRule>
  </conditionalFormatting>
  <conditionalFormatting sqref="E42">
    <cfRule type="cellIs" dxfId="134" priority="11" stopIfTrue="1" operator="greaterThan">
      <formula>$E$44*0.1</formula>
    </cfRule>
  </conditionalFormatting>
  <conditionalFormatting sqref="E55">
    <cfRule type="cellIs" dxfId="133" priority="14" stopIfTrue="1" operator="greaterThan">
      <formula>$E$57*0.1</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B0F0"/>
    <pageSetUpPr fitToPage="1"/>
  </sheetPr>
  <dimension ref="B1:E67"/>
  <sheetViews>
    <sheetView workbookViewId="0">
      <selection activeCell="B2" sqref="B2"/>
    </sheetView>
  </sheetViews>
  <sheetFormatPr defaultColWidth="8.88671875" defaultRowHeight="15.75" x14ac:dyDescent="0.2"/>
  <cols>
    <col min="1" max="1" width="2.44140625" style="18" customWidth="1"/>
    <col min="2" max="2" width="31.109375" style="18" customWidth="1"/>
    <col min="3" max="4" width="15.77734375" style="18" customWidth="1"/>
    <col min="5" max="5" width="16.21875" style="18" customWidth="1"/>
    <col min="6" max="16384" width="8.88671875" style="18"/>
  </cols>
  <sheetData>
    <row r="1" spans="2:5" x14ac:dyDescent="0.2">
      <c r="B1" s="39">
        <f>(inputPrYr!D3)</f>
        <v>0</v>
      </c>
      <c r="C1" s="20"/>
      <c r="D1" s="20"/>
      <c r="E1" s="73">
        <f>inputPrYr!C6</f>
        <v>2025</v>
      </c>
    </row>
    <row r="2" spans="2:5" x14ac:dyDescent="0.2">
      <c r="B2" s="20"/>
      <c r="C2" s="20"/>
      <c r="D2" s="20"/>
      <c r="E2" s="101"/>
    </row>
    <row r="3" spans="2:5" x14ac:dyDescent="0.2">
      <c r="B3" s="154" t="s">
        <v>126</v>
      </c>
      <c r="C3" s="191"/>
      <c r="D3" s="191"/>
      <c r="E3" s="191"/>
    </row>
    <row r="4" spans="2:5" x14ac:dyDescent="0.2">
      <c r="B4" s="21" t="s">
        <v>59</v>
      </c>
      <c r="C4" s="292" t="s">
        <v>377</v>
      </c>
      <c r="D4" s="291" t="s">
        <v>378</v>
      </c>
      <c r="E4" s="271" t="s">
        <v>379</v>
      </c>
    </row>
    <row r="5" spans="2:5" x14ac:dyDescent="0.2">
      <c r="B5" s="357">
        <f>inputPrYr!B43</f>
        <v>0</v>
      </c>
      <c r="C5" s="293" t="str">
        <f>CONCATENATE("Actual for ",E1-2,"")</f>
        <v>Actual for 2023</v>
      </c>
      <c r="D5" s="293" t="str">
        <f>CONCATENATE("Estimate for ",E1-1,"")</f>
        <v>Estimate for 2024</v>
      </c>
      <c r="E5" s="279" t="str">
        <f>CONCATENATE("Year for ",E1,"")</f>
        <v>Year for 2025</v>
      </c>
    </row>
    <row r="6" spans="2:5" x14ac:dyDescent="0.2">
      <c r="B6" s="158" t="s">
        <v>140</v>
      </c>
      <c r="C6" s="31"/>
      <c r="D6" s="134">
        <f>C27</f>
        <v>0</v>
      </c>
      <c r="E6" s="134">
        <f>D27</f>
        <v>0</v>
      </c>
    </row>
    <row r="7" spans="2:5" x14ac:dyDescent="0.2">
      <c r="B7" s="162" t="s">
        <v>142</v>
      </c>
      <c r="C7" s="44"/>
      <c r="D7" s="44"/>
      <c r="E7" s="44"/>
    </row>
    <row r="8" spans="2:5" x14ac:dyDescent="0.2">
      <c r="B8" s="179"/>
      <c r="C8" s="31"/>
      <c r="D8" s="31"/>
      <c r="E8" s="31"/>
    </row>
    <row r="9" spans="2:5" x14ac:dyDescent="0.2">
      <c r="B9" s="179"/>
      <c r="C9" s="31"/>
      <c r="D9" s="31"/>
      <c r="E9" s="31"/>
    </row>
    <row r="10" spans="2:5" x14ac:dyDescent="0.2">
      <c r="B10" s="179"/>
      <c r="C10" s="31"/>
      <c r="D10" s="31"/>
      <c r="E10" s="31"/>
    </row>
    <row r="11" spans="2:5" x14ac:dyDescent="0.2">
      <c r="B11" s="179"/>
      <c r="C11" s="31"/>
      <c r="D11" s="31"/>
      <c r="E11" s="31"/>
    </row>
    <row r="12" spans="2:5" x14ac:dyDescent="0.2">
      <c r="B12" s="167" t="s">
        <v>67</v>
      </c>
      <c r="C12" s="31"/>
      <c r="D12" s="31"/>
      <c r="E12" s="31"/>
    </row>
    <row r="13" spans="2:5" x14ac:dyDescent="0.2">
      <c r="B13" s="96" t="s">
        <v>9</v>
      </c>
      <c r="C13" s="31"/>
      <c r="D13" s="164"/>
      <c r="E13" s="164"/>
    </row>
    <row r="14" spans="2:5" x14ac:dyDescent="0.2">
      <c r="B14" s="158" t="s">
        <v>370</v>
      </c>
      <c r="C14" s="202" t="str">
        <f>IF(C15*0.1&lt;C13,"Exceed 10% Rule","")</f>
        <v/>
      </c>
      <c r="D14" s="169" t="str">
        <f>IF(D15*0.1&lt;D13,"Exceed 10% Rule","")</f>
        <v/>
      </c>
      <c r="E14" s="169" t="str">
        <f>IF(E15*0.1&lt;E13,"Exceed 10% Rule","")</f>
        <v/>
      </c>
    </row>
    <row r="15" spans="2:5" x14ac:dyDescent="0.2">
      <c r="B15" s="170" t="s">
        <v>68</v>
      </c>
      <c r="C15" s="173">
        <f>SUM(C8:C13)</f>
        <v>0</v>
      </c>
      <c r="D15" s="173">
        <f>SUM(D8:D13)</f>
        <v>0</v>
      </c>
      <c r="E15" s="173">
        <f>SUM(E8:E13)</f>
        <v>0</v>
      </c>
    </row>
    <row r="16" spans="2:5" x14ac:dyDescent="0.2">
      <c r="B16" s="170" t="s">
        <v>69</v>
      </c>
      <c r="C16" s="173">
        <f>C6+C15</f>
        <v>0</v>
      </c>
      <c r="D16" s="173">
        <f>D6+D15</f>
        <v>0</v>
      </c>
      <c r="E16" s="173">
        <f>E6+E15</f>
        <v>0</v>
      </c>
    </row>
    <row r="17" spans="2:5" x14ac:dyDescent="0.2">
      <c r="B17" s="87" t="s">
        <v>71</v>
      </c>
      <c r="C17" s="134"/>
      <c r="D17" s="134"/>
      <c r="E17" s="134"/>
    </row>
    <row r="18" spans="2:5" x14ac:dyDescent="0.2">
      <c r="B18" s="179"/>
      <c r="C18" s="31"/>
      <c r="D18" s="31"/>
      <c r="E18" s="31"/>
    </row>
    <row r="19" spans="2:5" x14ac:dyDescent="0.2">
      <c r="B19" s="179"/>
      <c r="C19" s="31"/>
      <c r="D19" s="31"/>
      <c r="E19" s="31"/>
    </row>
    <row r="20" spans="2:5" x14ac:dyDescent="0.2">
      <c r="B20" s="179"/>
      <c r="C20" s="31"/>
      <c r="D20" s="31"/>
      <c r="E20" s="31"/>
    </row>
    <row r="21" spans="2:5" x14ac:dyDescent="0.2">
      <c r="B21" s="179"/>
      <c r="C21" s="31"/>
      <c r="D21" s="31"/>
      <c r="E21" s="31"/>
    </row>
    <row r="22" spans="2:5" x14ac:dyDescent="0.2">
      <c r="B22" s="179"/>
      <c r="C22" s="31"/>
      <c r="D22" s="31"/>
      <c r="E22" s="31"/>
    </row>
    <row r="23" spans="2:5" x14ac:dyDescent="0.2">
      <c r="B23" s="180" t="str">
        <f>CONCATENATE("Cash Reserve (",E1," column)")</f>
        <v>Cash Reserve (2025 column)</v>
      </c>
      <c r="C23" s="31"/>
      <c r="D23" s="31"/>
      <c r="E23" s="31"/>
    </row>
    <row r="24" spans="2:5" x14ac:dyDescent="0.2">
      <c r="B24" s="180" t="s">
        <v>9</v>
      </c>
      <c r="C24" s="31"/>
      <c r="D24" s="164"/>
      <c r="E24" s="164"/>
    </row>
    <row r="25" spans="2:5" x14ac:dyDescent="0.2">
      <c r="B25" s="180" t="s">
        <v>371</v>
      </c>
      <c r="C25" s="202" t="str">
        <f>IF(C26*0.1&lt;C24,"Exceed 10% Rule","")</f>
        <v/>
      </c>
      <c r="D25" s="169" t="str">
        <f>IF(D26*0.1&lt;D24,"Exceed 10% Rule","")</f>
        <v/>
      </c>
      <c r="E25" s="169" t="str">
        <f>IF(E26*0.1&lt;E24,"Exceed 10% Rule","")</f>
        <v/>
      </c>
    </row>
    <row r="26" spans="2:5" x14ac:dyDescent="0.2">
      <c r="B26" s="170" t="s">
        <v>75</v>
      </c>
      <c r="C26" s="173">
        <f>SUM(C18:C24)</f>
        <v>0</v>
      </c>
      <c r="D26" s="173">
        <f>SUM(D18:D24)</f>
        <v>0</v>
      </c>
      <c r="E26" s="173">
        <f>SUM(E18:E24)</f>
        <v>0</v>
      </c>
    </row>
    <row r="27" spans="2:5" x14ac:dyDescent="0.2">
      <c r="B27" s="87" t="s">
        <v>141</v>
      </c>
      <c r="C27" s="42">
        <f>C16-C26</f>
        <v>0</v>
      </c>
      <c r="D27" s="42">
        <f>D16-D26</f>
        <v>0</v>
      </c>
      <c r="E27" s="42">
        <f>E16-E26</f>
        <v>0</v>
      </c>
    </row>
    <row r="28" spans="2:5" x14ac:dyDescent="0.2">
      <c r="B28" s="102" t="str">
        <f>CONCATENATE("",E1-2,"/",E1-1,"/",E1," Budget Authority Amount:")</f>
        <v>2023/2024/2025 Budget Authority Amount:</v>
      </c>
      <c r="C28" s="584">
        <f>inputOth!B86</f>
        <v>0</v>
      </c>
      <c r="D28" s="584">
        <f>inputPrYr!D43</f>
        <v>0</v>
      </c>
      <c r="E28" s="613">
        <f>E26</f>
        <v>0</v>
      </c>
    </row>
    <row r="29" spans="2:5" x14ac:dyDescent="0.2">
      <c r="B29" s="73"/>
      <c r="C29" s="182" t="str">
        <f>IF(C26&gt;C28,"See Tab A","")</f>
        <v/>
      </c>
      <c r="D29" s="182" t="str">
        <f>IF(D26&gt;D28,"See Tab C","")</f>
        <v/>
      </c>
      <c r="E29" s="614" t="str">
        <f>IF(E27&lt;0,"See Tab E","")</f>
        <v/>
      </c>
    </row>
    <row r="30" spans="2:5" x14ac:dyDescent="0.2">
      <c r="B30" s="73"/>
      <c r="C30" s="182" t="str">
        <f>IF(C27&lt;0,"See Tab B","")</f>
        <v/>
      </c>
      <c r="D30" s="182" t="str">
        <f>IF(D27&lt;0,"See Tab D","")</f>
        <v/>
      </c>
      <c r="E30" s="48"/>
    </row>
    <row r="31" spans="2:5" x14ac:dyDescent="0.2">
      <c r="B31" s="20"/>
      <c r="C31" s="48"/>
      <c r="D31" s="48"/>
      <c r="E31" s="48"/>
    </row>
    <row r="32" spans="2:5" x14ac:dyDescent="0.2">
      <c r="B32" s="21"/>
      <c r="C32" s="197"/>
      <c r="D32" s="197"/>
      <c r="E32" s="197"/>
    </row>
    <row r="33" spans="2:5" x14ac:dyDescent="0.2">
      <c r="B33" s="21" t="s">
        <v>59</v>
      </c>
      <c r="C33" s="183" t="s">
        <v>377</v>
      </c>
      <c r="D33" s="81" t="s">
        <v>378</v>
      </c>
      <c r="E33" s="81" t="s">
        <v>379</v>
      </c>
    </row>
    <row r="34" spans="2:5" x14ac:dyDescent="0.2">
      <c r="B34" s="357">
        <f>inputPrYr!B44</f>
        <v>0</v>
      </c>
      <c r="C34" s="86" t="str">
        <f>C5</f>
        <v>Actual for 2023</v>
      </c>
      <c r="D34" s="86" t="str">
        <f>D5</f>
        <v>Estimate for 2024</v>
      </c>
      <c r="E34" s="86" t="str">
        <f>E5</f>
        <v>Year for 2025</v>
      </c>
    </row>
    <row r="35" spans="2:5" x14ac:dyDescent="0.2">
      <c r="B35" s="158" t="s">
        <v>140</v>
      </c>
      <c r="C35" s="31"/>
      <c r="D35" s="134">
        <f>C58</f>
        <v>0</v>
      </c>
      <c r="E35" s="134">
        <f>D58</f>
        <v>0</v>
      </c>
    </row>
    <row r="36" spans="2:5" x14ac:dyDescent="0.2">
      <c r="B36" s="162" t="s">
        <v>142</v>
      </c>
      <c r="C36" s="44"/>
      <c r="D36" s="44"/>
      <c r="E36" s="44"/>
    </row>
    <row r="37" spans="2:5" x14ac:dyDescent="0.2">
      <c r="B37" s="179"/>
      <c r="C37" s="31"/>
      <c r="D37" s="31"/>
      <c r="E37" s="31"/>
    </row>
    <row r="38" spans="2:5" x14ac:dyDescent="0.2">
      <c r="B38" s="179"/>
      <c r="C38" s="31"/>
      <c r="D38" s="31"/>
      <c r="E38" s="31"/>
    </row>
    <row r="39" spans="2:5" x14ac:dyDescent="0.2">
      <c r="B39" s="179"/>
      <c r="C39" s="31"/>
      <c r="D39" s="31"/>
      <c r="E39" s="31"/>
    </row>
    <row r="40" spans="2:5" x14ac:dyDescent="0.2">
      <c r="B40" s="179"/>
      <c r="C40" s="31"/>
      <c r="D40" s="31"/>
      <c r="E40" s="31"/>
    </row>
    <row r="41" spans="2:5" x14ac:dyDescent="0.2">
      <c r="B41" s="167" t="s">
        <v>67</v>
      </c>
      <c r="C41" s="31"/>
      <c r="D41" s="31"/>
      <c r="E41" s="31"/>
    </row>
    <row r="42" spans="2:5" x14ac:dyDescent="0.2">
      <c r="B42" s="96" t="s">
        <v>9</v>
      </c>
      <c r="C42" s="31"/>
      <c r="D42" s="164"/>
      <c r="E42" s="164"/>
    </row>
    <row r="43" spans="2:5" x14ac:dyDescent="0.2">
      <c r="B43" s="158" t="s">
        <v>370</v>
      </c>
      <c r="C43" s="202" t="str">
        <f>IF(C44*0.1&lt;C42,"Exceed 10% Rule","")</f>
        <v/>
      </c>
      <c r="D43" s="169" t="str">
        <f>IF(D44*0.1&lt;D42,"Exceed 10% Rule","")</f>
        <v/>
      </c>
      <c r="E43" s="169" t="str">
        <f>IF(E44*0.1&lt;E42,"Exceed 10% Rule","")</f>
        <v/>
      </c>
    </row>
    <row r="44" spans="2:5" x14ac:dyDescent="0.2">
      <c r="B44" s="170" t="s">
        <v>68</v>
      </c>
      <c r="C44" s="173">
        <f>SUM(C37:C42)</f>
        <v>0</v>
      </c>
      <c r="D44" s="173">
        <f>SUM(D37:D42)</f>
        <v>0</v>
      </c>
      <c r="E44" s="173">
        <f>SUM(E37:E42)</f>
        <v>0</v>
      </c>
    </row>
    <row r="45" spans="2:5" x14ac:dyDescent="0.2">
      <c r="B45" s="170" t="s">
        <v>69</v>
      </c>
      <c r="C45" s="173">
        <f>C35+C44</f>
        <v>0</v>
      </c>
      <c r="D45" s="173">
        <f>D35+D44</f>
        <v>0</v>
      </c>
      <c r="E45" s="173">
        <f>E35+E44</f>
        <v>0</v>
      </c>
    </row>
    <row r="46" spans="2:5" x14ac:dyDescent="0.2">
      <c r="B46" s="87" t="s">
        <v>71</v>
      </c>
      <c r="C46" s="134"/>
      <c r="D46" s="134"/>
      <c r="E46" s="134"/>
    </row>
    <row r="47" spans="2:5" x14ac:dyDescent="0.2">
      <c r="B47" s="179"/>
      <c r="C47" s="31"/>
      <c r="D47" s="31"/>
      <c r="E47" s="31"/>
    </row>
    <row r="48" spans="2:5" x14ac:dyDescent="0.2">
      <c r="B48" s="179"/>
      <c r="C48" s="31"/>
      <c r="D48" s="31"/>
      <c r="E48" s="31"/>
    </row>
    <row r="49" spans="2:5" x14ac:dyDescent="0.2">
      <c r="B49" s="179"/>
      <c r="C49" s="31"/>
      <c r="D49" s="31"/>
      <c r="E49" s="31"/>
    </row>
    <row r="50" spans="2:5" x14ac:dyDescent="0.2">
      <c r="B50" s="179"/>
      <c r="C50" s="31"/>
      <c r="D50" s="31"/>
      <c r="E50" s="31"/>
    </row>
    <row r="51" spans="2:5" x14ac:dyDescent="0.2">
      <c r="B51" s="179"/>
      <c r="C51" s="31"/>
      <c r="D51" s="31"/>
      <c r="E51" s="31"/>
    </row>
    <row r="52" spans="2:5" x14ac:dyDescent="0.2">
      <c r="B52" s="179"/>
      <c r="C52" s="31"/>
      <c r="D52" s="31"/>
      <c r="E52" s="31"/>
    </row>
    <row r="53" spans="2:5" x14ac:dyDescent="0.2">
      <c r="B53" s="179"/>
      <c r="C53" s="31"/>
      <c r="D53" s="31"/>
      <c r="E53" s="31"/>
    </row>
    <row r="54" spans="2:5" x14ac:dyDescent="0.2">
      <c r="B54" s="180" t="str">
        <f>CONCATENATE("Cash Reserve (",E1," column)")</f>
        <v>Cash Reserve (2025 column)</v>
      </c>
      <c r="C54" s="31"/>
      <c r="D54" s="31"/>
      <c r="E54" s="31"/>
    </row>
    <row r="55" spans="2:5" x14ac:dyDescent="0.2">
      <c r="B55" s="180" t="s">
        <v>9</v>
      </c>
      <c r="C55" s="31"/>
      <c r="D55" s="164"/>
      <c r="E55" s="164"/>
    </row>
    <row r="56" spans="2:5" x14ac:dyDescent="0.2">
      <c r="B56" s="180" t="s">
        <v>371</v>
      </c>
      <c r="C56" s="202" t="str">
        <f>IF(C57*0.1&lt;C55,"Exceed 10% Rule","")</f>
        <v/>
      </c>
      <c r="D56" s="169" t="str">
        <f>IF(D57*0.1&lt;D55,"Exceed 10% Rule","")</f>
        <v/>
      </c>
      <c r="E56" s="169" t="str">
        <f>IF(E57*0.1&lt;E55,"Exceed 10% Rule","")</f>
        <v/>
      </c>
    </row>
    <row r="57" spans="2:5" x14ac:dyDescent="0.2">
      <c r="B57" s="170" t="s">
        <v>75</v>
      </c>
      <c r="C57" s="173">
        <f>SUM(C47:C55)</f>
        <v>0</v>
      </c>
      <c r="D57" s="173">
        <f>SUM(D47:D55)</f>
        <v>0</v>
      </c>
      <c r="E57" s="173">
        <f>SUM(E47:E55)</f>
        <v>0</v>
      </c>
    </row>
    <row r="58" spans="2:5" x14ac:dyDescent="0.2">
      <c r="B58" s="87" t="s">
        <v>141</v>
      </c>
      <c r="C58" s="42">
        <f>C45-C57</f>
        <v>0</v>
      </c>
      <c r="D58" s="42">
        <f>D45-D57</f>
        <v>0</v>
      </c>
      <c r="E58" s="42">
        <f>E45-E57</f>
        <v>0</v>
      </c>
    </row>
    <row r="59" spans="2:5" x14ac:dyDescent="0.2">
      <c r="B59" s="102" t="str">
        <f>CONCATENATE("",E1-2,"/",E1-1,"/",E1," Budget Authority Amount:")</f>
        <v>2023/2024/2025 Budget Authority Amount:</v>
      </c>
      <c r="C59" s="584">
        <f>inputOth!B87</f>
        <v>0</v>
      </c>
      <c r="D59" s="584">
        <f>inputPrYr!D44</f>
        <v>0</v>
      </c>
      <c r="E59" s="613">
        <f>E57</f>
        <v>0</v>
      </c>
    </row>
    <row r="60" spans="2:5" x14ac:dyDescent="0.2">
      <c r="B60" s="73"/>
      <c r="C60" s="182" t="str">
        <f>IF(C57&gt;C59,"See Tab A","")</f>
        <v/>
      </c>
      <c r="D60" s="182" t="str">
        <f>IF(D57&gt;D59,"See Tab C","")</f>
        <v/>
      </c>
      <c r="E60" s="614" t="str">
        <f>IF(E58&lt;0,"See Tab E","")</f>
        <v/>
      </c>
    </row>
    <row r="61" spans="2:5" x14ac:dyDescent="0.2">
      <c r="B61" s="704" t="s">
        <v>529</v>
      </c>
      <c r="C61" s="691" t="str">
        <f>IF(C58&lt;0,"See Tab B","")</f>
        <v/>
      </c>
      <c r="D61" s="691" t="str">
        <f>IF(D58&lt;0,"See Tab D","")</f>
        <v/>
      </c>
      <c r="E61" s="677"/>
    </row>
    <row r="62" spans="2:5" x14ac:dyDescent="0.2">
      <c r="B62" s="563"/>
      <c r="C62" s="20"/>
      <c r="D62" s="20"/>
      <c r="E62" s="570"/>
    </row>
    <row r="63" spans="2:5" x14ac:dyDescent="0.2">
      <c r="B63" s="498"/>
      <c r="C63" s="35"/>
      <c r="D63" s="35"/>
      <c r="E63" s="41"/>
    </row>
    <row r="64" spans="2:5" x14ac:dyDescent="0.2">
      <c r="B64" s="20"/>
      <c r="C64" s="20"/>
      <c r="D64" s="20"/>
      <c r="E64" s="20"/>
    </row>
    <row r="65" spans="2:5" x14ac:dyDescent="0.2">
      <c r="B65" s="101" t="s">
        <v>78</v>
      </c>
      <c r="C65" s="186"/>
      <c r="D65" s="20"/>
      <c r="E65" s="20"/>
    </row>
    <row r="67" spans="2:5" x14ac:dyDescent="0.2">
      <c r="B67" s="705"/>
    </row>
  </sheetData>
  <sheetProtection sheet="1"/>
  <phoneticPr fontId="0" type="noConversion"/>
  <conditionalFormatting sqref="C13">
    <cfRule type="cellIs" dxfId="132" priority="3" stopIfTrue="1" operator="greaterThan">
      <formula>$C$15*0.1</formula>
    </cfRule>
  </conditionalFormatting>
  <conditionalFormatting sqref="C24">
    <cfRule type="cellIs" dxfId="131" priority="6" stopIfTrue="1" operator="greaterThan">
      <formula>$C$26*0.1</formula>
    </cfRule>
  </conditionalFormatting>
  <conditionalFormatting sqref="C26">
    <cfRule type="cellIs" dxfId="130" priority="19" stopIfTrue="1" operator="greaterThan">
      <formula>$C$28</formula>
    </cfRule>
  </conditionalFormatting>
  <conditionalFormatting sqref="C27 E27 C58 E58">
    <cfRule type="cellIs" dxfId="129" priority="17" stopIfTrue="1" operator="lessThan">
      <formula>0</formula>
    </cfRule>
  </conditionalFormatting>
  <conditionalFormatting sqref="C42">
    <cfRule type="cellIs" dxfId="128" priority="9" stopIfTrue="1" operator="greaterThan">
      <formula>$C$44*0.1</formula>
    </cfRule>
  </conditionalFormatting>
  <conditionalFormatting sqref="C55">
    <cfRule type="cellIs" dxfId="127" priority="12" stopIfTrue="1" operator="greaterThan">
      <formula>$C$57*0.1</formula>
    </cfRule>
  </conditionalFormatting>
  <conditionalFormatting sqref="C57">
    <cfRule type="cellIs" dxfId="126" priority="16" stopIfTrue="1" operator="greaterThan">
      <formula>$C$59</formula>
    </cfRule>
  </conditionalFormatting>
  <conditionalFormatting sqref="D13">
    <cfRule type="cellIs" dxfId="125" priority="4" stopIfTrue="1" operator="greaterThan">
      <formula>$D$15*0.1</formula>
    </cfRule>
  </conditionalFormatting>
  <conditionalFormatting sqref="D24">
    <cfRule type="cellIs" dxfId="124" priority="7" stopIfTrue="1" operator="greaterThan">
      <formula>$D$26*0.1</formula>
    </cfRule>
  </conditionalFormatting>
  <conditionalFormatting sqref="D26">
    <cfRule type="cellIs" dxfId="123" priority="18" stopIfTrue="1" operator="greaterThan">
      <formula>$D$28</formula>
    </cfRule>
  </conditionalFormatting>
  <conditionalFormatting sqref="D27">
    <cfRule type="cellIs" dxfId="122" priority="1" stopIfTrue="1" operator="lessThan">
      <formula>0</formula>
    </cfRule>
  </conditionalFormatting>
  <conditionalFormatting sqref="D42">
    <cfRule type="cellIs" dxfId="121" priority="10" stopIfTrue="1" operator="greaterThan">
      <formula>$D$44*0.1</formula>
    </cfRule>
  </conditionalFormatting>
  <conditionalFormatting sqref="D55">
    <cfRule type="cellIs" dxfId="120" priority="13" stopIfTrue="1" operator="greaterThan">
      <formula>$D$57*0.1</formula>
    </cfRule>
  </conditionalFormatting>
  <conditionalFormatting sqref="D57">
    <cfRule type="cellIs" dxfId="119" priority="15" stopIfTrue="1" operator="greaterThan">
      <formula>$D$59</formula>
    </cfRule>
  </conditionalFormatting>
  <conditionalFormatting sqref="D58">
    <cfRule type="cellIs" dxfId="118" priority="2" stopIfTrue="1" operator="lessThan">
      <formula>0</formula>
    </cfRule>
  </conditionalFormatting>
  <conditionalFormatting sqref="E13">
    <cfRule type="cellIs" dxfId="117" priority="5" stopIfTrue="1" operator="greaterThan">
      <formula>$E$15*0.1</formula>
    </cfRule>
  </conditionalFormatting>
  <conditionalFormatting sqref="E24">
    <cfRule type="cellIs" dxfId="116" priority="8" stopIfTrue="1" operator="greaterThan">
      <formula>$E$26*0.1</formula>
    </cfRule>
  </conditionalFormatting>
  <conditionalFormatting sqref="E42">
    <cfRule type="cellIs" dxfId="115" priority="11" stopIfTrue="1" operator="greaterThan">
      <formula>$E$44*0.1</formula>
    </cfRule>
  </conditionalFormatting>
  <conditionalFormatting sqref="E55">
    <cfRule type="cellIs" dxfId="114" priority="14" stopIfTrue="1" operator="greaterThan">
      <formula>$E$57*0.1</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00B0F0"/>
    <pageSetUpPr fitToPage="1"/>
  </sheetPr>
  <dimension ref="B1:E66"/>
  <sheetViews>
    <sheetView zoomScaleNormal="100" workbookViewId="0">
      <selection activeCell="B4" sqref="B4"/>
    </sheetView>
  </sheetViews>
  <sheetFormatPr defaultColWidth="8.88671875" defaultRowHeight="15.75" x14ac:dyDescent="0.2"/>
  <cols>
    <col min="1" max="1" width="2.44140625" style="18" customWidth="1"/>
    <col min="2" max="2" width="31.109375" style="18" customWidth="1"/>
    <col min="3" max="4" width="15.77734375" style="18" customWidth="1"/>
    <col min="5" max="5" width="16.109375" style="18" customWidth="1"/>
    <col min="6" max="6" width="8.109375" style="18" customWidth="1"/>
    <col min="7" max="7" width="10.21875" style="18" customWidth="1"/>
    <col min="8" max="8" width="8.88671875" style="18"/>
    <col min="9" max="9" width="5" style="18" customWidth="1"/>
    <col min="10" max="10" width="10" style="18" customWidth="1"/>
    <col min="11" max="16384" width="8.88671875" style="18"/>
  </cols>
  <sheetData>
    <row r="1" spans="2:5" x14ac:dyDescent="0.2">
      <c r="B1" s="39">
        <f>(inputPrYr!D3)</f>
        <v>0</v>
      </c>
      <c r="C1" s="20"/>
      <c r="D1" s="20"/>
      <c r="E1" s="73">
        <f>inputPrYr!C6</f>
        <v>2025</v>
      </c>
    </row>
    <row r="2" spans="2:5" x14ac:dyDescent="0.2">
      <c r="B2" s="20"/>
      <c r="C2" s="20"/>
      <c r="D2" s="20"/>
      <c r="E2" s="101"/>
    </row>
    <row r="3" spans="2:5" x14ac:dyDescent="0.2">
      <c r="B3" s="154" t="s">
        <v>126</v>
      </c>
      <c r="C3" s="191"/>
      <c r="D3" s="191"/>
      <c r="E3" s="191"/>
    </row>
    <row r="4" spans="2:5" x14ac:dyDescent="0.2">
      <c r="B4" s="21" t="s">
        <v>59</v>
      </c>
      <c r="C4" s="292" t="s">
        <v>377</v>
      </c>
      <c r="D4" s="291" t="s">
        <v>378</v>
      </c>
      <c r="E4" s="271" t="s">
        <v>379</v>
      </c>
    </row>
    <row r="5" spans="2:5" x14ac:dyDescent="0.2">
      <c r="B5" s="357">
        <f>inputPrYr!B45</f>
        <v>0</v>
      </c>
      <c r="C5" s="293" t="str">
        <f>CONCATENATE("Actual for ",E1-2,"")</f>
        <v>Actual for 2023</v>
      </c>
      <c r="D5" s="293" t="str">
        <f>CONCATENATE("Estimate for ",E1-1,"")</f>
        <v>Estimate for 2024</v>
      </c>
      <c r="E5" s="279" t="str">
        <f>CONCATENATE("Year for ",E1,"")</f>
        <v>Year for 2025</v>
      </c>
    </row>
    <row r="6" spans="2:5" x14ac:dyDescent="0.2">
      <c r="B6" s="158" t="s">
        <v>140</v>
      </c>
      <c r="C6" s="31"/>
      <c r="D6" s="134">
        <f>C29</f>
        <v>0</v>
      </c>
      <c r="E6" s="134">
        <f>D29</f>
        <v>0</v>
      </c>
    </row>
    <row r="7" spans="2:5" x14ac:dyDescent="0.2">
      <c r="B7" s="162" t="s">
        <v>142</v>
      </c>
      <c r="C7" s="44"/>
      <c r="D7" s="44"/>
      <c r="E7" s="44"/>
    </row>
    <row r="8" spans="2:5" x14ac:dyDescent="0.2">
      <c r="B8" s="179"/>
      <c r="C8" s="31"/>
      <c r="D8" s="31"/>
      <c r="E8" s="31"/>
    </row>
    <row r="9" spans="2:5" x14ac:dyDescent="0.2">
      <c r="B9" s="179"/>
      <c r="C9" s="31"/>
      <c r="D9" s="31"/>
      <c r="E9" s="31"/>
    </row>
    <row r="10" spans="2:5" x14ac:dyDescent="0.2">
      <c r="B10" s="179"/>
      <c r="C10" s="31"/>
      <c r="D10" s="31"/>
      <c r="E10" s="31"/>
    </row>
    <row r="11" spans="2:5" x14ac:dyDescent="0.2">
      <c r="B11" s="179"/>
      <c r="C11" s="31"/>
      <c r="D11" s="31"/>
      <c r="E11" s="31"/>
    </row>
    <row r="12" spans="2:5" x14ac:dyDescent="0.2">
      <c r="B12" s="179"/>
      <c r="C12" s="31"/>
      <c r="D12" s="31"/>
      <c r="E12" s="31"/>
    </row>
    <row r="13" spans="2:5" x14ac:dyDescent="0.2">
      <c r="B13" s="167" t="s">
        <v>67</v>
      </c>
      <c r="C13" s="31"/>
      <c r="D13" s="31"/>
      <c r="E13" s="31"/>
    </row>
    <row r="14" spans="2:5" x14ac:dyDescent="0.2">
      <c r="B14" s="96" t="s">
        <v>9</v>
      </c>
      <c r="C14" s="119"/>
      <c r="D14" s="119"/>
      <c r="E14" s="119"/>
    </row>
    <row r="15" spans="2:5" x14ac:dyDescent="0.2">
      <c r="B15" s="158" t="s">
        <v>370</v>
      </c>
      <c r="C15" s="202" t="str">
        <f>IF(C16*0.1&lt;C14,"Exceed 10% Rule","")</f>
        <v/>
      </c>
      <c r="D15" s="169" t="str">
        <f>IF(D16*0.1&lt;D14,"Exceed 10% Rule","")</f>
        <v/>
      </c>
      <c r="E15" s="169" t="str">
        <f>IF(E16*0.1&lt;E14,"Exceed 10% Rule","")</f>
        <v/>
      </c>
    </row>
    <row r="16" spans="2:5" x14ac:dyDescent="0.2">
      <c r="B16" s="170" t="s">
        <v>68</v>
      </c>
      <c r="C16" s="173">
        <f>SUM(C8:C14)</f>
        <v>0</v>
      </c>
      <c r="D16" s="173">
        <f>SUM(D8:D14)</f>
        <v>0</v>
      </c>
      <c r="E16" s="173">
        <f>SUM(E8:E14)</f>
        <v>0</v>
      </c>
    </row>
    <row r="17" spans="2:5" x14ac:dyDescent="0.2">
      <c r="B17" s="170" t="s">
        <v>69</v>
      </c>
      <c r="C17" s="173">
        <f>C6+C16</f>
        <v>0</v>
      </c>
      <c r="D17" s="173">
        <f>D6+D16</f>
        <v>0</v>
      </c>
      <c r="E17" s="173">
        <f>E6+E16</f>
        <v>0</v>
      </c>
    </row>
    <row r="18" spans="2:5" x14ac:dyDescent="0.2">
      <c r="B18" s="87" t="s">
        <v>71</v>
      </c>
      <c r="C18" s="134"/>
      <c r="D18" s="134"/>
      <c r="E18" s="134"/>
    </row>
    <row r="19" spans="2:5" x14ac:dyDescent="0.2">
      <c r="B19" s="179"/>
      <c r="C19" s="31"/>
      <c r="D19" s="31"/>
      <c r="E19" s="31"/>
    </row>
    <row r="20" spans="2:5" x14ac:dyDescent="0.2">
      <c r="B20" s="179"/>
      <c r="C20" s="31"/>
      <c r="D20" s="31"/>
      <c r="E20" s="31"/>
    </row>
    <row r="21" spans="2:5" x14ac:dyDescent="0.2">
      <c r="B21" s="179"/>
      <c r="C21" s="31"/>
      <c r="D21" s="31"/>
      <c r="E21" s="31"/>
    </row>
    <row r="22" spans="2:5" x14ac:dyDescent="0.2">
      <c r="B22" s="179"/>
      <c r="C22" s="31"/>
      <c r="D22" s="31"/>
      <c r="E22" s="31"/>
    </row>
    <row r="23" spans="2:5" x14ac:dyDescent="0.2">
      <c r="B23" s="179"/>
      <c r="C23" s="31"/>
      <c r="D23" s="31"/>
      <c r="E23" s="31"/>
    </row>
    <row r="24" spans="2:5" x14ac:dyDescent="0.2">
      <c r="B24" s="179"/>
      <c r="C24" s="31"/>
      <c r="D24" s="31"/>
      <c r="E24" s="31"/>
    </row>
    <row r="25" spans="2:5" x14ac:dyDescent="0.2">
      <c r="B25" s="180" t="str">
        <f>CONCATENATE("Cash Reserve (",E1," column)")</f>
        <v>Cash Reserve (2025 column)</v>
      </c>
      <c r="C25" s="31"/>
      <c r="D25" s="31"/>
      <c r="E25" s="31"/>
    </row>
    <row r="26" spans="2:5" x14ac:dyDescent="0.2">
      <c r="B26" s="180" t="s">
        <v>9</v>
      </c>
      <c r="C26" s="31"/>
      <c r="D26" s="164"/>
      <c r="E26" s="164"/>
    </row>
    <row r="27" spans="2:5" x14ac:dyDescent="0.2">
      <c r="B27" s="180" t="s">
        <v>371</v>
      </c>
      <c r="C27" s="202" t="str">
        <f>IF(C28*0.1&lt;C26,"Exceed 10% Rule","")</f>
        <v/>
      </c>
      <c r="D27" s="169" t="str">
        <f>IF(D28*0.1&lt;D26,"Exceed 10% Rule","")</f>
        <v/>
      </c>
      <c r="E27" s="169" t="str">
        <f>IF(E28*0.1&lt;E26,"Exceed 10% Rule","")</f>
        <v/>
      </c>
    </row>
    <row r="28" spans="2:5" x14ac:dyDescent="0.2">
      <c r="B28" s="170" t="s">
        <v>75</v>
      </c>
      <c r="C28" s="173">
        <f>SUM(C19:C26)</f>
        <v>0</v>
      </c>
      <c r="D28" s="173">
        <f>SUM(D19:D26)</f>
        <v>0</v>
      </c>
      <c r="E28" s="173">
        <f>SUM(E19:E26)</f>
        <v>0</v>
      </c>
    </row>
    <row r="29" spans="2:5" x14ac:dyDescent="0.2">
      <c r="B29" s="87" t="s">
        <v>141</v>
      </c>
      <c r="C29" s="42">
        <f>C17-C28</f>
        <v>0</v>
      </c>
      <c r="D29" s="42">
        <f>D17-D28</f>
        <v>0</v>
      </c>
      <c r="E29" s="42">
        <f>E17-E28</f>
        <v>0</v>
      </c>
    </row>
    <row r="30" spans="2:5" x14ac:dyDescent="0.2">
      <c r="B30" s="102" t="str">
        <f>CONCATENATE("",E1-2,"/",E1-1,"/",E1," Budget Authority Amount:")</f>
        <v>2023/2024/2025 Budget Authority Amount:</v>
      </c>
      <c r="C30" s="584">
        <f>inputOth!B88</f>
        <v>0</v>
      </c>
      <c r="D30" s="584">
        <f>inputPrYr!D45</f>
        <v>0</v>
      </c>
      <c r="E30" s="613">
        <f>E28</f>
        <v>0</v>
      </c>
    </row>
    <row r="31" spans="2:5" x14ac:dyDescent="0.2">
      <c r="B31" s="73"/>
      <c r="C31" s="182" t="str">
        <f>IF(C28&gt;C30,"See Tab A","")</f>
        <v/>
      </c>
      <c r="D31" s="182" t="str">
        <f>IF(D28&gt;D30,"See Tab C","")</f>
        <v/>
      </c>
      <c r="E31" s="614" t="str">
        <f>IF(E29&lt;0,"See Tab E","")</f>
        <v/>
      </c>
    </row>
    <row r="32" spans="2:5" x14ac:dyDescent="0.2">
      <c r="B32" s="73"/>
      <c r="C32" s="182" t="str">
        <f>IF(C29&lt;0,"See Tab B","")</f>
        <v/>
      </c>
      <c r="D32" s="182" t="str">
        <f>IF(D29&lt;0,"See Tab D","")</f>
        <v/>
      </c>
      <c r="E32" s="48"/>
    </row>
    <row r="33" spans="2:5" x14ac:dyDescent="0.2">
      <c r="B33" s="20"/>
      <c r="C33" s="48"/>
      <c r="D33" s="48"/>
      <c r="E33" s="48"/>
    </row>
    <row r="34" spans="2:5" x14ac:dyDescent="0.2">
      <c r="B34" s="21"/>
      <c r="C34" s="197"/>
      <c r="D34" s="197"/>
      <c r="E34" s="197"/>
    </row>
    <row r="35" spans="2:5" x14ac:dyDescent="0.2">
      <c r="B35" s="21" t="s">
        <v>59</v>
      </c>
      <c r="C35" s="183" t="s">
        <v>377</v>
      </c>
      <c r="D35" s="81" t="s">
        <v>378</v>
      </c>
      <c r="E35" s="81" t="s">
        <v>445</v>
      </c>
    </row>
    <row r="36" spans="2:5" x14ac:dyDescent="0.2">
      <c r="B36" s="357">
        <f>inputPrYr!B46</f>
        <v>0</v>
      </c>
      <c r="C36" s="86" t="str">
        <f>C5</f>
        <v>Actual for 2023</v>
      </c>
      <c r="D36" s="86" t="str">
        <f>D5</f>
        <v>Estimate for 2024</v>
      </c>
      <c r="E36" s="86" t="str">
        <f>E5</f>
        <v>Year for 2025</v>
      </c>
    </row>
    <row r="37" spans="2:5" x14ac:dyDescent="0.2">
      <c r="B37" s="158" t="s">
        <v>140</v>
      </c>
      <c r="C37" s="31"/>
      <c r="D37" s="134">
        <f>C59</f>
        <v>0</v>
      </c>
      <c r="E37" s="134">
        <f>D59</f>
        <v>0</v>
      </c>
    </row>
    <row r="38" spans="2:5" x14ac:dyDescent="0.2">
      <c r="B38" s="162" t="s">
        <v>142</v>
      </c>
      <c r="C38" s="44"/>
      <c r="D38" s="44"/>
      <c r="E38" s="44"/>
    </row>
    <row r="39" spans="2:5" x14ac:dyDescent="0.2">
      <c r="B39" s="179"/>
      <c r="C39" s="31"/>
      <c r="D39" s="31"/>
      <c r="E39" s="31"/>
    </row>
    <row r="40" spans="2:5" x14ac:dyDescent="0.2">
      <c r="B40" s="179"/>
      <c r="C40" s="31"/>
      <c r="D40" s="31"/>
      <c r="E40" s="31"/>
    </row>
    <row r="41" spans="2:5" x14ac:dyDescent="0.2">
      <c r="B41" s="179"/>
      <c r="C41" s="31"/>
      <c r="D41" s="31"/>
      <c r="E41" s="31"/>
    </row>
    <row r="42" spans="2:5" x14ac:dyDescent="0.2">
      <c r="B42" s="179"/>
      <c r="C42" s="31"/>
      <c r="D42" s="31"/>
      <c r="E42" s="31"/>
    </row>
    <row r="43" spans="2:5" x14ac:dyDescent="0.2">
      <c r="B43" s="167" t="s">
        <v>67</v>
      </c>
      <c r="C43" s="31"/>
      <c r="D43" s="31"/>
      <c r="E43" s="31"/>
    </row>
    <row r="44" spans="2:5" x14ac:dyDescent="0.2">
      <c r="B44" s="96" t="s">
        <v>9</v>
      </c>
      <c r="C44" s="31"/>
      <c r="D44" s="164"/>
      <c r="E44" s="164"/>
    </row>
    <row r="45" spans="2:5" x14ac:dyDescent="0.2">
      <c r="B45" s="158" t="s">
        <v>370</v>
      </c>
      <c r="C45" s="202" t="str">
        <f>IF(C46*0.1&lt;C44,"Exceed 10% Rule","")</f>
        <v/>
      </c>
      <c r="D45" s="169" t="str">
        <f>IF(D46*0.1&lt;D44,"Exceed 10% Rule","")</f>
        <v/>
      </c>
      <c r="E45" s="169" t="str">
        <f>IF(E46*0.1&lt;E44,"Exceed 10% Rule","")</f>
        <v/>
      </c>
    </row>
    <row r="46" spans="2:5" x14ac:dyDescent="0.2">
      <c r="B46" s="170" t="s">
        <v>68</v>
      </c>
      <c r="C46" s="173">
        <f>SUM(C39:C44)</f>
        <v>0</v>
      </c>
      <c r="D46" s="173">
        <f>SUM(D39:D44)</f>
        <v>0</v>
      </c>
      <c r="E46" s="173">
        <f>SUM(E39:E44)</f>
        <v>0</v>
      </c>
    </row>
    <row r="47" spans="2:5" x14ac:dyDescent="0.2">
      <c r="B47" s="170" t="s">
        <v>69</v>
      </c>
      <c r="C47" s="173">
        <f>C37+C46</f>
        <v>0</v>
      </c>
      <c r="D47" s="173">
        <f>D37+D46</f>
        <v>0</v>
      </c>
      <c r="E47" s="173">
        <f>E37+E46</f>
        <v>0</v>
      </c>
    </row>
    <row r="48" spans="2:5" x14ac:dyDescent="0.2">
      <c r="B48" s="87" t="s">
        <v>71</v>
      </c>
      <c r="C48" s="134"/>
      <c r="D48" s="134"/>
      <c r="E48" s="134"/>
    </row>
    <row r="49" spans="2:5" x14ac:dyDescent="0.2">
      <c r="B49" s="179"/>
      <c r="C49" s="31"/>
      <c r="D49" s="31"/>
      <c r="E49" s="31"/>
    </row>
    <row r="50" spans="2:5" x14ac:dyDescent="0.2">
      <c r="B50" s="179"/>
      <c r="C50" s="31"/>
      <c r="D50" s="31"/>
      <c r="E50" s="31"/>
    </row>
    <row r="51" spans="2:5" x14ac:dyDescent="0.2">
      <c r="B51" s="179"/>
      <c r="C51" s="31"/>
      <c r="D51" s="31"/>
      <c r="E51" s="31"/>
    </row>
    <row r="52" spans="2:5" x14ac:dyDescent="0.2">
      <c r="B52" s="179"/>
      <c r="C52" s="31"/>
      <c r="D52" s="31"/>
      <c r="E52" s="31"/>
    </row>
    <row r="53" spans="2:5" x14ac:dyDescent="0.2">
      <c r="B53" s="179"/>
      <c r="C53" s="31"/>
      <c r="D53" s="31"/>
      <c r="E53" s="31"/>
    </row>
    <row r="54" spans="2:5" x14ac:dyDescent="0.2">
      <c r="B54" s="179"/>
      <c r="C54" s="31"/>
      <c r="D54" s="31"/>
      <c r="E54" s="31"/>
    </row>
    <row r="55" spans="2:5" x14ac:dyDescent="0.2">
      <c r="B55" s="180" t="str">
        <f>CONCATENATE("Cash Reserve (",E1," column)")</f>
        <v>Cash Reserve (2025 column)</v>
      </c>
      <c r="C55" s="31"/>
      <c r="D55" s="31"/>
      <c r="E55" s="31"/>
    </row>
    <row r="56" spans="2:5" x14ac:dyDescent="0.2">
      <c r="B56" s="180" t="s">
        <v>9</v>
      </c>
      <c r="C56" s="31"/>
      <c r="D56" s="164"/>
      <c r="E56" s="164"/>
    </row>
    <row r="57" spans="2:5" x14ac:dyDescent="0.2">
      <c r="B57" s="180" t="s">
        <v>371</v>
      </c>
      <c r="C57" s="202" t="str">
        <f>IF(C58*0.1&lt;C56,"Exceed 10% Rule","")</f>
        <v/>
      </c>
      <c r="D57" s="169" t="str">
        <f>IF(D58*0.1&lt;D56,"Exceed 10% Rule","")</f>
        <v/>
      </c>
      <c r="E57" s="169" t="str">
        <f>IF(E58*0.1&lt;E56,"Exceed 10% Rule","")</f>
        <v/>
      </c>
    </row>
    <row r="58" spans="2:5" x14ac:dyDescent="0.2">
      <c r="B58" s="170" t="s">
        <v>75</v>
      </c>
      <c r="C58" s="173">
        <f>SUM(C49:C56)</f>
        <v>0</v>
      </c>
      <c r="D58" s="173">
        <f>SUM(D49:D56)</f>
        <v>0</v>
      </c>
      <c r="E58" s="173">
        <f>SUM(E49:E56)</f>
        <v>0</v>
      </c>
    </row>
    <row r="59" spans="2:5" x14ac:dyDescent="0.2">
      <c r="B59" s="87" t="s">
        <v>141</v>
      </c>
      <c r="C59" s="42">
        <f>C47-C58</f>
        <v>0</v>
      </c>
      <c r="D59" s="42">
        <f>D47-D58</f>
        <v>0</v>
      </c>
      <c r="E59" s="42">
        <f>E47-E58</f>
        <v>0</v>
      </c>
    </row>
    <row r="60" spans="2:5" x14ac:dyDescent="0.2">
      <c r="B60" s="102" t="str">
        <f>CONCATENATE("",E1-2,"/",E1-1,"/",E1," Budget Authority Amount:")</f>
        <v>2023/2024/2025 Budget Authority Amount:</v>
      </c>
      <c r="C60" s="584">
        <f>inputOth!B89</f>
        <v>0</v>
      </c>
      <c r="D60" s="584">
        <f>inputPrYr!D46</f>
        <v>0</v>
      </c>
      <c r="E60" s="613">
        <f>E58</f>
        <v>0</v>
      </c>
    </row>
    <row r="61" spans="2:5" x14ac:dyDescent="0.2">
      <c r="B61" s="73"/>
      <c r="C61" s="182" t="str">
        <f>IF(C58&gt;C60,"See Tab A","")</f>
        <v/>
      </c>
      <c r="D61" s="182" t="str">
        <f>IF(D58&gt;D60,"See Tab C","")</f>
        <v/>
      </c>
      <c r="E61" s="614" t="str">
        <f>IF(E59&lt;0,"See Tab E","")</f>
        <v/>
      </c>
    </row>
    <row r="62" spans="2:5" x14ac:dyDescent="0.2">
      <c r="B62" s="704" t="s">
        <v>529</v>
      </c>
      <c r="C62" s="691" t="str">
        <f>IF(C59&lt;0,"See Tab B","")</f>
        <v/>
      </c>
      <c r="D62" s="691" t="str">
        <f>IF(D59&lt;0,"See Tab D","")</f>
        <v/>
      </c>
      <c r="E62" s="677"/>
    </row>
    <row r="63" spans="2:5" x14ac:dyDescent="0.2">
      <c r="B63" s="563"/>
      <c r="C63" s="20"/>
      <c r="D63" s="20"/>
      <c r="E63" s="570"/>
    </row>
    <row r="64" spans="2:5" x14ac:dyDescent="0.2">
      <c r="B64" s="498"/>
      <c r="C64" s="35"/>
      <c r="D64" s="35"/>
      <c r="E64" s="41"/>
    </row>
    <row r="65" spans="2:5" x14ac:dyDescent="0.2">
      <c r="B65" s="20"/>
      <c r="C65" s="20"/>
      <c r="D65" s="20"/>
      <c r="E65" s="20"/>
    </row>
    <row r="66" spans="2:5" x14ac:dyDescent="0.2">
      <c r="B66" s="101" t="s">
        <v>78</v>
      </c>
      <c r="C66" s="186"/>
      <c r="D66" s="20"/>
      <c r="E66" s="20"/>
    </row>
  </sheetData>
  <sheetProtection sheet="1"/>
  <phoneticPr fontId="0" type="noConversion"/>
  <conditionalFormatting sqref="C14">
    <cfRule type="cellIs" dxfId="113" priority="4" stopIfTrue="1" operator="greaterThan">
      <formula>$C$16*0.1</formula>
    </cfRule>
  </conditionalFormatting>
  <conditionalFormatting sqref="C26">
    <cfRule type="cellIs" dxfId="112" priority="7" stopIfTrue="1" operator="greaterThan">
      <formula>$C$28*0.1</formula>
    </cfRule>
  </conditionalFormatting>
  <conditionalFormatting sqref="C28">
    <cfRule type="cellIs" dxfId="111" priority="20" stopIfTrue="1" operator="greaterThan">
      <formula>$C$30</formula>
    </cfRule>
  </conditionalFormatting>
  <conditionalFormatting sqref="C29 E29 C59 E59">
    <cfRule type="cellIs" dxfId="110" priority="18" stopIfTrue="1" operator="lessThan">
      <formula>0</formula>
    </cfRule>
  </conditionalFormatting>
  <conditionalFormatting sqref="C44">
    <cfRule type="cellIs" dxfId="109" priority="10" stopIfTrue="1" operator="greaterThan">
      <formula>$C$46*0.1</formula>
    </cfRule>
  </conditionalFormatting>
  <conditionalFormatting sqref="C56">
    <cfRule type="cellIs" dxfId="108" priority="13" stopIfTrue="1" operator="greaterThan">
      <formula>$C$58*0.1</formula>
    </cfRule>
  </conditionalFormatting>
  <conditionalFormatting sqref="C58">
    <cfRule type="cellIs" dxfId="107" priority="17" stopIfTrue="1" operator="greaterThan">
      <formula>$C$60</formula>
    </cfRule>
  </conditionalFormatting>
  <conditionalFormatting sqref="D14">
    <cfRule type="cellIs" dxfId="106" priority="5" stopIfTrue="1" operator="greaterThan">
      <formula>$D$16*0.1</formula>
    </cfRule>
  </conditionalFormatting>
  <conditionalFormatting sqref="D26">
    <cfRule type="cellIs" dxfId="105" priority="8" stopIfTrue="1" operator="greaterThan">
      <formula>$D$28*0.1</formula>
    </cfRule>
  </conditionalFormatting>
  <conditionalFormatting sqref="D29">
    <cfRule type="cellIs" dxfId="104" priority="1" stopIfTrue="1" operator="lessThan">
      <formula>0</formula>
    </cfRule>
  </conditionalFormatting>
  <conditionalFormatting sqref="D44">
    <cfRule type="cellIs" dxfId="103" priority="11" stopIfTrue="1" operator="greaterThan">
      <formula>$D$46*0.1</formula>
    </cfRule>
  </conditionalFormatting>
  <conditionalFormatting sqref="D56">
    <cfRule type="cellIs" dxfId="102" priority="14" stopIfTrue="1" operator="greaterThan">
      <formula>$D$58*0.1</formula>
    </cfRule>
  </conditionalFormatting>
  <conditionalFormatting sqref="D58">
    <cfRule type="cellIs" dxfId="101" priority="16" stopIfTrue="1" operator="greaterThan">
      <formula>$D$60</formula>
    </cfRule>
  </conditionalFormatting>
  <conditionalFormatting sqref="D59">
    <cfRule type="cellIs" dxfId="100" priority="3" stopIfTrue="1" operator="lessThan">
      <formula>0</formula>
    </cfRule>
  </conditionalFormatting>
  <conditionalFormatting sqref="E14">
    <cfRule type="cellIs" dxfId="99" priority="6" stopIfTrue="1" operator="greaterThan">
      <formula>$E$16*0.1</formula>
    </cfRule>
  </conditionalFormatting>
  <conditionalFormatting sqref="E26">
    <cfRule type="cellIs" dxfId="98" priority="9" stopIfTrue="1" operator="greaterThan">
      <formula>$E$28*0.1</formula>
    </cfRule>
  </conditionalFormatting>
  <conditionalFormatting sqref="E44">
    <cfRule type="cellIs" dxfId="97" priority="12" stopIfTrue="1" operator="greaterThan">
      <formula>$E$46*0.1</formula>
    </cfRule>
  </conditionalFormatting>
  <conditionalFormatting sqref="E56">
    <cfRule type="cellIs" dxfId="96" priority="15" stopIfTrue="1" operator="greaterThan">
      <formula>$E$58*0.1</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00B0F0"/>
    <pageSetUpPr fitToPage="1"/>
  </sheetPr>
  <dimension ref="B1:E66"/>
  <sheetViews>
    <sheetView workbookViewId="0">
      <selection activeCell="B4" sqref="B4"/>
    </sheetView>
  </sheetViews>
  <sheetFormatPr defaultColWidth="8.88671875" defaultRowHeight="15.75" x14ac:dyDescent="0.2"/>
  <cols>
    <col min="1" max="1" width="2.44140625" style="16" customWidth="1"/>
    <col min="2" max="2" width="31.109375" style="16" customWidth="1"/>
    <col min="3" max="4" width="15.77734375" style="16" customWidth="1"/>
    <col min="5" max="5" width="16.109375" style="16" customWidth="1"/>
    <col min="6" max="16384" width="8.88671875" style="16"/>
  </cols>
  <sheetData>
    <row r="1" spans="2:5" x14ac:dyDescent="0.2">
      <c r="B1" s="39">
        <f>(inputPrYr!D3)</f>
        <v>0</v>
      </c>
      <c r="C1" s="20"/>
      <c r="D1" s="20"/>
      <c r="E1" s="73">
        <f>inputPrYr!C6</f>
        <v>2025</v>
      </c>
    </row>
    <row r="2" spans="2:5" x14ac:dyDescent="0.2">
      <c r="B2" s="20"/>
      <c r="C2" s="20"/>
      <c r="D2" s="20"/>
      <c r="E2" s="101"/>
    </row>
    <row r="3" spans="2:5" x14ac:dyDescent="0.2">
      <c r="B3" s="154" t="s">
        <v>126</v>
      </c>
      <c r="C3" s="191"/>
      <c r="D3" s="191"/>
      <c r="E3" s="191"/>
    </row>
    <row r="4" spans="2:5" x14ac:dyDescent="0.2">
      <c r="B4" s="21" t="s">
        <v>59</v>
      </c>
      <c r="C4" s="292" t="s">
        <v>377</v>
      </c>
      <c r="D4" s="291" t="s">
        <v>378</v>
      </c>
      <c r="E4" s="271" t="s">
        <v>379</v>
      </c>
    </row>
    <row r="5" spans="2:5" x14ac:dyDescent="0.2">
      <c r="B5" s="357">
        <f>inputPrYr!B47</f>
        <v>0</v>
      </c>
      <c r="C5" s="293" t="str">
        <f>CONCATENATE("Actual for ",E1-2,"")</f>
        <v>Actual for 2023</v>
      </c>
      <c r="D5" s="293" t="str">
        <f>CONCATENATE("Estimate for ",E1-1,"")</f>
        <v>Estimate for 2024</v>
      </c>
      <c r="E5" s="279" t="str">
        <f>CONCATENATE("Year for ",E1,"")</f>
        <v>Year for 2025</v>
      </c>
    </row>
    <row r="6" spans="2:5" x14ac:dyDescent="0.2">
      <c r="B6" s="158" t="s">
        <v>140</v>
      </c>
      <c r="C6" s="31"/>
      <c r="D6" s="134">
        <f>C29</f>
        <v>0</v>
      </c>
      <c r="E6" s="134">
        <f>D29</f>
        <v>0</v>
      </c>
    </row>
    <row r="7" spans="2:5" s="18" customFormat="1" x14ac:dyDescent="0.2">
      <c r="B7" s="162" t="s">
        <v>142</v>
      </c>
      <c r="C7" s="44"/>
      <c r="D7" s="44"/>
      <c r="E7" s="44"/>
    </row>
    <row r="8" spans="2:5" x14ac:dyDescent="0.2">
      <c r="B8" s="179"/>
      <c r="C8" s="31"/>
      <c r="D8" s="31"/>
      <c r="E8" s="31"/>
    </row>
    <row r="9" spans="2:5" x14ac:dyDescent="0.2">
      <c r="B9" s="179"/>
      <c r="C9" s="31"/>
      <c r="D9" s="31"/>
      <c r="E9" s="31"/>
    </row>
    <row r="10" spans="2:5" x14ac:dyDescent="0.2">
      <c r="B10" s="179"/>
      <c r="C10" s="31"/>
      <c r="D10" s="31"/>
      <c r="E10" s="31"/>
    </row>
    <row r="11" spans="2:5" x14ac:dyDescent="0.2">
      <c r="B11" s="179"/>
      <c r="C11" s="31"/>
      <c r="D11" s="31"/>
      <c r="E11" s="31"/>
    </row>
    <row r="12" spans="2:5" x14ac:dyDescent="0.2">
      <c r="B12" s="179"/>
      <c r="C12" s="31"/>
      <c r="D12" s="31"/>
      <c r="E12" s="31"/>
    </row>
    <row r="13" spans="2:5" x14ac:dyDescent="0.2">
      <c r="B13" s="167" t="s">
        <v>67</v>
      </c>
      <c r="C13" s="31"/>
      <c r="D13" s="31"/>
      <c r="E13" s="31"/>
    </row>
    <row r="14" spans="2:5" x14ac:dyDescent="0.2">
      <c r="B14" s="96" t="s">
        <v>9</v>
      </c>
      <c r="C14" s="31"/>
      <c r="D14" s="164"/>
      <c r="E14" s="164"/>
    </row>
    <row r="15" spans="2:5" x14ac:dyDescent="0.2">
      <c r="B15" s="158" t="s">
        <v>370</v>
      </c>
      <c r="C15" s="202" t="str">
        <f>IF(C16*0.1&lt;C14,"Exceed 10% Rule","")</f>
        <v/>
      </c>
      <c r="D15" s="169" t="str">
        <f>IF(D16*0.1&lt;D14,"Exceed 10% Rule","")</f>
        <v/>
      </c>
      <c r="E15" s="169" t="str">
        <f>IF(E16*0.1&lt;E14,"Exceed 10% Rule","")</f>
        <v/>
      </c>
    </row>
    <row r="16" spans="2:5" x14ac:dyDescent="0.2">
      <c r="B16" s="170" t="s">
        <v>68</v>
      </c>
      <c r="C16" s="173">
        <f>SUM(C8:C14)</f>
        <v>0</v>
      </c>
      <c r="D16" s="173">
        <f>SUM(D8:D14)</f>
        <v>0</v>
      </c>
      <c r="E16" s="173">
        <f>SUM(E8:E14)</f>
        <v>0</v>
      </c>
    </row>
    <row r="17" spans="2:5" x14ac:dyDescent="0.2">
      <c r="B17" s="170" t="s">
        <v>69</v>
      </c>
      <c r="C17" s="173">
        <f>C6+C16</f>
        <v>0</v>
      </c>
      <c r="D17" s="173">
        <f>D6+D16</f>
        <v>0</v>
      </c>
      <c r="E17" s="173">
        <f>E6+E16</f>
        <v>0</v>
      </c>
    </row>
    <row r="18" spans="2:5" x14ac:dyDescent="0.2">
      <c r="B18" s="87" t="s">
        <v>71</v>
      </c>
      <c r="C18" s="134"/>
      <c r="D18" s="134"/>
      <c r="E18" s="134"/>
    </row>
    <row r="19" spans="2:5" x14ac:dyDescent="0.2">
      <c r="B19" s="179"/>
      <c r="C19" s="31"/>
      <c r="D19" s="31"/>
      <c r="E19" s="31"/>
    </row>
    <row r="20" spans="2:5" x14ac:dyDescent="0.2">
      <c r="B20" s="179"/>
      <c r="C20" s="31"/>
      <c r="D20" s="31"/>
      <c r="E20" s="31"/>
    </row>
    <row r="21" spans="2:5" x14ac:dyDescent="0.2">
      <c r="B21" s="179"/>
      <c r="C21" s="31"/>
      <c r="D21" s="31"/>
      <c r="E21" s="31"/>
    </row>
    <row r="22" spans="2:5" x14ac:dyDescent="0.2">
      <c r="B22" s="179"/>
      <c r="C22" s="31"/>
      <c r="D22" s="31"/>
      <c r="E22" s="31"/>
    </row>
    <row r="23" spans="2:5" x14ac:dyDescent="0.2">
      <c r="B23" s="179"/>
      <c r="C23" s="31"/>
      <c r="D23" s="31"/>
      <c r="E23" s="31"/>
    </row>
    <row r="24" spans="2:5" x14ac:dyDescent="0.2">
      <c r="B24" s="179"/>
      <c r="C24" s="31"/>
      <c r="D24" s="31"/>
      <c r="E24" s="31"/>
    </row>
    <row r="25" spans="2:5" x14ac:dyDescent="0.2">
      <c r="B25" s="180" t="str">
        <f>CONCATENATE("Cash Reserve (",E1," column)")</f>
        <v>Cash Reserve (2025 column)</v>
      </c>
      <c r="C25" s="31"/>
      <c r="D25" s="31"/>
      <c r="E25" s="31"/>
    </row>
    <row r="26" spans="2:5" x14ac:dyDescent="0.2">
      <c r="B26" s="180" t="s">
        <v>9</v>
      </c>
      <c r="C26" s="31"/>
      <c r="D26" s="164"/>
      <c r="E26" s="164"/>
    </row>
    <row r="27" spans="2:5" x14ac:dyDescent="0.2">
      <c r="B27" s="180" t="s">
        <v>371</v>
      </c>
      <c r="C27" s="202" t="str">
        <f>IF(C28*0.1&lt;C26,"Exceed 10% Rule","")</f>
        <v/>
      </c>
      <c r="D27" s="169" t="str">
        <f>IF(D28*0.1&lt;D26,"Exceed 10% Rule","")</f>
        <v/>
      </c>
      <c r="E27" s="169" t="str">
        <f>IF(E28*0.1&lt;E26,"Exceed 10% Rule","")</f>
        <v/>
      </c>
    </row>
    <row r="28" spans="2:5" x14ac:dyDescent="0.2">
      <c r="B28" s="170" t="s">
        <v>75</v>
      </c>
      <c r="C28" s="173">
        <f>SUM(C19:C26)</f>
        <v>0</v>
      </c>
      <c r="D28" s="173">
        <f>SUM(D19:D26)</f>
        <v>0</v>
      </c>
      <c r="E28" s="173">
        <f>SUM(E19:E26)</f>
        <v>0</v>
      </c>
    </row>
    <row r="29" spans="2:5" x14ac:dyDescent="0.2">
      <c r="B29" s="87" t="s">
        <v>141</v>
      </c>
      <c r="C29" s="42">
        <f>C17-C28</f>
        <v>0</v>
      </c>
      <c r="D29" s="42">
        <f>D17-D28</f>
        <v>0</v>
      </c>
      <c r="E29" s="42">
        <f>E17-E28</f>
        <v>0</v>
      </c>
    </row>
    <row r="30" spans="2:5" x14ac:dyDescent="0.2">
      <c r="B30" s="102" t="str">
        <f>CONCATENATE("",E1-2,"/",E1-1,"/",E1," Budget Authority Amount:")</f>
        <v>2023/2024/2025 Budget Authority Amount:</v>
      </c>
      <c r="C30" s="584">
        <f>inputOth!B90</f>
        <v>0</v>
      </c>
      <c r="D30" s="584">
        <f>inputPrYr!D47</f>
        <v>0</v>
      </c>
      <c r="E30" s="613">
        <f>E28</f>
        <v>0</v>
      </c>
    </row>
    <row r="31" spans="2:5" x14ac:dyDescent="0.2">
      <c r="B31" s="73"/>
      <c r="C31" s="182" t="str">
        <f>IF(C28&gt;C30,"See Tab A","")</f>
        <v/>
      </c>
      <c r="D31" s="182" t="str">
        <f>IF(D28&gt;D30,"See Tab C","")</f>
        <v/>
      </c>
      <c r="E31" s="614" t="str">
        <f>IF(E29&lt;0,"See Tab E","")</f>
        <v/>
      </c>
    </row>
    <row r="32" spans="2:5" x14ac:dyDescent="0.2">
      <c r="B32" s="73"/>
      <c r="C32" s="182" t="str">
        <f>IF(C29&lt;0,"See Tab B","")</f>
        <v/>
      </c>
      <c r="D32" s="182" t="str">
        <f>IF(D29&lt;0,"See Tab D","")</f>
        <v/>
      </c>
      <c r="E32" s="48"/>
    </row>
    <row r="33" spans="2:5" x14ac:dyDescent="0.2">
      <c r="B33" s="20"/>
      <c r="C33" s="48"/>
      <c r="D33" s="48"/>
      <c r="E33" s="48"/>
    </row>
    <row r="34" spans="2:5" x14ac:dyDescent="0.2">
      <c r="B34" s="21"/>
      <c r="C34" s="197"/>
      <c r="D34" s="197"/>
      <c r="E34" s="197"/>
    </row>
    <row r="35" spans="2:5" x14ac:dyDescent="0.2">
      <c r="B35" s="21" t="s">
        <v>59</v>
      </c>
      <c r="C35" s="183" t="s">
        <v>444</v>
      </c>
      <c r="D35" s="81" t="s">
        <v>378</v>
      </c>
      <c r="E35" s="81" t="s">
        <v>379</v>
      </c>
    </row>
    <row r="36" spans="2:5" x14ac:dyDescent="0.2">
      <c r="B36" s="357">
        <f>inputPrYr!B48</f>
        <v>0</v>
      </c>
      <c r="C36" s="86" t="str">
        <f>C5</f>
        <v>Actual for 2023</v>
      </c>
      <c r="D36" s="86" t="str">
        <f>D5</f>
        <v>Estimate for 2024</v>
      </c>
      <c r="E36" s="86" t="str">
        <f>E5</f>
        <v>Year for 2025</v>
      </c>
    </row>
    <row r="37" spans="2:5" x14ac:dyDescent="0.2">
      <c r="B37" s="158" t="s">
        <v>140</v>
      </c>
      <c r="C37" s="31"/>
      <c r="D37" s="134">
        <f>C59</f>
        <v>0</v>
      </c>
      <c r="E37" s="134">
        <f>D59</f>
        <v>0</v>
      </c>
    </row>
    <row r="38" spans="2:5" s="18" customFormat="1" x14ac:dyDescent="0.2">
      <c r="B38" s="162" t="s">
        <v>142</v>
      </c>
      <c r="C38" s="44"/>
      <c r="D38" s="44"/>
      <c r="E38" s="44"/>
    </row>
    <row r="39" spans="2:5" x14ac:dyDescent="0.2">
      <c r="B39" s="179"/>
      <c r="C39" s="31"/>
      <c r="D39" s="31"/>
      <c r="E39" s="31"/>
    </row>
    <row r="40" spans="2:5" x14ac:dyDescent="0.2">
      <c r="B40" s="179"/>
      <c r="C40" s="31"/>
      <c r="D40" s="31"/>
      <c r="E40" s="31"/>
    </row>
    <row r="41" spans="2:5" x14ac:dyDescent="0.2">
      <c r="B41" s="179"/>
      <c r="C41" s="31"/>
      <c r="D41" s="31"/>
      <c r="E41" s="31"/>
    </row>
    <row r="42" spans="2:5" x14ac:dyDescent="0.2">
      <c r="B42" s="179"/>
      <c r="C42" s="31"/>
      <c r="D42" s="31"/>
      <c r="E42" s="31"/>
    </row>
    <row r="43" spans="2:5" x14ac:dyDescent="0.2">
      <c r="B43" s="167" t="s">
        <v>67</v>
      </c>
      <c r="C43" s="31"/>
      <c r="D43" s="31"/>
      <c r="E43" s="31"/>
    </row>
    <row r="44" spans="2:5" x14ac:dyDescent="0.2">
      <c r="B44" s="96" t="s">
        <v>9</v>
      </c>
      <c r="C44" s="31"/>
      <c r="D44" s="164"/>
      <c r="E44" s="164"/>
    </row>
    <row r="45" spans="2:5" x14ac:dyDescent="0.2">
      <c r="B45" s="158" t="s">
        <v>370</v>
      </c>
      <c r="C45" s="202" t="str">
        <f>IF(C46*0.1&lt;C44,"Exceed 10% Rule","")</f>
        <v/>
      </c>
      <c r="D45" s="169" t="str">
        <f>IF(D46*0.1&lt;D44,"Exceed 10% Rule","")</f>
        <v/>
      </c>
      <c r="E45" s="169" t="str">
        <f>IF(E46*0.1&lt;E44,"Exceed 10% Rule","")</f>
        <v/>
      </c>
    </row>
    <row r="46" spans="2:5" x14ac:dyDescent="0.2">
      <c r="B46" s="170" t="s">
        <v>68</v>
      </c>
      <c r="C46" s="173">
        <f>SUM(C39:C44)</f>
        <v>0</v>
      </c>
      <c r="D46" s="173">
        <f>SUM(D39:D44)</f>
        <v>0</v>
      </c>
      <c r="E46" s="173">
        <f>SUM(E39:E44)</f>
        <v>0</v>
      </c>
    </row>
    <row r="47" spans="2:5" x14ac:dyDescent="0.2">
      <c r="B47" s="170" t="s">
        <v>69</v>
      </c>
      <c r="C47" s="173">
        <f>C37+C46</f>
        <v>0</v>
      </c>
      <c r="D47" s="173">
        <f>D37+D46</f>
        <v>0</v>
      </c>
      <c r="E47" s="173">
        <f>E37+E46</f>
        <v>0</v>
      </c>
    </row>
    <row r="48" spans="2:5" x14ac:dyDescent="0.2">
      <c r="B48" s="87" t="s">
        <v>71</v>
      </c>
      <c r="C48" s="134"/>
      <c r="D48" s="134"/>
      <c r="E48" s="134"/>
    </row>
    <row r="49" spans="2:5" x14ac:dyDescent="0.2">
      <c r="B49" s="179"/>
      <c r="C49" s="31"/>
      <c r="D49" s="31"/>
      <c r="E49" s="31"/>
    </row>
    <row r="50" spans="2:5" x14ac:dyDescent="0.2">
      <c r="B50" s="179"/>
      <c r="C50" s="31"/>
      <c r="D50" s="31"/>
      <c r="E50" s="31"/>
    </row>
    <row r="51" spans="2:5" x14ac:dyDescent="0.2">
      <c r="B51" s="179"/>
      <c r="C51" s="31"/>
      <c r="D51" s="31"/>
      <c r="E51" s="31"/>
    </row>
    <row r="52" spans="2:5" x14ac:dyDescent="0.2">
      <c r="B52" s="179"/>
      <c r="C52" s="31"/>
      <c r="D52" s="31"/>
      <c r="E52" s="31"/>
    </row>
    <row r="53" spans="2:5" x14ac:dyDescent="0.2">
      <c r="B53" s="179"/>
      <c r="C53" s="31"/>
      <c r="D53" s="31"/>
      <c r="E53" s="31"/>
    </row>
    <row r="54" spans="2:5" x14ac:dyDescent="0.2">
      <c r="B54" s="179"/>
      <c r="C54" s="31"/>
      <c r="D54" s="31"/>
      <c r="E54" s="31"/>
    </row>
    <row r="55" spans="2:5" x14ac:dyDescent="0.2">
      <c r="B55" s="180" t="str">
        <f>CONCATENATE("Cash Reserve (",E1," column)")</f>
        <v>Cash Reserve (2025 column)</v>
      </c>
      <c r="C55" s="31"/>
      <c r="D55" s="31"/>
      <c r="E55" s="31"/>
    </row>
    <row r="56" spans="2:5" x14ac:dyDescent="0.2">
      <c r="B56" s="180" t="s">
        <v>9</v>
      </c>
      <c r="C56" s="31"/>
      <c r="D56" s="164"/>
      <c r="E56" s="164"/>
    </row>
    <row r="57" spans="2:5" x14ac:dyDescent="0.2">
      <c r="B57" s="180" t="s">
        <v>371</v>
      </c>
      <c r="C57" s="202" t="str">
        <f>IF(C58*0.1&lt;C56,"Exceed 10% Rule","")</f>
        <v/>
      </c>
      <c r="D57" s="169" t="str">
        <f>IF(D58*0.1&lt;D56,"Exceed 10% Rule","")</f>
        <v/>
      </c>
      <c r="E57" s="169" t="str">
        <f>IF(E58*0.1&lt;E56,"Exceed 10% Rule","")</f>
        <v/>
      </c>
    </row>
    <row r="58" spans="2:5" x14ac:dyDescent="0.2">
      <c r="B58" s="170" t="s">
        <v>75</v>
      </c>
      <c r="C58" s="173">
        <f>SUM(C49:C56)</f>
        <v>0</v>
      </c>
      <c r="D58" s="173">
        <f>SUM(D49:D56)</f>
        <v>0</v>
      </c>
      <c r="E58" s="173">
        <f>SUM(E49:E56)</f>
        <v>0</v>
      </c>
    </row>
    <row r="59" spans="2:5" x14ac:dyDescent="0.2">
      <c r="B59" s="87" t="s">
        <v>141</v>
      </c>
      <c r="C59" s="42">
        <f>C47-C58</f>
        <v>0</v>
      </c>
      <c r="D59" s="42">
        <f>D47-D58</f>
        <v>0</v>
      </c>
      <c r="E59" s="42">
        <f>E47-E58</f>
        <v>0</v>
      </c>
    </row>
    <row r="60" spans="2:5" x14ac:dyDescent="0.2">
      <c r="B60" s="102" t="str">
        <f>CONCATENATE("",E1-2,"/",E1-1,"/",E1," Budget Authority Amount:")</f>
        <v>2023/2024/2025 Budget Authority Amount:</v>
      </c>
      <c r="C60" s="584">
        <f>inputOth!B91</f>
        <v>0</v>
      </c>
      <c r="D60" s="584">
        <f>inputPrYr!D48</f>
        <v>0</v>
      </c>
      <c r="E60" s="613">
        <f>E58</f>
        <v>0</v>
      </c>
    </row>
    <row r="61" spans="2:5" x14ac:dyDescent="0.2">
      <c r="B61" s="73"/>
      <c r="C61" s="182" t="str">
        <f>IF(C58&gt;C60,"See Tab A","")</f>
        <v/>
      </c>
      <c r="D61" s="182" t="str">
        <f>IF(D58&gt;D60,"See Tab C","")</f>
        <v/>
      </c>
      <c r="E61" s="614" t="str">
        <f>IF(E59&lt;0,"See Tab E","")</f>
        <v/>
      </c>
    </row>
    <row r="62" spans="2:5" x14ac:dyDescent="0.2">
      <c r="B62" s="704" t="s">
        <v>529</v>
      </c>
      <c r="C62" s="691" t="str">
        <f>IF(C59&lt;0,"See Tab B","")</f>
        <v/>
      </c>
      <c r="D62" s="691" t="str">
        <f>IF(D59&lt;0,"See Tab D","")</f>
        <v/>
      </c>
      <c r="E62" s="677"/>
    </row>
    <row r="63" spans="2:5" x14ac:dyDescent="0.2">
      <c r="B63" s="563"/>
      <c r="C63" s="20"/>
      <c r="D63" s="20"/>
      <c r="E63" s="570"/>
    </row>
    <row r="64" spans="2:5" x14ac:dyDescent="0.2">
      <c r="B64" s="498"/>
      <c r="C64" s="35"/>
      <c r="D64" s="35"/>
      <c r="E64" s="41"/>
    </row>
    <row r="65" spans="2:5" x14ac:dyDescent="0.2">
      <c r="B65" s="20"/>
      <c r="C65" s="20"/>
      <c r="D65" s="20"/>
      <c r="E65" s="20"/>
    </row>
    <row r="66" spans="2:5" x14ac:dyDescent="0.2">
      <c r="B66" s="101" t="s">
        <v>78</v>
      </c>
      <c r="C66" s="186"/>
      <c r="D66" s="20"/>
      <c r="E66" s="20"/>
    </row>
  </sheetData>
  <sheetProtection sheet="1"/>
  <phoneticPr fontId="0" type="noConversion"/>
  <conditionalFormatting sqref="C14">
    <cfRule type="cellIs" dxfId="95" priority="3" stopIfTrue="1" operator="greaterThan">
      <formula>$C$16*0.1</formula>
    </cfRule>
  </conditionalFormatting>
  <conditionalFormatting sqref="C26">
    <cfRule type="cellIs" dxfId="94" priority="6" stopIfTrue="1" operator="greaterThan">
      <formula>$C$28*0.1</formula>
    </cfRule>
  </conditionalFormatting>
  <conditionalFormatting sqref="C28">
    <cfRule type="cellIs" dxfId="93" priority="18" stopIfTrue="1" operator="greaterThan">
      <formula>$C$30</formula>
    </cfRule>
  </conditionalFormatting>
  <conditionalFormatting sqref="C29 E29 C59 E59">
    <cfRule type="cellIs" dxfId="92" priority="16" stopIfTrue="1" operator="lessThan">
      <formula>0</formula>
    </cfRule>
  </conditionalFormatting>
  <conditionalFormatting sqref="C44">
    <cfRule type="cellIs" dxfId="91" priority="9" stopIfTrue="1" operator="greaterThan">
      <formula>$C$46*0.1</formula>
    </cfRule>
  </conditionalFormatting>
  <conditionalFormatting sqref="C56">
    <cfRule type="cellIs" dxfId="90" priority="12" stopIfTrue="1" operator="greaterThan">
      <formula>$C$58*0.1</formula>
    </cfRule>
  </conditionalFormatting>
  <conditionalFormatting sqref="C58:D58">
    <cfRule type="cellIs" dxfId="89" priority="15" stopIfTrue="1" operator="greaterThan">
      <formula>$D$60</formula>
    </cfRule>
  </conditionalFormatting>
  <conditionalFormatting sqref="D14">
    <cfRule type="cellIs" dxfId="88" priority="4" stopIfTrue="1" operator="greaterThan">
      <formula>$D$16*0.1</formula>
    </cfRule>
  </conditionalFormatting>
  <conditionalFormatting sqref="D26">
    <cfRule type="cellIs" dxfId="87" priority="7" stopIfTrue="1" operator="greaterThan">
      <formula>$D$28*0.1</formula>
    </cfRule>
  </conditionalFormatting>
  <conditionalFormatting sqref="D28">
    <cfRule type="cellIs" dxfId="86" priority="17" stopIfTrue="1" operator="greaterThan">
      <formula>$D$30</formula>
    </cfRule>
  </conditionalFormatting>
  <conditionalFormatting sqref="D29">
    <cfRule type="cellIs" dxfId="85" priority="1" stopIfTrue="1" operator="lessThan">
      <formula>0</formula>
    </cfRule>
  </conditionalFormatting>
  <conditionalFormatting sqref="D44">
    <cfRule type="cellIs" dxfId="84" priority="10" stopIfTrue="1" operator="greaterThan">
      <formula>$D$46*0.1</formula>
    </cfRule>
  </conditionalFormatting>
  <conditionalFormatting sqref="D56">
    <cfRule type="cellIs" dxfId="83" priority="13" stopIfTrue="1" operator="greaterThan">
      <formula>$D$58*0.1</formula>
    </cfRule>
  </conditionalFormatting>
  <conditionalFormatting sqref="D59">
    <cfRule type="cellIs" dxfId="82" priority="2" stopIfTrue="1" operator="lessThan">
      <formula>0</formula>
    </cfRule>
  </conditionalFormatting>
  <conditionalFormatting sqref="E14">
    <cfRule type="cellIs" dxfId="81" priority="5" stopIfTrue="1" operator="greaterThan">
      <formula>$E$16*0.1</formula>
    </cfRule>
  </conditionalFormatting>
  <conditionalFormatting sqref="E26">
    <cfRule type="cellIs" dxfId="80" priority="8" stopIfTrue="1" operator="greaterThan">
      <formula>$E$28*0.1</formula>
    </cfRule>
  </conditionalFormatting>
  <conditionalFormatting sqref="E44">
    <cfRule type="cellIs" dxfId="79" priority="11" stopIfTrue="1" operator="greaterThan">
      <formula>$E$46*0.1</formula>
    </cfRule>
  </conditionalFormatting>
  <conditionalFormatting sqref="E56">
    <cfRule type="cellIs" dxfId="78" priority="14" stopIfTrue="1" operator="greaterThan">
      <formula>$E$58*0.1</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00B0F0"/>
    <pageSetUpPr fitToPage="1"/>
  </sheetPr>
  <dimension ref="B1:E66"/>
  <sheetViews>
    <sheetView workbookViewId="0">
      <selection activeCell="B4" sqref="B4"/>
    </sheetView>
  </sheetViews>
  <sheetFormatPr defaultColWidth="8.88671875" defaultRowHeight="15.75" x14ac:dyDescent="0.2"/>
  <cols>
    <col min="1" max="1" width="2.44140625" style="16" customWidth="1"/>
    <col min="2" max="2" width="31.109375" style="16" customWidth="1"/>
    <col min="3" max="4" width="15.77734375" style="16" customWidth="1"/>
    <col min="5" max="5" width="16.109375" style="16" customWidth="1"/>
    <col min="6" max="16384" width="8.88671875" style="16"/>
  </cols>
  <sheetData>
    <row r="1" spans="2:5" x14ac:dyDescent="0.2">
      <c r="B1" s="39">
        <f>(inputPrYr!D3)</f>
        <v>0</v>
      </c>
      <c r="C1" s="20"/>
      <c r="D1" s="20"/>
      <c r="E1" s="73">
        <f>inputPrYr!C6</f>
        <v>2025</v>
      </c>
    </row>
    <row r="2" spans="2:5" x14ac:dyDescent="0.2">
      <c r="B2" s="20"/>
      <c r="C2" s="20"/>
      <c r="D2" s="20"/>
      <c r="E2" s="101"/>
    </row>
    <row r="3" spans="2:5" x14ac:dyDescent="0.2">
      <c r="B3" s="154" t="s">
        <v>126</v>
      </c>
      <c r="C3" s="191"/>
      <c r="D3" s="191"/>
      <c r="E3" s="191"/>
    </row>
    <row r="4" spans="2:5" x14ac:dyDescent="0.2">
      <c r="B4" s="21" t="s">
        <v>59</v>
      </c>
      <c r="C4" s="292" t="s">
        <v>377</v>
      </c>
      <c r="D4" s="291" t="s">
        <v>378</v>
      </c>
      <c r="E4" s="271" t="s">
        <v>379</v>
      </c>
    </row>
    <row r="5" spans="2:5" x14ac:dyDescent="0.2">
      <c r="B5" s="357">
        <f>inputPrYr!B49</f>
        <v>0</v>
      </c>
      <c r="C5" s="293" t="str">
        <f>CONCATENATE("Actual for ",E1-2,"")</f>
        <v>Actual for 2023</v>
      </c>
      <c r="D5" s="293" t="str">
        <f>CONCATENATE("Estimate for ",E1-1,"")</f>
        <v>Estimate for 2024</v>
      </c>
      <c r="E5" s="279" t="str">
        <f>CONCATENATE("Year for ",E1,"")</f>
        <v>Year for 2025</v>
      </c>
    </row>
    <row r="6" spans="2:5" x14ac:dyDescent="0.2">
      <c r="B6" s="158" t="s">
        <v>140</v>
      </c>
      <c r="C6" s="31"/>
      <c r="D6" s="134">
        <f>C29</f>
        <v>0</v>
      </c>
      <c r="E6" s="134">
        <f>D29</f>
        <v>0</v>
      </c>
    </row>
    <row r="7" spans="2:5" s="18" customFormat="1" x14ac:dyDescent="0.2">
      <c r="B7" s="162" t="s">
        <v>142</v>
      </c>
      <c r="C7" s="44"/>
      <c r="D7" s="44"/>
      <c r="E7" s="44"/>
    </row>
    <row r="8" spans="2:5" x14ac:dyDescent="0.2">
      <c r="B8" s="179"/>
      <c r="C8" s="31"/>
      <c r="D8" s="31"/>
      <c r="E8" s="31"/>
    </row>
    <row r="9" spans="2:5" x14ac:dyDescent="0.2">
      <c r="B9" s="179"/>
      <c r="C9" s="31"/>
      <c r="D9" s="31"/>
      <c r="E9" s="31"/>
    </row>
    <row r="10" spans="2:5" x14ac:dyDescent="0.2">
      <c r="B10" s="179"/>
      <c r="C10" s="31"/>
      <c r="D10" s="31"/>
      <c r="E10" s="31"/>
    </row>
    <row r="11" spans="2:5" x14ac:dyDescent="0.2">
      <c r="B11" s="179"/>
      <c r="C11" s="31"/>
      <c r="D11" s="31"/>
      <c r="E11" s="31"/>
    </row>
    <row r="12" spans="2:5" x14ac:dyDescent="0.2">
      <c r="B12" s="179"/>
      <c r="C12" s="31"/>
      <c r="D12" s="31"/>
      <c r="E12" s="31"/>
    </row>
    <row r="13" spans="2:5" x14ac:dyDescent="0.2">
      <c r="B13" s="167" t="s">
        <v>67</v>
      </c>
      <c r="C13" s="31"/>
      <c r="D13" s="31"/>
      <c r="E13" s="31"/>
    </row>
    <row r="14" spans="2:5" x14ac:dyDescent="0.2">
      <c r="B14" s="96" t="s">
        <v>9</v>
      </c>
      <c r="C14" s="31"/>
      <c r="D14" s="164"/>
      <c r="E14" s="164"/>
    </row>
    <row r="15" spans="2:5" x14ac:dyDescent="0.2">
      <c r="B15" s="158" t="s">
        <v>370</v>
      </c>
      <c r="C15" s="202" t="str">
        <f>IF(C16*0.1&lt;C14,"Exceed 10% Rule","")</f>
        <v/>
      </c>
      <c r="D15" s="169" t="str">
        <f>IF(D16*0.1&lt;D14,"Exceed 10% Rule","")</f>
        <v/>
      </c>
      <c r="E15" s="169" t="str">
        <f>IF(E16*0.1&lt;E14,"Exceed 10% Rule","")</f>
        <v/>
      </c>
    </row>
    <row r="16" spans="2:5" x14ac:dyDescent="0.2">
      <c r="B16" s="170" t="s">
        <v>68</v>
      </c>
      <c r="C16" s="173">
        <f>SUM(C8:C14)</f>
        <v>0</v>
      </c>
      <c r="D16" s="173">
        <f>SUM(D8:D14)</f>
        <v>0</v>
      </c>
      <c r="E16" s="173">
        <f>SUM(E8:E14)</f>
        <v>0</v>
      </c>
    </row>
    <row r="17" spans="2:5" x14ac:dyDescent="0.2">
      <c r="B17" s="170" t="s">
        <v>69</v>
      </c>
      <c r="C17" s="173">
        <f>C6+C16</f>
        <v>0</v>
      </c>
      <c r="D17" s="173">
        <f>D6+D16</f>
        <v>0</v>
      </c>
      <c r="E17" s="173">
        <f>E6+E16</f>
        <v>0</v>
      </c>
    </row>
    <row r="18" spans="2:5" x14ac:dyDescent="0.2">
      <c r="B18" s="87" t="s">
        <v>71</v>
      </c>
      <c r="C18" s="134"/>
      <c r="D18" s="134"/>
      <c r="E18" s="134"/>
    </row>
    <row r="19" spans="2:5" x14ac:dyDescent="0.2">
      <c r="B19" s="179"/>
      <c r="C19" s="31"/>
      <c r="D19" s="31"/>
      <c r="E19" s="31"/>
    </row>
    <row r="20" spans="2:5" x14ac:dyDescent="0.2">
      <c r="B20" s="179"/>
      <c r="C20" s="31"/>
      <c r="D20" s="31"/>
      <c r="E20" s="31"/>
    </row>
    <row r="21" spans="2:5" x14ac:dyDescent="0.2">
      <c r="B21" s="179"/>
      <c r="C21" s="31"/>
      <c r="D21" s="31"/>
      <c r="E21" s="31"/>
    </row>
    <row r="22" spans="2:5" x14ac:dyDescent="0.2">
      <c r="B22" s="179"/>
      <c r="C22" s="31"/>
      <c r="D22" s="31"/>
      <c r="E22" s="31"/>
    </row>
    <row r="23" spans="2:5" x14ac:dyDescent="0.2">
      <c r="B23" s="179"/>
      <c r="C23" s="31"/>
      <c r="D23" s="31"/>
      <c r="E23" s="31"/>
    </row>
    <row r="24" spans="2:5" x14ac:dyDescent="0.2">
      <c r="B24" s="179"/>
      <c r="C24" s="31"/>
      <c r="D24" s="31"/>
      <c r="E24" s="31"/>
    </row>
    <row r="25" spans="2:5" x14ac:dyDescent="0.2">
      <c r="B25" s="180" t="str">
        <f>CONCATENATE("Cash Reserve (",E1," column)")</f>
        <v>Cash Reserve (2025 column)</v>
      </c>
      <c r="C25" s="31"/>
      <c r="D25" s="31"/>
      <c r="E25" s="31"/>
    </row>
    <row r="26" spans="2:5" x14ac:dyDescent="0.2">
      <c r="B26" s="180" t="s">
        <v>9</v>
      </c>
      <c r="C26" s="31"/>
      <c r="D26" s="164"/>
      <c r="E26" s="164"/>
    </row>
    <row r="27" spans="2:5" x14ac:dyDescent="0.2">
      <c r="B27" s="180" t="s">
        <v>371</v>
      </c>
      <c r="C27" s="202" t="str">
        <f>IF(C28*0.1&lt;C26,"Exceed 10% Rule","")</f>
        <v/>
      </c>
      <c r="D27" s="169" t="str">
        <f>IF(D28*0.1&lt;D26,"Exceed 10% Rule","")</f>
        <v/>
      </c>
      <c r="E27" s="169" t="str">
        <f>IF(E28*0.1&lt;E26,"Exceed 10% Rule","")</f>
        <v/>
      </c>
    </row>
    <row r="28" spans="2:5" x14ac:dyDescent="0.2">
      <c r="B28" s="170" t="s">
        <v>75</v>
      </c>
      <c r="C28" s="173">
        <f>SUM(C19:C26)</f>
        <v>0</v>
      </c>
      <c r="D28" s="173">
        <f>SUM(D19:D26)</f>
        <v>0</v>
      </c>
      <c r="E28" s="173">
        <f>SUM(E19:E26)</f>
        <v>0</v>
      </c>
    </row>
    <row r="29" spans="2:5" x14ac:dyDescent="0.2">
      <c r="B29" s="87" t="s">
        <v>141</v>
      </c>
      <c r="C29" s="42">
        <f>C17-C28</f>
        <v>0</v>
      </c>
      <c r="D29" s="42">
        <f>D17-D28</f>
        <v>0</v>
      </c>
      <c r="E29" s="42">
        <f>E17-E28</f>
        <v>0</v>
      </c>
    </row>
    <row r="30" spans="2:5" x14ac:dyDescent="0.2">
      <c r="B30" s="102" t="str">
        <f>CONCATENATE("",E1-2,"/",E1-1,"/",E1," Budget Authority Amount:")</f>
        <v>2023/2024/2025 Budget Authority Amount:</v>
      </c>
      <c r="C30" s="584">
        <f>inputOth!B92</f>
        <v>0</v>
      </c>
      <c r="D30" s="584">
        <f>inputPrYr!D49</f>
        <v>0</v>
      </c>
      <c r="E30" s="613">
        <f>E28</f>
        <v>0</v>
      </c>
    </row>
    <row r="31" spans="2:5" x14ac:dyDescent="0.2">
      <c r="B31" s="73"/>
      <c r="C31" s="182" t="str">
        <f>IF(C28&gt;C30,"See Tab A","")</f>
        <v/>
      </c>
      <c r="D31" s="182" t="str">
        <f>IF(D28&gt;D30,"See Tab C","")</f>
        <v/>
      </c>
      <c r="E31" s="614" t="str">
        <f>IF(E29&lt;0,"See Tab E","")</f>
        <v/>
      </c>
    </row>
    <row r="32" spans="2:5" x14ac:dyDescent="0.2">
      <c r="B32" s="73"/>
      <c r="C32" s="182" t="str">
        <f>IF(C29&lt;0,"See Tab B","")</f>
        <v/>
      </c>
      <c r="D32" s="182" t="str">
        <f>IF(D29&lt;0,"See Tab D","")</f>
        <v/>
      </c>
      <c r="E32" s="48"/>
    </row>
    <row r="33" spans="2:5" x14ac:dyDescent="0.2">
      <c r="B33" s="20"/>
      <c r="C33" s="48"/>
      <c r="D33" s="48"/>
      <c r="E33" s="48"/>
    </row>
    <row r="34" spans="2:5" x14ac:dyDescent="0.2">
      <c r="B34" s="21"/>
      <c r="C34" s="197"/>
      <c r="D34" s="197"/>
      <c r="E34" s="197"/>
    </row>
    <row r="35" spans="2:5" x14ac:dyDescent="0.2">
      <c r="B35" s="21" t="s">
        <v>59</v>
      </c>
      <c r="C35" s="183" t="s">
        <v>377</v>
      </c>
      <c r="D35" s="81" t="s">
        <v>378</v>
      </c>
      <c r="E35" s="81" t="s">
        <v>379</v>
      </c>
    </row>
    <row r="36" spans="2:5" x14ac:dyDescent="0.2">
      <c r="B36" s="357">
        <f>inputPrYr!B50</f>
        <v>0</v>
      </c>
      <c r="C36" s="86" t="str">
        <f>C5</f>
        <v>Actual for 2023</v>
      </c>
      <c r="D36" s="86" t="str">
        <f>D5</f>
        <v>Estimate for 2024</v>
      </c>
      <c r="E36" s="86" t="str">
        <f>E5</f>
        <v>Year for 2025</v>
      </c>
    </row>
    <row r="37" spans="2:5" x14ac:dyDescent="0.2">
      <c r="B37" s="158" t="s">
        <v>140</v>
      </c>
      <c r="C37" s="31"/>
      <c r="D37" s="134">
        <f>C59</f>
        <v>0</v>
      </c>
      <c r="E37" s="134">
        <f>D59</f>
        <v>0</v>
      </c>
    </row>
    <row r="38" spans="2:5" s="18" customFormat="1" x14ac:dyDescent="0.2">
      <c r="B38" s="162" t="s">
        <v>142</v>
      </c>
      <c r="C38" s="44"/>
      <c r="D38" s="44"/>
      <c r="E38" s="44"/>
    </row>
    <row r="39" spans="2:5" x14ac:dyDescent="0.2">
      <c r="B39" s="179"/>
      <c r="C39" s="31"/>
      <c r="D39" s="31"/>
      <c r="E39" s="31"/>
    </row>
    <row r="40" spans="2:5" x14ac:dyDescent="0.2">
      <c r="B40" s="179"/>
      <c r="C40" s="31"/>
      <c r="D40" s="31"/>
      <c r="E40" s="31"/>
    </row>
    <row r="41" spans="2:5" x14ac:dyDescent="0.2">
      <c r="B41" s="179"/>
      <c r="C41" s="31"/>
      <c r="D41" s="31"/>
      <c r="E41" s="31"/>
    </row>
    <row r="42" spans="2:5" x14ac:dyDescent="0.2">
      <c r="B42" s="179"/>
      <c r="C42" s="31"/>
      <c r="D42" s="31"/>
      <c r="E42" s="31"/>
    </row>
    <row r="43" spans="2:5" x14ac:dyDescent="0.2">
      <c r="B43" s="167" t="s">
        <v>67</v>
      </c>
      <c r="C43" s="31"/>
      <c r="D43" s="31"/>
      <c r="E43" s="31"/>
    </row>
    <row r="44" spans="2:5" x14ac:dyDescent="0.2">
      <c r="B44" s="96" t="s">
        <v>9</v>
      </c>
      <c r="C44" s="31"/>
      <c r="D44" s="164"/>
      <c r="E44" s="164"/>
    </row>
    <row r="45" spans="2:5" x14ac:dyDescent="0.2">
      <c r="B45" s="158" t="s">
        <v>370</v>
      </c>
      <c r="C45" s="202" t="str">
        <f>IF(C46*0.1&lt;C44,"Exceed 10% Rule","")</f>
        <v/>
      </c>
      <c r="D45" s="169" t="str">
        <f>IF(D46*0.1&lt;D44,"Exceed 10% Rule","")</f>
        <v/>
      </c>
      <c r="E45" s="169" t="str">
        <f>IF(E46*0.1&lt;E44,"Exceed 10% Rule","")</f>
        <v/>
      </c>
    </row>
    <row r="46" spans="2:5" x14ac:dyDescent="0.2">
      <c r="B46" s="170" t="s">
        <v>68</v>
      </c>
      <c r="C46" s="173">
        <f>SUM(C39:C44)</f>
        <v>0</v>
      </c>
      <c r="D46" s="173">
        <f>SUM(D39:D44)</f>
        <v>0</v>
      </c>
      <c r="E46" s="173">
        <f>SUM(E39:E44)</f>
        <v>0</v>
      </c>
    </row>
    <row r="47" spans="2:5" x14ac:dyDescent="0.2">
      <c r="B47" s="170" t="s">
        <v>69</v>
      </c>
      <c r="C47" s="173">
        <f>C37+C46</f>
        <v>0</v>
      </c>
      <c r="D47" s="173">
        <f>D37+D46</f>
        <v>0</v>
      </c>
      <c r="E47" s="173">
        <f>E37+E46</f>
        <v>0</v>
      </c>
    </row>
    <row r="48" spans="2:5" x14ac:dyDescent="0.2">
      <c r="B48" s="87" t="s">
        <v>71</v>
      </c>
      <c r="C48" s="134"/>
      <c r="D48" s="134"/>
      <c r="E48" s="134"/>
    </row>
    <row r="49" spans="2:5" x14ac:dyDescent="0.2">
      <c r="B49" s="179"/>
      <c r="C49" s="31"/>
      <c r="D49" s="31"/>
      <c r="E49" s="31"/>
    </row>
    <row r="50" spans="2:5" x14ac:dyDescent="0.2">
      <c r="B50" s="179"/>
      <c r="C50" s="31"/>
      <c r="D50" s="31"/>
      <c r="E50" s="31"/>
    </row>
    <row r="51" spans="2:5" x14ac:dyDescent="0.2">
      <c r="B51" s="179"/>
      <c r="C51" s="31"/>
      <c r="D51" s="31"/>
      <c r="E51" s="31"/>
    </row>
    <row r="52" spans="2:5" x14ac:dyDescent="0.2">
      <c r="B52" s="179"/>
      <c r="C52" s="31"/>
      <c r="D52" s="31"/>
      <c r="E52" s="31"/>
    </row>
    <row r="53" spans="2:5" x14ac:dyDescent="0.2">
      <c r="B53" s="179"/>
      <c r="C53" s="31"/>
      <c r="D53" s="31"/>
      <c r="E53" s="31"/>
    </row>
    <row r="54" spans="2:5" x14ac:dyDescent="0.2">
      <c r="B54" s="179"/>
      <c r="C54" s="31"/>
      <c r="D54" s="31"/>
      <c r="E54" s="31"/>
    </row>
    <row r="55" spans="2:5" x14ac:dyDescent="0.2">
      <c r="B55" s="180" t="str">
        <f>CONCATENATE("Cash Reserve (",E1," column)")</f>
        <v>Cash Reserve (2025 column)</v>
      </c>
      <c r="C55" s="31"/>
      <c r="D55" s="31"/>
      <c r="E55" s="31"/>
    </row>
    <row r="56" spans="2:5" x14ac:dyDescent="0.2">
      <c r="B56" s="180" t="s">
        <v>9</v>
      </c>
      <c r="C56" s="31"/>
      <c r="D56" s="164"/>
      <c r="E56" s="164"/>
    </row>
    <row r="57" spans="2:5" x14ac:dyDescent="0.2">
      <c r="B57" s="180" t="s">
        <v>371</v>
      </c>
      <c r="C57" s="202" t="str">
        <f>IF(C58*0.1&lt;C56,"Exceed 10% Rule","")</f>
        <v/>
      </c>
      <c r="D57" s="169" t="str">
        <f>IF(D58*0.1&lt;D56,"Exceed 10% Rule","")</f>
        <v/>
      </c>
      <c r="E57" s="169" t="str">
        <f>IF(E58*0.1&lt;E56,"Exceed 10% Rule","")</f>
        <v/>
      </c>
    </row>
    <row r="58" spans="2:5" x14ac:dyDescent="0.2">
      <c r="B58" s="170" t="s">
        <v>75</v>
      </c>
      <c r="C58" s="173">
        <f>SUM(C49:C56)</f>
        <v>0</v>
      </c>
      <c r="D58" s="173">
        <f>SUM(D49:D56)</f>
        <v>0</v>
      </c>
      <c r="E58" s="173">
        <f>SUM(E49:E56)</f>
        <v>0</v>
      </c>
    </row>
    <row r="59" spans="2:5" x14ac:dyDescent="0.2">
      <c r="B59" s="87" t="s">
        <v>141</v>
      </c>
      <c r="C59" s="42">
        <f>C47-C58</f>
        <v>0</v>
      </c>
      <c r="D59" s="42">
        <f>D47-D58</f>
        <v>0</v>
      </c>
      <c r="E59" s="42">
        <f>E47-E58</f>
        <v>0</v>
      </c>
    </row>
    <row r="60" spans="2:5" x14ac:dyDescent="0.2">
      <c r="B60" s="102" t="str">
        <f>CONCATENATE("",E1-2,"/",E1-1,"/",E1," Budget Authority Amount:")</f>
        <v>2023/2024/2025 Budget Authority Amount:</v>
      </c>
      <c r="C60" s="584">
        <f>inputOth!B93</f>
        <v>0</v>
      </c>
      <c r="D60" s="584">
        <f>inputPrYr!D50</f>
        <v>0</v>
      </c>
      <c r="E60" s="613">
        <f>E58</f>
        <v>0</v>
      </c>
    </row>
    <row r="61" spans="2:5" x14ac:dyDescent="0.2">
      <c r="B61" s="73"/>
      <c r="C61" s="182" t="str">
        <f>IF(C58&gt;C60,"See Tab A","")</f>
        <v/>
      </c>
      <c r="D61" s="182" t="str">
        <f>IF(D58&gt;D60,"See Tab C","")</f>
        <v/>
      </c>
      <c r="E61" s="614" t="str">
        <f>IF(E59&lt;0,"See Tab E","")</f>
        <v/>
      </c>
    </row>
    <row r="62" spans="2:5" x14ac:dyDescent="0.2">
      <c r="B62" s="704" t="s">
        <v>529</v>
      </c>
      <c r="C62" s="691" t="str">
        <f>IF(C59&lt;0,"See Tab B","")</f>
        <v/>
      </c>
      <c r="D62" s="691" t="str">
        <f>IF(D59&lt;0,"See Tab D","")</f>
        <v/>
      </c>
      <c r="E62" s="677"/>
    </row>
    <row r="63" spans="2:5" x14ac:dyDescent="0.2">
      <c r="B63" s="563"/>
      <c r="C63" s="20"/>
      <c r="D63" s="20"/>
      <c r="E63" s="570"/>
    </row>
    <row r="64" spans="2:5" x14ac:dyDescent="0.2">
      <c r="B64" s="498"/>
      <c r="C64" s="35"/>
      <c r="D64" s="35"/>
      <c r="E64" s="41"/>
    </row>
    <row r="65" spans="2:5" x14ac:dyDescent="0.2">
      <c r="B65" s="20"/>
      <c r="C65" s="20"/>
      <c r="D65" s="20"/>
      <c r="E65" s="20"/>
    </row>
    <row r="66" spans="2:5" x14ac:dyDescent="0.2">
      <c r="B66" s="101" t="s">
        <v>78</v>
      </c>
      <c r="C66" s="186"/>
      <c r="D66" s="20"/>
      <c r="E66" s="20"/>
    </row>
  </sheetData>
  <sheetProtection sheet="1"/>
  <conditionalFormatting sqref="C14">
    <cfRule type="cellIs" dxfId="77" priority="18" stopIfTrue="1" operator="greaterThan">
      <formula>$C$16*0.1</formula>
    </cfRule>
  </conditionalFormatting>
  <conditionalFormatting sqref="C26">
    <cfRule type="cellIs" dxfId="76" priority="15" stopIfTrue="1" operator="greaterThan">
      <formula>$C$28*0.1</formula>
    </cfRule>
  </conditionalFormatting>
  <conditionalFormatting sqref="C28">
    <cfRule type="cellIs" dxfId="75" priority="3" stopIfTrue="1" operator="greaterThan">
      <formula>$C$30</formula>
    </cfRule>
  </conditionalFormatting>
  <conditionalFormatting sqref="C29 E29 C59 E59">
    <cfRule type="cellIs" dxfId="74" priority="5" stopIfTrue="1" operator="lessThan">
      <formula>0</formula>
    </cfRule>
  </conditionalFormatting>
  <conditionalFormatting sqref="C44">
    <cfRule type="cellIs" dxfId="73" priority="12" stopIfTrue="1" operator="greaterThan">
      <formula>$C$46*0.1</formula>
    </cfRule>
  </conditionalFormatting>
  <conditionalFormatting sqref="C56">
    <cfRule type="cellIs" dxfId="72" priority="9" stopIfTrue="1" operator="greaterThan">
      <formula>$C$58*0.1</formula>
    </cfRule>
  </conditionalFormatting>
  <conditionalFormatting sqref="C58:D58">
    <cfRule type="cellIs" dxfId="71" priority="6" stopIfTrue="1" operator="greaterThan">
      <formula>$D$60</formula>
    </cfRule>
  </conditionalFormatting>
  <conditionalFormatting sqref="D14">
    <cfRule type="cellIs" dxfId="70" priority="17" stopIfTrue="1" operator="greaterThan">
      <formula>$D$16*0.1</formula>
    </cfRule>
  </conditionalFormatting>
  <conditionalFormatting sqref="D26">
    <cfRule type="cellIs" dxfId="69" priority="14" stopIfTrue="1" operator="greaterThan">
      <formula>$D$28*0.1</formula>
    </cfRule>
  </conditionalFormatting>
  <conditionalFormatting sqref="D28">
    <cfRule type="cellIs" dxfId="68" priority="4" stopIfTrue="1" operator="greaterThan">
      <formula>$D$30</formula>
    </cfRule>
  </conditionalFormatting>
  <conditionalFormatting sqref="D29">
    <cfRule type="cellIs" dxfId="67" priority="1" stopIfTrue="1" operator="lessThan">
      <formula>0</formula>
    </cfRule>
  </conditionalFormatting>
  <conditionalFormatting sqref="D44">
    <cfRule type="cellIs" dxfId="66" priority="11" stopIfTrue="1" operator="greaterThan">
      <formula>$D$46*0.1</formula>
    </cfRule>
  </conditionalFormatting>
  <conditionalFormatting sqref="D56">
    <cfRule type="cellIs" dxfId="65" priority="8" stopIfTrue="1" operator="greaterThan">
      <formula>$D$58*0.1</formula>
    </cfRule>
  </conditionalFormatting>
  <conditionalFormatting sqref="D59">
    <cfRule type="cellIs" dxfId="64" priority="2" stopIfTrue="1" operator="lessThan">
      <formula>0</formula>
    </cfRule>
  </conditionalFormatting>
  <conditionalFormatting sqref="E14">
    <cfRule type="cellIs" dxfId="63" priority="16" stopIfTrue="1" operator="greaterThan">
      <formula>$E$16*0.1</formula>
    </cfRule>
  </conditionalFormatting>
  <conditionalFormatting sqref="E26">
    <cfRule type="cellIs" dxfId="62" priority="13" stopIfTrue="1" operator="greaterThan">
      <formula>$E$28*0.1</formula>
    </cfRule>
  </conditionalFormatting>
  <conditionalFormatting sqref="E44">
    <cfRule type="cellIs" dxfId="61" priority="10" stopIfTrue="1" operator="greaterThan">
      <formula>$E$46*0.1</formula>
    </cfRule>
  </conditionalFormatting>
  <conditionalFormatting sqref="E56">
    <cfRule type="cellIs" dxfId="60" priority="7" stopIfTrue="1" operator="greaterThan">
      <formula>$E$58*0.1</formula>
    </cfRule>
  </conditionalFormatting>
  <pageMargins left="0.7" right="0.7" top="0.75" bottom="0.75" header="0.3" footer="0.3"/>
  <pageSetup scale="67" orientation="portrait" blackAndWhite="1" r:id="rId1"/>
  <headerFooter>
    <oddHeader>&amp;RState of Kansas
City</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00B0F0"/>
    <pageSetUpPr fitToPage="1"/>
  </sheetPr>
  <dimension ref="B1:E66"/>
  <sheetViews>
    <sheetView workbookViewId="0">
      <selection activeCell="B4" sqref="B4"/>
    </sheetView>
  </sheetViews>
  <sheetFormatPr defaultColWidth="8.88671875" defaultRowHeight="15.75" x14ac:dyDescent="0.2"/>
  <cols>
    <col min="1" max="1" width="2.44140625" style="16" customWidth="1"/>
    <col min="2" max="2" width="31.109375" style="16" customWidth="1"/>
    <col min="3" max="4" width="15.77734375" style="16" customWidth="1"/>
    <col min="5" max="5" width="16.109375" style="16" customWidth="1"/>
    <col min="6" max="16384" width="8.88671875" style="16"/>
  </cols>
  <sheetData>
    <row r="1" spans="2:5" x14ac:dyDescent="0.2">
      <c r="B1" s="39">
        <f>(inputPrYr!D3)</f>
        <v>0</v>
      </c>
      <c r="C1" s="20"/>
      <c r="D1" s="20"/>
      <c r="E1" s="73">
        <f>inputPrYr!C6</f>
        <v>2025</v>
      </c>
    </row>
    <row r="2" spans="2:5" x14ac:dyDescent="0.2">
      <c r="B2" s="20"/>
      <c r="C2" s="20"/>
      <c r="D2" s="20"/>
      <c r="E2" s="101"/>
    </row>
    <row r="3" spans="2:5" x14ac:dyDescent="0.2">
      <c r="B3" s="154" t="s">
        <v>126</v>
      </c>
      <c r="C3" s="191"/>
      <c r="D3" s="191"/>
      <c r="E3" s="191"/>
    </row>
    <row r="4" spans="2:5" x14ac:dyDescent="0.2">
      <c r="B4" s="21" t="s">
        <v>59</v>
      </c>
      <c r="C4" s="292" t="s">
        <v>377</v>
      </c>
      <c r="D4" s="291" t="s">
        <v>378</v>
      </c>
      <c r="E4" s="271" t="s">
        <v>379</v>
      </c>
    </row>
    <row r="5" spans="2:5" x14ac:dyDescent="0.2">
      <c r="B5" s="357">
        <f>inputPrYr!B51</f>
        <v>0</v>
      </c>
      <c r="C5" s="293" t="str">
        <f>CONCATENATE("Actual for ",E1-2,"")</f>
        <v>Actual for 2023</v>
      </c>
      <c r="D5" s="293" t="str">
        <f>CONCATENATE("Estimate for ",E1-1,"")</f>
        <v>Estimate for 2024</v>
      </c>
      <c r="E5" s="279" t="str">
        <f>CONCATENATE("Year for ",E1,"")</f>
        <v>Year for 2025</v>
      </c>
    </row>
    <row r="6" spans="2:5" x14ac:dyDescent="0.2">
      <c r="B6" s="158" t="s">
        <v>140</v>
      </c>
      <c r="C6" s="31"/>
      <c r="D6" s="134">
        <f>C29</f>
        <v>0</v>
      </c>
      <c r="E6" s="134">
        <f>D29</f>
        <v>0</v>
      </c>
    </row>
    <row r="7" spans="2:5" s="18" customFormat="1" x14ac:dyDescent="0.2">
      <c r="B7" s="162" t="s">
        <v>142</v>
      </c>
      <c r="C7" s="44"/>
      <c r="D7" s="44"/>
      <c r="E7" s="44"/>
    </row>
    <row r="8" spans="2:5" x14ac:dyDescent="0.2">
      <c r="B8" s="179"/>
      <c r="C8" s="31"/>
      <c r="D8" s="31"/>
      <c r="E8" s="31"/>
    </row>
    <row r="9" spans="2:5" x14ac:dyDescent="0.2">
      <c r="B9" s="179"/>
      <c r="C9" s="31"/>
      <c r="D9" s="31"/>
      <c r="E9" s="31"/>
    </row>
    <row r="10" spans="2:5" x14ac:dyDescent="0.2">
      <c r="B10" s="179"/>
      <c r="C10" s="31"/>
      <c r="D10" s="31"/>
      <c r="E10" s="31"/>
    </row>
    <row r="11" spans="2:5" x14ac:dyDescent="0.2">
      <c r="B11" s="179"/>
      <c r="C11" s="31"/>
      <c r="D11" s="31"/>
      <c r="E11" s="31"/>
    </row>
    <row r="12" spans="2:5" x14ac:dyDescent="0.2">
      <c r="B12" s="179"/>
      <c r="C12" s="31"/>
      <c r="D12" s="31"/>
      <c r="E12" s="31"/>
    </row>
    <row r="13" spans="2:5" x14ac:dyDescent="0.2">
      <c r="B13" s="167" t="s">
        <v>67</v>
      </c>
      <c r="C13" s="31"/>
      <c r="D13" s="31"/>
      <c r="E13" s="31"/>
    </row>
    <row r="14" spans="2:5" x14ac:dyDescent="0.2">
      <c r="B14" s="96" t="s">
        <v>9</v>
      </c>
      <c r="C14" s="31"/>
      <c r="D14" s="164"/>
      <c r="E14" s="164"/>
    </row>
    <row r="15" spans="2:5" x14ac:dyDescent="0.2">
      <c r="B15" s="158" t="s">
        <v>370</v>
      </c>
      <c r="C15" s="202" t="str">
        <f>IF(C16*0.1&lt;C14,"Exceed 10% Rule","")</f>
        <v/>
      </c>
      <c r="D15" s="169" t="str">
        <f>IF(D16*0.1&lt;D14,"Exceed 10% Rule","")</f>
        <v/>
      </c>
      <c r="E15" s="169" t="str">
        <f>IF(E16*0.1&lt;E14,"Exceed 10% Rule","")</f>
        <v/>
      </c>
    </row>
    <row r="16" spans="2:5" x14ac:dyDescent="0.2">
      <c r="B16" s="170" t="s">
        <v>68</v>
      </c>
      <c r="C16" s="173">
        <f>SUM(C8:C14)</f>
        <v>0</v>
      </c>
      <c r="D16" s="173">
        <f>SUM(D8:D14)</f>
        <v>0</v>
      </c>
      <c r="E16" s="173">
        <f>SUM(E8:E14)</f>
        <v>0</v>
      </c>
    </row>
    <row r="17" spans="2:5" x14ac:dyDescent="0.2">
      <c r="B17" s="170" t="s">
        <v>69</v>
      </c>
      <c r="C17" s="173">
        <f>C6+C16</f>
        <v>0</v>
      </c>
      <c r="D17" s="173">
        <f>D6+D16</f>
        <v>0</v>
      </c>
      <c r="E17" s="173">
        <f>E6+E16</f>
        <v>0</v>
      </c>
    </row>
    <row r="18" spans="2:5" x14ac:dyDescent="0.2">
      <c r="B18" s="87" t="s">
        <v>71</v>
      </c>
      <c r="C18" s="134"/>
      <c r="D18" s="134"/>
      <c r="E18" s="134"/>
    </row>
    <row r="19" spans="2:5" x14ac:dyDescent="0.2">
      <c r="B19" s="179"/>
      <c r="C19" s="31"/>
      <c r="D19" s="31"/>
      <c r="E19" s="31"/>
    </row>
    <row r="20" spans="2:5" x14ac:dyDescent="0.2">
      <c r="B20" s="179"/>
      <c r="C20" s="31"/>
      <c r="D20" s="31"/>
      <c r="E20" s="31"/>
    </row>
    <row r="21" spans="2:5" x14ac:dyDescent="0.2">
      <c r="B21" s="179"/>
      <c r="C21" s="31"/>
      <c r="D21" s="31"/>
      <c r="E21" s="31"/>
    </row>
    <row r="22" spans="2:5" x14ac:dyDescent="0.2">
      <c r="B22" s="179"/>
      <c r="C22" s="31"/>
      <c r="D22" s="31"/>
      <c r="E22" s="31"/>
    </row>
    <row r="23" spans="2:5" x14ac:dyDescent="0.2">
      <c r="B23" s="179"/>
      <c r="C23" s="31"/>
      <c r="D23" s="31"/>
      <c r="E23" s="31"/>
    </row>
    <row r="24" spans="2:5" x14ac:dyDescent="0.2">
      <c r="B24" s="179"/>
      <c r="C24" s="31"/>
      <c r="D24" s="31"/>
      <c r="E24" s="31"/>
    </row>
    <row r="25" spans="2:5" x14ac:dyDescent="0.2">
      <c r="B25" s="180" t="str">
        <f>CONCATENATE("Cash Reserve (",E1," column)")</f>
        <v>Cash Reserve (2025 column)</v>
      </c>
      <c r="C25" s="31"/>
      <c r="D25" s="31"/>
      <c r="E25" s="31"/>
    </row>
    <row r="26" spans="2:5" x14ac:dyDescent="0.2">
      <c r="B26" s="180" t="s">
        <v>9</v>
      </c>
      <c r="C26" s="31"/>
      <c r="D26" s="164"/>
      <c r="E26" s="164"/>
    </row>
    <row r="27" spans="2:5" x14ac:dyDescent="0.2">
      <c r="B27" s="180" t="s">
        <v>371</v>
      </c>
      <c r="C27" s="202" t="str">
        <f>IF(C28*0.1&lt;C26,"Exceed 10% Rule","")</f>
        <v/>
      </c>
      <c r="D27" s="169" t="str">
        <f>IF(D28*0.1&lt;D26,"Exceed 10% Rule","")</f>
        <v/>
      </c>
      <c r="E27" s="169" t="str">
        <f>IF(E28*0.1&lt;E26,"Exceed 10% Rule","")</f>
        <v/>
      </c>
    </row>
    <row r="28" spans="2:5" x14ac:dyDescent="0.2">
      <c r="B28" s="170" t="s">
        <v>75</v>
      </c>
      <c r="C28" s="173">
        <f>SUM(C19:C26)</f>
        <v>0</v>
      </c>
      <c r="D28" s="173">
        <f>SUM(D19:D26)</f>
        <v>0</v>
      </c>
      <c r="E28" s="173">
        <f>SUM(E19:E26)</f>
        <v>0</v>
      </c>
    </row>
    <row r="29" spans="2:5" x14ac:dyDescent="0.2">
      <c r="B29" s="87" t="s">
        <v>141</v>
      </c>
      <c r="C29" s="42">
        <f>C17-C28</f>
        <v>0</v>
      </c>
      <c r="D29" s="42">
        <f>D17-D28</f>
        <v>0</v>
      </c>
      <c r="E29" s="42">
        <f>E17-E28</f>
        <v>0</v>
      </c>
    </row>
    <row r="30" spans="2:5" x14ac:dyDescent="0.2">
      <c r="B30" s="102" t="str">
        <f>CONCATENATE("",E1-2,"/",E1-1,"/",E1," Budget Authority Amount:")</f>
        <v>2023/2024/2025 Budget Authority Amount:</v>
      </c>
      <c r="C30" s="584">
        <f>inputOth!B94</f>
        <v>0</v>
      </c>
      <c r="D30" s="584">
        <f>inputPrYr!D51</f>
        <v>0</v>
      </c>
      <c r="E30" s="613">
        <f>E28</f>
        <v>0</v>
      </c>
    </row>
    <row r="31" spans="2:5" x14ac:dyDescent="0.2">
      <c r="B31" s="73"/>
      <c r="C31" s="182" t="str">
        <f>IF(C28&gt;C30,"See Tab A","")</f>
        <v/>
      </c>
      <c r="D31" s="182" t="str">
        <f>IF(D28&gt;D30,"See Tab C","")</f>
        <v/>
      </c>
      <c r="E31" s="614" t="str">
        <f>IF(E29&lt;0,"See Tab E","")</f>
        <v/>
      </c>
    </row>
    <row r="32" spans="2:5" x14ac:dyDescent="0.2">
      <c r="B32" s="73"/>
      <c r="C32" s="182" t="str">
        <f>IF(C29&lt;0,"See Tab B","")</f>
        <v/>
      </c>
      <c r="D32" s="182" t="str">
        <f>IF(D29&lt;0,"See Tab D","")</f>
        <v/>
      </c>
      <c r="E32" s="48"/>
    </row>
    <row r="33" spans="2:5" x14ac:dyDescent="0.2">
      <c r="B33" s="20"/>
      <c r="C33" s="48"/>
      <c r="D33" s="48"/>
      <c r="E33" s="48"/>
    </row>
    <row r="34" spans="2:5" x14ac:dyDescent="0.2">
      <c r="B34" s="21"/>
      <c r="C34" s="254"/>
      <c r="D34" s="197"/>
      <c r="E34" s="197"/>
    </row>
    <row r="35" spans="2:5" x14ac:dyDescent="0.2">
      <c r="B35" s="21" t="s">
        <v>59</v>
      </c>
      <c r="C35" s="183" t="s">
        <v>81</v>
      </c>
      <c r="D35" s="81" t="s">
        <v>152</v>
      </c>
      <c r="E35" s="81" t="s">
        <v>153</v>
      </c>
    </row>
    <row r="36" spans="2:5" x14ac:dyDescent="0.2">
      <c r="B36" s="357">
        <f>inputPrYr!B52</f>
        <v>0</v>
      </c>
      <c r="C36" s="86" t="str">
        <f>C5</f>
        <v>Actual for 2023</v>
      </c>
      <c r="D36" s="86" t="str">
        <f>D5</f>
        <v>Estimate for 2024</v>
      </c>
      <c r="E36" s="86" t="str">
        <f>E5</f>
        <v>Year for 2025</v>
      </c>
    </row>
    <row r="37" spans="2:5" x14ac:dyDescent="0.2">
      <c r="B37" s="158" t="s">
        <v>140</v>
      </c>
      <c r="C37" s="31"/>
      <c r="D37" s="134">
        <f>C59</f>
        <v>0</v>
      </c>
      <c r="E37" s="134">
        <f>D59</f>
        <v>0</v>
      </c>
    </row>
    <row r="38" spans="2:5" s="18" customFormat="1" x14ac:dyDescent="0.2">
      <c r="B38" s="162" t="s">
        <v>142</v>
      </c>
      <c r="C38" s="44"/>
      <c r="D38" s="44"/>
      <c r="E38" s="44"/>
    </row>
    <row r="39" spans="2:5" x14ac:dyDescent="0.2">
      <c r="B39" s="179"/>
      <c r="C39" s="31"/>
      <c r="D39" s="31"/>
      <c r="E39" s="31"/>
    </row>
    <row r="40" spans="2:5" x14ac:dyDescent="0.2">
      <c r="B40" s="179"/>
      <c r="C40" s="31"/>
      <c r="D40" s="31"/>
      <c r="E40" s="31"/>
    </row>
    <row r="41" spans="2:5" x14ac:dyDescent="0.2">
      <c r="B41" s="179"/>
      <c r="C41" s="31"/>
      <c r="D41" s="31"/>
      <c r="E41" s="31"/>
    </row>
    <row r="42" spans="2:5" x14ac:dyDescent="0.2">
      <c r="B42" s="179"/>
      <c r="C42" s="31"/>
      <c r="D42" s="31"/>
      <c r="E42" s="31"/>
    </row>
    <row r="43" spans="2:5" x14ac:dyDescent="0.2">
      <c r="B43" s="167" t="s">
        <v>67</v>
      </c>
      <c r="C43" s="31"/>
      <c r="D43" s="31"/>
      <c r="E43" s="31"/>
    </row>
    <row r="44" spans="2:5" x14ac:dyDescent="0.2">
      <c r="B44" s="96" t="s">
        <v>9</v>
      </c>
      <c r="C44" s="31"/>
      <c r="D44" s="164"/>
      <c r="E44" s="164"/>
    </row>
    <row r="45" spans="2:5" x14ac:dyDescent="0.2">
      <c r="B45" s="158" t="s">
        <v>370</v>
      </c>
      <c r="C45" s="202" t="str">
        <f>IF(C46*0.1&lt;C44,"Exceed 10% Rule","")</f>
        <v/>
      </c>
      <c r="D45" s="169" t="str">
        <f>IF(D46*0.1&lt;D44,"Exceed 10% Rule","")</f>
        <v/>
      </c>
      <c r="E45" s="169" t="str">
        <f>IF(E46*0.1&lt;E44,"Exceed 10% Rule","")</f>
        <v/>
      </c>
    </row>
    <row r="46" spans="2:5" x14ac:dyDescent="0.2">
      <c r="B46" s="170" t="s">
        <v>68</v>
      </c>
      <c r="C46" s="173">
        <f>SUM(C39:C44)</f>
        <v>0</v>
      </c>
      <c r="D46" s="173">
        <f>SUM(D39:D44)</f>
        <v>0</v>
      </c>
      <c r="E46" s="173">
        <f>SUM(E39:E44)</f>
        <v>0</v>
      </c>
    </row>
    <row r="47" spans="2:5" x14ac:dyDescent="0.2">
      <c r="B47" s="170" t="s">
        <v>69</v>
      </c>
      <c r="C47" s="173">
        <f>C37+C46</f>
        <v>0</v>
      </c>
      <c r="D47" s="173">
        <f>D37+D46</f>
        <v>0</v>
      </c>
      <c r="E47" s="173">
        <f>E37+E46</f>
        <v>0</v>
      </c>
    </row>
    <row r="48" spans="2:5" x14ac:dyDescent="0.2">
      <c r="B48" s="87" t="s">
        <v>71</v>
      </c>
      <c r="C48" s="134"/>
      <c r="D48" s="134"/>
      <c r="E48" s="134"/>
    </row>
    <row r="49" spans="2:5" x14ac:dyDescent="0.2">
      <c r="B49" s="179"/>
      <c r="C49" s="31"/>
      <c r="D49" s="31"/>
      <c r="E49" s="31"/>
    </row>
    <row r="50" spans="2:5" x14ac:dyDescent="0.2">
      <c r="B50" s="179"/>
      <c r="C50" s="31"/>
      <c r="D50" s="31"/>
      <c r="E50" s="31"/>
    </row>
    <row r="51" spans="2:5" x14ac:dyDescent="0.2">
      <c r="B51" s="179"/>
      <c r="C51" s="31"/>
      <c r="D51" s="31"/>
      <c r="E51" s="31"/>
    </row>
    <row r="52" spans="2:5" x14ac:dyDescent="0.2">
      <c r="B52" s="179"/>
      <c r="C52" s="31"/>
      <c r="D52" s="31"/>
      <c r="E52" s="31"/>
    </row>
    <row r="53" spans="2:5" x14ac:dyDescent="0.2">
      <c r="B53" s="179"/>
      <c r="C53" s="31"/>
      <c r="D53" s="31"/>
      <c r="E53" s="31"/>
    </row>
    <row r="54" spans="2:5" x14ac:dyDescent="0.2">
      <c r="B54" s="179"/>
      <c r="C54" s="31"/>
      <c r="D54" s="31"/>
      <c r="E54" s="31"/>
    </row>
    <row r="55" spans="2:5" x14ac:dyDescent="0.2">
      <c r="B55" s="180" t="str">
        <f>CONCATENATE("Cash Reserve (",E1," column)")</f>
        <v>Cash Reserve (2025 column)</v>
      </c>
      <c r="C55" s="31"/>
      <c r="D55" s="31"/>
      <c r="E55" s="31"/>
    </row>
    <row r="56" spans="2:5" x14ac:dyDescent="0.2">
      <c r="B56" s="180" t="s">
        <v>9</v>
      </c>
      <c r="C56" s="31"/>
      <c r="D56" s="164"/>
      <c r="E56" s="164"/>
    </row>
    <row r="57" spans="2:5" x14ac:dyDescent="0.2">
      <c r="B57" s="180" t="s">
        <v>371</v>
      </c>
      <c r="C57" s="202" t="str">
        <f>IF(C58*0.1&lt;C56,"Exceed 10% Rule","")</f>
        <v/>
      </c>
      <c r="D57" s="169" t="str">
        <f>IF(D58*0.1&lt;D56,"Exceed 10% Rule","")</f>
        <v/>
      </c>
      <c r="E57" s="169" t="str">
        <f>IF(E58*0.1&lt;E56,"Exceed 10% Rule","")</f>
        <v/>
      </c>
    </row>
    <row r="58" spans="2:5" x14ac:dyDescent="0.2">
      <c r="B58" s="170" t="s">
        <v>75</v>
      </c>
      <c r="C58" s="173">
        <f>SUM(C49:C56)</f>
        <v>0</v>
      </c>
      <c r="D58" s="173">
        <f>SUM(D49:D56)</f>
        <v>0</v>
      </c>
      <c r="E58" s="173">
        <f>SUM(E49:E56)</f>
        <v>0</v>
      </c>
    </row>
    <row r="59" spans="2:5" x14ac:dyDescent="0.2">
      <c r="B59" s="87" t="s">
        <v>141</v>
      </c>
      <c r="C59" s="42">
        <f>C47-C58</f>
        <v>0</v>
      </c>
      <c r="D59" s="42">
        <f>D47-D58</f>
        <v>0</v>
      </c>
      <c r="E59" s="42">
        <f>E47-E58</f>
        <v>0</v>
      </c>
    </row>
    <row r="60" spans="2:5" x14ac:dyDescent="0.2">
      <c r="B60" s="102" t="str">
        <f>CONCATENATE("",E1-2,"/",E1-1,"/",E1," Budget Authority Amount:")</f>
        <v>2023/2024/2025 Budget Authority Amount:</v>
      </c>
      <c r="C60" s="584">
        <f>inputOth!B95</f>
        <v>0</v>
      </c>
      <c r="D60" s="584">
        <f>inputPrYr!D52</f>
        <v>0</v>
      </c>
      <c r="E60" s="613">
        <f>E58</f>
        <v>0</v>
      </c>
    </row>
    <row r="61" spans="2:5" x14ac:dyDescent="0.2">
      <c r="B61" s="73"/>
      <c r="C61" s="182" t="str">
        <f>IF(C58&gt;C60,"See Tab A","")</f>
        <v/>
      </c>
      <c r="D61" s="182" t="str">
        <f>IF(D58&gt;D60,"See Tab C","")</f>
        <v/>
      </c>
      <c r="E61" s="614" t="str">
        <f>IF(E59&lt;0,"See Tab E","")</f>
        <v/>
      </c>
    </row>
    <row r="62" spans="2:5" x14ac:dyDescent="0.2">
      <c r="B62" s="704" t="s">
        <v>529</v>
      </c>
      <c r="C62" s="691" t="str">
        <f>IF(C59&lt;0,"See Tab B","")</f>
        <v/>
      </c>
      <c r="D62" s="691" t="str">
        <f>IF(D59&lt;0,"See Tab D","")</f>
        <v/>
      </c>
      <c r="E62" s="677"/>
    </row>
    <row r="63" spans="2:5" x14ac:dyDescent="0.2">
      <c r="B63" s="563"/>
      <c r="C63" s="20"/>
      <c r="D63" s="20"/>
      <c r="E63" s="570"/>
    </row>
    <row r="64" spans="2:5" x14ac:dyDescent="0.2">
      <c r="B64" s="498"/>
      <c r="C64" s="35"/>
      <c r="D64" s="35"/>
      <c r="E64" s="41"/>
    </row>
    <row r="65" spans="2:5" x14ac:dyDescent="0.2">
      <c r="B65" s="20"/>
      <c r="C65" s="20"/>
      <c r="D65" s="20"/>
      <c r="E65" s="20"/>
    </row>
    <row r="66" spans="2:5" x14ac:dyDescent="0.2">
      <c r="B66" s="101" t="s">
        <v>78</v>
      </c>
      <c r="C66" s="186"/>
      <c r="D66" s="20"/>
      <c r="E66" s="20"/>
    </row>
  </sheetData>
  <sheetProtection sheet="1"/>
  <conditionalFormatting sqref="C14">
    <cfRule type="cellIs" dxfId="59" priority="18" stopIfTrue="1" operator="greaterThan">
      <formula>$C$16*0.1</formula>
    </cfRule>
  </conditionalFormatting>
  <conditionalFormatting sqref="C26">
    <cfRule type="cellIs" dxfId="58" priority="15" stopIfTrue="1" operator="greaterThan">
      <formula>$C$28*0.1</formula>
    </cfRule>
  </conditionalFormatting>
  <conditionalFormatting sqref="C28">
    <cfRule type="cellIs" dxfId="57" priority="3" stopIfTrue="1" operator="greaterThan">
      <formula>$C$30</formula>
    </cfRule>
  </conditionalFormatting>
  <conditionalFormatting sqref="C29 E29 C59 E59">
    <cfRule type="cellIs" dxfId="56" priority="5" stopIfTrue="1" operator="lessThan">
      <formula>0</formula>
    </cfRule>
  </conditionalFormatting>
  <conditionalFormatting sqref="C44">
    <cfRule type="cellIs" dxfId="55" priority="12" stopIfTrue="1" operator="greaterThan">
      <formula>$C$46*0.1</formula>
    </cfRule>
  </conditionalFormatting>
  <conditionalFormatting sqref="C56">
    <cfRule type="cellIs" dxfId="54" priority="9" stopIfTrue="1" operator="greaterThan">
      <formula>$C$58*0.1</formula>
    </cfRule>
  </conditionalFormatting>
  <conditionalFormatting sqref="C58:D58">
    <cfRule type="cellIs" dxfId="53" priority="6" stopIfTrue="1" operator="greaterThan">
      <formula>$D$60</formula>
    </cfRule>
  </conditionalFormatting>
  <conditionalFormatting sqref="D14">
    <cfRule type="cellIs" dxfId="52" priority="17" stopIfTrue="1" operator="greaterThan">
      <formula>$D$16*0.1</formula>
    </cfRule>
  </conditionalFormatting>
  <conditionalFormatting sqref="D26">
    <cfRule type="cellIs" dxfId="51" priority="14" stopIfTrue="1" operator="greaterThan">
      <formula>$D$28*0.1</formula>
    </cfRule>
  </conditionalFormatting>
  <conditionalFormatting sqref="D28">
    <cfRule type="cellIs" dxfId="50" priority="4" stopIfTrue="1" operator="greaterThan">
      <formula>$D$30</formula>
    </cfRule>
  </conditionalFormatting>
  <conditionalFormatting sqref="D29">
    <cfRule type="cellIs" dxfId="49" priority="1" stopIfTrue="1" operator="lessThan">
      <formula>0</formula>
    </cfRule>
  </conditionalFormatting>
  <conditionalFormatting sqref="D44">
    <cfRule type="cellIs" dxfId="48" priority="11" stopIfTrue="1" operator="greaterThan">
      <formula>$D$46*0.1</formula>
    </cfRule>
  </conditionalFormatting>
  <conditionalFormatting sqref="D56">
    <cfRule type="cellIs" dxfId="47" priority="8" stopIfTrue="1" operator="greaterThan">
      <formula>$D$58*0.1</formula>
    </cfRule>
  </conditionalFormatting>
  <conditionalFormatting sqref="D59">
    <cfRule type="cellIs" dxfId="46" priority="2" stopIfTrue="1" operator="lessThan">
      <formula>0</formula>
    </cfRule>
  </conditionalFormatting>
  <conditionalFormatting sqref="E14">
    <cfRule type="cellIs" dxfId="45" priority="16" stopIfTrue="1" operator="greaterThan">
      <formula>$E$16*0.1</formula>
    </cfRule>
  </conditionalFormatting>
  <conditionalFormatting sqref="E26">
    <cfRule type="cellIs" dxfId="44" priority="13" stopIfTrue="1" operator="greaterThan">
      <formula>$E$28*0.1</formula>
    </cfRule>
  </conditionalFormatting>
  <conditionalFormatting sqref="E44">
    <cfRule type="cellIs" dxfId="43" priority="10" stopIfTrue="1" operator="greaterThan">
      <formula>$E$46*0.1</formula>
    </cfRule>
  </conditionalFormatting>
  <conditionalFormatting sqref="E56">
    <cfRule type="cellIs" dxfId="42" priority="7" stopIfTrue="1" operator="greaterThan">
      <formula>$E$58*0.1</formula>
    </cfRule>
  </conditionalFormatting>
  <pageMargins left="0.7" right="0.7" top="0.75" bottom="0.75" header="0.3" footer="0.3"/>
  <pageSetup scale="67" orientation="portrait" blackAndWhite="1" r:id="rId1"/>
  <headerFooter>
    <oddHeader>&amp;RState of Kansas
City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99"/>
  <sheetViews>
    <sheetView workbookViewId="0">
      <selection activeCell="A50" sqref="A50:E51"/>
    </sheetView>
  </sheetViews>
  <sheetFormatPr defaultColWidth="8.88671875" defaultRowHeight="15" x14ac:dyDescent="0.2"/>
  <cols>
    <col min="1" max="1" width="15.77734375" style="56" customWidth="1"/>
    <col min="2" max="2" width="20.77734375" style="56" customWidth="1"/>
    <col min="3" max="3" width="9.77734375" style="56" customWidth="1"/>
    <col min="4" max="4" width="15.109375" style="56" customWidth="1"/>
    <col min="5" max="5" width="15.77734375" style="56" customWidth="1"/>
    <col min="6" max="16384" width="8.88671875" style="56"/>
  </cols>
  <sheetData>
    <row r="1" spans="1:5" ht="15.75" x14ac:dyDescent="0.2">
      <c r="A1" s="39">
        <f>inputPrYr!$D$3</f>
        <v>0</v>
      </c>
      <c r="B1" s="32"/>
      <c r="C1" s="32"/>
      <c r="D1" s="32"/>
      <c r="E1" s="20">
        <f>inputPrYr!C6</f>
        <v>2025</v>
      </c>
    </row>
    <row r="2" spans="1:5" x14ac:dyDescent="0.2">
      <c r="A2" s="32"/>
      <c r="B2" s="32"/>
      <c r="C2" s="32"/>
      <c r="D2" s="32"/>
      <c r="E2" s="32"/>
    </row>
    <row r="3" spans="1:5" ht="15.75" x14ac:dyDescent="0.2">
      <c r="A3" s="792" t="s">
        <v>504</v>
      </c>
      <c r="B3" s="793"/>
      <c r="C3" s="793"/>
      <c r="D3" s="793"/>
      <c r="E3" s="793"/>
    </row>
    <row r="4" spans="1:5" x14ac:dyDescent="0.2">
      <c r="A4" s="32"/>
      <c r="B4" s="32"/>
      <c r="C4" s="32"/>
      <c r="D4" s="32"/>
      <c r="E4" s="32"/>
    </row>
    <row r="5" spans="1:5" ht="15.75" x14ac:dyDescent="0.2">
      <c r="A5" s="815" t="s">
        <v>337</v>
      </c>
      <c r="B5" s="816"/>
      <c r="C5" s="309"/>
      <c r="D5" s="313" t="s">
        <v>338</v>
      </c>
      <c r="E5" s="312" t="s">
        <v>339</v>
      </c>
    </row>
    <row r="6" spans="1:5" ht="15.75" x14ac:dyDescent="0.2">
      <c r="A6" s="309" t="s">
        <v>340</v>
      </c>
      <c r="B6" s="635"/>
      <c r="C6" s="311"/>
      <c r="D6" s="310" t="s">
        <v>334</v>
      </c>
      <c r="E6" s="319"/>
    </row>
    <row r="7" spans="1:5" x14ac:dyDescent="0.2">
      <c r="A7" s="32"/>
      <c r="B7" s="32"/>
      <c r="C7" s="32"/>
      <c r="D7" s="32"/>
      <c r="E7" s="32"/>
    </row>
    <row r="8" spans="1:5" ht="15.75" x14ac:dyDescent="0.2">
      <c r="A8" s="622" t="str">
        <f>CONCATENATE("From the County Clerk's ",E1," Budget Information:")</f>
        <v>From the County Clerk's 2025 Budget Information:</v>
      </c>
      <c r="B8" s="623"/>
      <c r="C8" s="20"/>
      <c r="D8" s="20"/>
      <c r="E8" s="48"/>
    </row>
    <row r="9" spans="1:5" ht="15.75" x14ac:dyDescent="0.2">
      <c r="A9" s="57" t="str">
        <f>CONCATENATE("Total Assessed Valuation for ",E1-1,"")</f>
        <v>Total Assessed Valuation for 2024</v>
      </c>
      <c r="B9" s="36"/>
      <c r="C9" s="36"/>
      <c r="D9" s="36"/>
      <c r="E9" s="651"/>
    </row>
    <row r="10" spans="1:5" ht="15.75" hidden="1" x14ac:dyDescent="0.2">
      <c r="A10" s="57" t="str">
        <f>CONCATENATE("New Improvements, Remodeling and Renovations for ",E1-1,"")</f>
        <v>New Improvements, Remodeling and Renovations for 2024</v>
      </c>
      <c r="B10" s="36"/>
      <c r="C10" s="36"/>
      <c r="D10" s="36"/>
      <c r="E10" s="58"/>
    </row>
    <row r="11" spans="1:5" ht="15.75" hidden="1" x14ac:dyDescent="0.2">
      <c r="A11" s="57" t="str">
        <f>CONCATENATE("Personal Property - ",E1-1,"")</f>
        <v>Personal Property - 2024</v>
      </c>
      <c r="B11" s="36"/>
      <c r="C11" s="36"/>
      <c r="D11" s="36"/>
      <c r="E11" s="58"/>
    </row>
    <row r="12" spans="1:5" ht="15.75" hidden="1" x14ac:dyDescent="0.2">
      <c r="A12" s="59" t="s">
        <v>165</v>
      </c>
      <c r="B12" s="36"/>
      <c r="C12" s="36"/>
      <c r="D12" s="36"/>
      <c r="E12" s="44"/>
    </row>
    <row r="13" spans="1:5" ht="15.75" hidden="1" x14ac:dyDescent="0.2">
      <c r="A13" s="57" t="s">
        <v>137</v>
      </c>
      <c r="B13" s="36"/>
      <c r="C13" s="36"/>
      <c r="D13" s="36"/>
      <c r="E13" s="58"/>
    </row>
    <row r="14" spans="1:5" ht="15.75" hidden="1" x14ac:dyDescent="0.2">
      <c r="A14" s="57" t="s">
        <v>138</v>
      </c>
      <c r="B14" s="36"/>
      <c r="C14" s="36"/>
      <c r="D14" s="36"/>
      <c r="E14" s="58"/>
    </row>
    <row r="15" spans="1:5" ht="15.75" hidden="1" x14ac:dyDescent="0.2">
      <c r="A15" s="57" t="s">
        <v>139</v>
      </c>
      <c r="B15" s="36"/>
      <c r="C15" s="36"/>
      <c r="D15" s="36"/>
      <c r="E15" s="58"/>
    </row>
    <row r="16" spans="1:5" ht="15.75" hidden="1" x14ac:dyDescent="0.2">
      <c r="A16" s="57" t="str">
        <f>CONCATENATE("Property that has changed in use for ",E1-1,"")</f>
        <v>Property that has changed in use for 2024</v>
      </c>
      <c r="B16" s="36"/>
      <c r="C16" s="36"/>
      <c r="D16" s="36"/>
      <c r="E16" s="58"/>
    </row>
    <row r="17" spans="1:11" ht="15.75" hidden="1" x14ac:dyDescent="0.2">
      <c r="A17" s="57" t="str">
        <f>CONCATENATE("Personal Property - ",E1-2,"")</f>
        <v>Personal Property - 2023</v>
      </c>
      <c r="B17" s="36"/>
      <c r="C17" s="36"/>
      <c r="D17" s="36"/>
      <c r="E17" s="58"/>
    </row>
    <row r="18" spans="1:11" ht="15.75" hidden="1" x14ac:dyDescent="0.2">
      <c r="A18" s="57" t="s">
        <v>531</v>
      </c>
      <c r="B18" s="36"/>
      <c r="C18" s="36"/>
      <c r="D18" s="36"/>
      <c r="E18" s="58"/>
    </row>
    <row r="19" spans="1:11" ht="15.75" x14ac:dyDescent="0.2">
      <c r="A19" s="57" t="str">
        <f>CONCATENATE("Gross earnings (intangible) tax estimate for ",E1,"")</f>
        <v>Gross earnings (intangible) tax estimate for 2025</v>
      </c>
      <c r="B19" s="36"/>
      <c r="C19" s="36"/>
      <c r="D19" s="46"/>
      <c r="E19" s="31"/>
    </row>
    <row r="20" spans="1:11" ht="15.75" x14ac:dyDescent="0.2">
      <c r="A20" s="57" t="s">
        <v>166</v>
      </c>
      <c r="B20" s="36"/>
      <c r="C20" s="36"/>
      <c r="D20" s="36"/>
      <c r="E20" s="53"/>
    </row>
    <row r="21" spans="1:11" ht="15.75" x14ac:dyDescent="0.2">
      <c r="A21" s="21"/>
      <c r="B21" s="20"/>
      <c r="C21" s="20"/>
      <c r="D21" s="20"/>
      <c r="E21" s="43"/>
      <c r="F21" s="805" t="s">
        <v>697</v>
      </c>
      <c r="G21" s="805"/>
      <c r="H21" s="805"/>
      <c r="I21" s="805"/>
      <c r="J21" s="805"/>
      <c r="K21" s="805"/>
    </row>
    <row r="22" spans="1:11" ht="15.75" x14ac:dyDescent="0.2">
      <c r="A22" s="19" t="s">
        <v>547</v>
      </c>
      <c r="B22" s="20"/>
      <c r="C22" s="20"/>
      <c r="D22" s="721"/>
      <c r="E22" s="43"/>
      <c r="F22" s="805"/>
      <c r="G22" s="805"/>
      <c r="H22" s="805"/>
      <c r="I22" s="805"/>
      <c r="J22" s="805"/>
      <c r="K22" s="805"/>
    </row>
    <row r="23" spans="1:11" ht="15.75" x14ac:dyDescent="0.2">
      <c r="A23" s="21"/>
      <c r="B23" s="20"/>
      <c r="C23" s="20"/>
      <c r="D23" s="20"/>
      <c r="E23" s="43"/>
      <c r="F23" s="805"/>
      <c r="G23" s="805"/>
      <c r="H23" s="805"/>
      <c r="I23" s="805"/>
      <c r="J23" s="805"/>
      <c r="K23" s="805"/>
    </row>
    <row r="24" spans="1:11" ht="15.75" x14ac:dyDescent="0.2">
      <c r="A24" s="21" t="str">
        <f>CONCATENATE("Actual Tax Rates for the ",E1-1," Budget:")</f>
        <v>Actual Tax Rates for the 2024 Budget:</v>
      </c>
      <c r="B24" s="20"/>
      <c r="C24" s="20"/>
      <c r="D24" s="20"/>
      <c r="E24" s="43"/>
      <c r="F24" s="805"/>
      <c r="G24" s="805"/>
      <c r="H24" s="805"/>
      <c r="I24" s="805"/>
      <c r="J24" s="805"/>
      <c r="K24" s="805"/>
    </row>
    <row r="25" spans="1:11" ht="15.75" x14ac:dyDescent="0.2">
      <c r="A25" s="794" t="s">
        <v>46</v>
      </c>
      <c r="B25" s="795"/>
      <c r="C25" s="32"/>
      <c r="D25" s="60" t="s">
        <v>100</v>
      </c>
      <c r="E25" s="43"/>
    </row>
    <row r="26" spans="1:11" ht="15.75" x14ac:dyDescent="0.2">
      <c r="A26" s="34" t="s">
        <v>33</v>
      </c>
      <c r="B26" s="35"/>
      <c r="C26" s="20"/>
      <c r="D26" s="615"/>
      <c r="E26" s="43"/>
    </row>
    <row r="27" spans="1:11" ht="15.75" x14ac:dyDescent="0.2">
      <c r="A27" s="57" t="s">
        <v>16</v>
      </c>
      <c r="B27" s="36"/>
      <c r="C27" s="20"/>
      <c r="D27" s="615"/>
      <c r="E27" s="43"/>
    </row>
    <row r="28" spans="1:11" ht="15.75" x14ac:dyDescent="0.2">
      <c r="A28" s="57" t="str">
        <f>IF(inputPrYr!B20&gt;" ",(inputPrYr!B20)," ")</f>
        <v>Library</v>
      </c>
      <c r="B28" s="36"/>
      <c r="C28" s="20"/>
      <c r="D28" s="615"/>
      <c r="E28" s="43"/>
    </row>
    <row r="29" spans="1:11" ht="15.75" x14ac:dyDescent="0.2">
      <c r="A29" s="57" t="str">
        <f>IF(inputPrYr!B22&gt;" ",(inputPrYr!B22)," ")</f>
        <v xml:space="preserve"> </v>
      </c>
      <c r="B29" s="36"/>
      <c r="C29" s="20"/>
      <c r="D29" s="615"/>
      <c r="E29" s="43"/>
    </row>
    <row r="30" spans="1:11" ht="15.75" x14ac:dyDescent="0.2">
      <c r="A30" s="57" t="str">
        <f>IF(inputPrYr!B23&gt;" ",(inputPrYr!B23)," ")</f>
        <v xml:space="preserve"> </v>
      </c>
      <c r="B30" s="36"/>
      <c r="C30" s="20"/>
      <c r="D30" s="615"/>
      <c r="E30" s="43"/>
    </row>
    <row r="31" spans="1:11" ht="15.75" x14ac:dyDescent="0.2">
      <c r="A31" s="57" t="str">
        <f>IF(inputPrYr!B24&gt;" ",(inputPrYr!B24)," ")</f>
        <v xml:space="preserve"> </v>
      </c>
      <c r="B31" s="36"/>
      <c r="C31" s="20"/>
      <c r="D31" s="615"/>
      <c r="E31" s="43"/>
    </row>
    <row r="32" spans="1:11" ht="15.75" x14ac:dyDescent="0.2">
      <c r="A32" s="57" t="str">
        <f>IF(inputPrYr!B25&gt;" ",(inputPrYr!B25)," ")</f>
        <v xml:space="preserve"> </v>
      </c>
      <c r="B32" s="61"/>
      <c r="C32" s="20"/>
      <c r="D32" s="616"/>
      <c r="E32" s="43"/>
    </row>
    <row r="33" spans="1:5" ht="15.75" x14ac:dyDescent="0.2">
      <c r="A33" s="57" t="str">
        <f>IF(inputPrYr!B26&gt;" ",(inputPrYr!B26)," ")</f>
        <v xml:space="preserve"> </v>
      </c>
      <c r="B33" s="61"/>
      <c r="C33" s="20"/>
      <c r="D33" s="616"/>
      <c r="E33" s="43"/>
    </row>
    <row r="34" spans="1:5" ht="15.75" x14ac:dyDescent="0.2">
      <c r="A34" s="57" t="str">
        <f>IF(inputPrYr!B27&gt;" ",(inputPrYr!B27)," ")</f>
        <v xml:space="preserve"> </v>
      </c>
      <c r="B34" s="61"/>
      <c r="C34" s="20"/>
      <c r="D34" s="616"/>
      <c r="E34" s="43"/>
    </row>
    <row r="35" spans="1:5" ht="15.75" x14ac:dyDescent="0.2">
      <c r="A35" s="57" t="str">
        <f>IF(inputPrYr!B28&gt;" ",(inputPrYr!B28)," ")</f>
        <v xml:space="preserve"> </v>
      </c>
      <c r="B35" s="61"/>
      <c r="C35" s="20"/>
      <c r="D35" s="616"/>
      <c r="E35" s="43"/>
    </row>
    <row r="36" spans="1:5" ht="15.75" x14ac:dyDescent="0.2">
      <c r="A36" s="57" t="str">
        <f>IF(inputPrYr!B29&gt;" ",(inputPrYr!B29)," ")</f>
        <v xml:space="preserve"> </v>
      </c>
      <c r="B36" s="61"/>
      <c r="C36" s="20"/>
      <c r="D36" s="616"/>
      <c r="E36" s="43"/>
    </row>
    <row r="37" spans="1:5" ht="15.75" x14ac:dyDescent="0.2">
      <c r="A37" s="57" t="str">
        <f>IF(inputPrYr!B30&gt;" ",(inputPrYr!B30)," ")</f>
        <v xml:space="preserve"> </v>
      </c>
      <c r="B37" s="61"/>
      <c r="C37" s="20"/>
      <c r="D37" s="616"/>
      <c r="E37" s="43"/>
    </row>
    <row r="38" spans="1:5" ht="15.75" x14ac:dyDescent="0.2">
      <c r="A38" s="57" t="str">
        <f>IF(inputPrYr!B31&gt;" ",(inputPrYr!B31)," ")</f>
        <v xml:space="preserve"> </v>
      </c>
      <c r="B38" s="61"/>
      <c r="C38" s="20"/>
      <c r="D38" s="616"/>
      <c r="E38" s="43"/>
    </row>
    <row r="39" spans="1:5" ht="15.75" x14ac:dyDescent="0.2">
      <c r="A39" s="57" t="str">
        <f>inputPrYr!B34</f>
        <v>Recreation</v>
      </c>
      <c r="B39" s="61"/>
      <c r="C39" s="20"/>
      <c r="D39" s="615"/>
      <c r="E39" s="43"/>
    </row>
    <row r="40" spans="1:5" ht="15.75" x14ac:dyDescent="0.2">
      <c r="A40" s="32"/>
      <c r="B40" s="30" t="s">
        <v>35</v>
      </c>
      <c r="C40" s="32"/>
      <c r="D40" s="62">
        <f>SUM(D26:D39)</f>
        <v>0</v>
      </c>
      <c r="E40" s="32"/>
    </row>
    <row r="41" spans="1:5" x14ac:dyDescent="0.2">
      <c r="A41" s="32"/>
      <c r="B41" s="32"/>
      <c r="C41" s="32"/>
      <c r="D41" s="32"/>
      <c r="E41" s="32"/>
    </row>
    <row r="42" spans="1:5" ht="15.75" x14ac:dyDescent="0.2">
      <c r="A42" s="35" t="str">
        <f>CONCATENATE("Final Assessed Valuation from the November 1, ",E1-2," Abstract")</f>
        <v>Final Assessed Valuation from the November 1, 2023 Abstract</v>
      </c>
      <c r="B42" s="63"/>
      <c r="C42" s="63"/>
      <c r="D42" s="63"/>
      <c r="E42" s="53"/>
    </row>
    <row r="43" spans="1:5" x14ac:dyDescent="0.2">
      <c r="A43" s="32"/>
      <c r="B43" s="32"/>
      <c r="C43" s="32"/>
      <c r="D43" s="32"/>
      <c r="E43" s="32"/>
    </row>
    <row r="44" spans="1:5" ht="15.75" x14ac:dyDescent="0.2">
      <c r="A44" s="617" t="str">
        <f>CONCATENATE("From the County Treasurer's Budget Information - ",E1," Budget Year Estimates:")</f>
        <v>From the County Treasurer's Budget Information - 2025 Budget Year Estimates:</v>
      </c>
      <c r="B44" s="54"/>
      <c r="C44" s="54"/>
      <c r="D44" s="636"/>
      <c r="E44" s="48"/>
    </row>
    <row r="45" spans="1:5" ht="15.75" x14ac:dyDescent="0.2">
      <c r="A45" s="34" t="s">
        <v>36</v>
      </c>
      <c r="B45" s="35"/>
      <c r="C45" s="35"/>
      <c r="D45" s="64"/>
      <c r="E45" s="651"/>
    </row>
    <row r="46" spans="1:5" ht="15.75" x14ac:dyDescent="0.2">
      <c r="A46" s="57" t="s">
        <v>37</v>
      </c>
      <c r="B46" s="36"/>
      <c r="C46" s="36"/>
      <c r="D46" s="65"/>
      <c r="E46" s="651"/>
    </row>
    <row r="47" spans="1:5" ht="15.75" x14ac:dyDescent="0.2">
      <c r="A47" s="57" t="s">
        <v>167</v>
      </c>
      <c r="B47" s="36"/>
      <c r="C47" s="36"/>
      <c r="D47" s="65"/>
      <c r="E47" s="651"/>
    </row>
    <row r="48" spans="1:5" ht="15.75" x14ac:dyDescent="0.2">
      <c r="A48" s="653" t="s">
        <v>507</v>
      </c>
      <c r="B48" s="36"/>
      <c r="C48" s="36"/>
      <c r="D48" s="65"/>
      <c r="E48" s="651"/>
    </row>
    <row r="49" spans="1:5" ht="15.75" x14ac:dyDescent="0.2">
      <c r="A49" s="653" t="s">
        <v>508</v>
      </c>
      <c r="B49" s="36"/>
      <c r="C49" s="36"/>
      <c r="D49" s="65"/>
      <c r="E49" s="651"/>
    </row>
    <row r="50" spans="1:5" ht="15.75" x14ac:dyDescent="0.2">
      <c r="A50" s="20" t="s">
        <v>168</v>
      </c>
      <c r="B50" s="20"/>
      <c r="C50" s="20"/>
      <c r="D50" s="20"/>
      <c r="E50" s="20"/>
    </row>
    <row r="51" spans="1:5" ht="15.75" x14ac:dyDescent="0.2">
      <c r="A51" s="19" t="s">
        <v>54</v>
      </c>
      <c r="B51" s="25"/>
      <c r="C51" s="25"/>
      <c r="D51" s="20"/>
      <c r="E51" s="20"/>
    </row>
    <row r="52" spans="1:5" ht="15.75" x14ac:dyDescent="0.2">
      <c r="A52" s="21" t="str">
        <f>CONCATENATE("Actual Delinquency for ",E1-3," Tax - (rate .01213 = 1.213%, key in 1.2)")</f>
        <v>Actual Delinquency for 2022 Tax - (rate .01213 = 1.213%, key in 1.2)</v>
      </c>
      <c r="B52" s="20"/>
      <c r="C52" s="20"/>
      <c r="D52" s="20"/>
      <c r="E52" s="20"/>
    </row>
    <row r="53" spans="1:5" ht="15.75" x14ac:dyDescent="0.2">
      <c r="A53" s="34" t="s">
        <v>441</v>
      </c>
      <c r="B53" s="34"/>
      <c r="C53" s="35"/>
      <c r="D53" s="35"/>
      <c r="E53" s="500"/>
    </row>
    <row r="54" spans="1:5" ht="15.75" x14ac:dyDescent="0.2">
      <c r="A54" s="20"/>
      <c r="B54" s="20"/>
      <c r="C54" s="20"/>
      <c r="D54" s="20"/>
      <c r="E54" s="20"/>
    </row>
    <row r="55" spans="1:5" ht="15.75" x14ac:dyDescent="0.2">
      <c r="A55" s="806" t="s">
        <v>632</v>
      </c>
      <c r="B55" s="807"/>
      <c r="C55" s="807"/>
      <c r="D55" s="807"/>
      <c r="E55" s="808"/>
    </row>
    <row r="56" spans="1:5" ht="15.75" x14ac:dyDescent="0.2">
      <c r="A56" s="35" t="str">
        <f>CONCATENATE("",E1," State Distribution for Kansas Gas Tax")</f>
        <v>2025 State Distribution for Kansas Gas Tax</v>
      </c>
      <c r="B56" s="63"/>
      <c r="C56" s="63"/>
      <c r="D56" s="66"/>
      <c r="E56" s="637"/>
    </row>
    <row r="57" spans="1:5" ht="15.75" x14ac:dyDescent="0.2">
      <c r="A57" s="36" t="str">
        <f>CONCATENATE("",E1," County Transfers for Gas**")</f>
        <v>2025 County Transfers for Gas**</v>
      </c>
      <c r="B57" s="67"/>
      <c r="C57" s="67"/>
      <c r="D57" s="68"/>
      <c r="E57" s="53"/>
    </row>
    <row r="58" spans="1:5" ht="15.75" x14ac:dyDescent="0.2">
      <c r="A58" s="36" t="str">
        <f>CONCATENATE("Adjusted ",E1-1," State Distribution for Kansas Gas Tax")</f>
        <v>Adjusted 2024 State Distribution for Kansas Gas Tax</v>
      </c>
      <c r="B58" s="67"/>
      <c r="C58" s="67"/>
      <c r="D58" s="68"/>
      <c r="E58" s="53"/>
    </row>
    <row r="59" spans="1:5" ht="15.75" x14ac:dyDescent="0.2">
      <c r="A59" s="36" t="str">
        <f>CONCATENATE("Adjusted ",E1-1," County Transfers for Gas**")</f>
        <v>Adjusted 2024 County Transfers for Gas**</v>
      </c>
      <c r="B59" s="67"/>
      <c r="C59" s="67"/>
      <c r="D59" s="68"/>
      <c r="E59" s="53"/>
    </row>
    <row r="60" spans="1:5" x14ac:dyDescent="0.2">
      <c r="A60" s="811" t="s">
        <v>213</v>
      </c>
      <c r="B60" s="812"/>
      <c r="C60" s="812"/>
      <c r="D60" s="812"/>
      <c r="E60" s="812"/>
    </row>
    <row r="61" spans="1:5" x14ac:dyDescent="0.2">
      <c r="A61" s="69" t="s">
        <v>214</v>
      </c>
      <c r="B61" s="69"/>
      <c r="C61" s="69"/>
      <c r="D61" s="69"/>
      <c r="E61" s="69"/>
    </row>
    <row r="62" spans="1:5" x14ac:dyDescent="0.2">
      <c r="A62" s="32"/>
      <c r="B62" s="32"/>
      <c r="C62" s="32"/>
      <c r="D62" s="32"/>
      <c r="E62" s="32"/>
    </row>
    <row r="63" spans="1:5" ht="15.75" x14ac:dyDescent="0.2">
      <c r="A63" s="813" t="str">
        <f>CONCATENATE("From the ",E1-2," Budget Certificate Page")</f>
        <v>From the 2023 Budget Certificate Page</v>
      </c>
      <c r="B63" s="814"/>
      <c r="C63" s="32"/>
      <c r="D63" s="32"/>
      <c r="E63" s="32"/>
    </row>
    <row r="64" spans="1:5" ht="15.75" x14ac:dyDescent="0.2">
      <c r="A64" s="26"/>
      <c r="B64" s="26" t="str">
        <f>CONCATENATE("",E1-2," Expenditure Amounts")</f>
        <v>2023 Expenditure Amounts</v>
      </c>
      <c r="C64" s="809" t="str">
        <f>CONCATENATE("Note: If the ",E1-2," budget was amended, then the")</f>
        <v>Note: If the 2023 budget was amended, then the</v>
      </c>
      <c r="D64" s="810"/>
      <c r="E64" s="810"/>
    </row>
    <row r="65" spans="1:5" ht="15.75" x14ac:dyDescent="0.2">
      <c r="A65" s="70" t="s">
        <v>4</v>
      </c>
      <c r="B65" s="70" t="s">
        <v>5</v>
      </c>
      <c r="C65" s="71" t="s">
        <v>6</v>
      </c>
      <c r="D65" s="72"/>
      <c r="E65" s="72"/>
    </row>
    <row r="66" spans="1:5" ht="15.75" x14ac:dyDescent="0.2">
      <c r="A66" s="44" t="str">
        <f>inputPrYr!B18</f>
        <v>General</v>
      </c>
      <c r="B66" s="53"/>
      <c r="C66" s="71" t="s">
        <v>7</v>
      </c>
      <c r="D66" s="72"/>
      <c r="E66" s="72"/>
    </row>
    <row r="67" spans="1:5" ht="15.75" x14ac:dyDescent="0.2">
      <c r="A67" s="44" t="str">
        <f>inputPrYr!B19</f>
        <v>Debt Service</v>
      </c>
      <c r="B67" s="53"/>
      <c r="C67" s="71"/>
      <c r="D67" s="72"/>
      <c r="E67" s="72"/>
    </row>
    <row r="68" spans="1:5" ht="15.75" x14ac:dyDescent="0.2">
      <c r="A68" s="44" t="str">
        <f>inputPrYr!B20</f>
        <v>Library</v>
      </c>
      <c r="B68" s="53"/>
      <c r="C68" s="71"/>
      <c r="D68" s="72"/>
      <c r="E68" s="72"/>
    </row>
    <row r="69" spans="1:5" ht="15.75" x14ac:dyDescent="0.2">
      <c r="A69" s="44">
        <f>inputPrYr!B22</f>
        <v>0</v>
      </c>
      <c r="B69" s="53"/>
      <c r="C69" s="32"/>
      <c r="D69" s="32"/>
      <c r="E69" s="32"/>
    </row>
    <row r="70" spans="1:5" ht="15.75" x14ac:dyDescent="0.2">
      <c r="A70" s="44">
        <f>inputPrYr!B23</f>
        <v>0</v>
      </c>
      <c r="B70" s="53"/>
      <c r="C70" s="32"/>
      <c r="D70" s="32"/>
      <c r="E70" s="32"/>
    </row>
    <row r="71" spans="1:5" ht="15.75" x14ac:dyDescent="0.2">
      <c r="A71" s="44">
        <f>inputPrYr!B24</f>
        <v>0</v>
      </c>
      <c r="B71" s="53"/>
      <c r="C71" s="32"/>
      <c r="D71" s="32"/>
      <c r="E71" s="32"/>
    </row>
    <row r="72" spans="1:5" ht="15.75" x14ac:dyDescent="0.2">
      <c r="A72" s="44">
        <f>inputPrYr!B25</f>
        <v>0</v>
      </c>
      <c r="B72" s="53"/>
      <c r="C72" s="32"/>
      <c r="D72" s="32"/>
      <c r="E72" s="32"/>
    </row>
    <row r="73" spans="1:5" ht="15.75" x14ac:dyDescent="0.2">
      <c r="A73" s="44">
        <f>inputPrYr!B26</f>
        <v>0</v>
      </c>
      <c r="B73" s="53"/>
      <c r="C73" s="32"/>
      <c r="D73" s="32"/>
      <c r="E73" s="32"/>
    </row>
    <row r="74" spans="1:5" ht="15.75" x14ac:dyDescent="0.2">
      <c r="A74" s="44">
        <f>inputPrYr!B27</f>
        <v>0</v>
      </c>
      <c r="B74" s="53"/>
      <c r="C74" s="32"/>
      <c r="D74" s="32"/>
      <c r="E74" s="32"/>
    </row>
    <row r="75" spans="1:5" ht="15.75" x14ac:dyDescent="0.2">
      <c r="A75" s="44">
        <f>inputPrYr!B28</f>
        <v>0</v>
      </c>
      <c r="B75" s="53"/>
      <c r="C75" s="32"/>
      <c r="D75" s="32"/>
      <c r="E75" s="32"/>
    </row>
    <row r="76" spans="1:5" ht="15.75" x14ac:dyDescent="0.2">
      <c r="A76" s="44">
        <f>inputPrYr!B29</f>
        <v>0</v>
      </c>
      <c r="B76" s="53"/>
      <c r="C76" s="32"/>
      <c r="D76" s="32"/>
      <c r="E76" s="32"/>
    </row>
    <row r="77" spans="1:5" ht="15.75" x14ac:dyDescent="0.2">
      <c r="A77" s="44">
        <f>inputPrYr!B30</f>
        <v>0</v>
      </c>
      <c r="B77" s="53"/>
      <c r="C77" s="32"/>
      <c r="D77" s="32"/>
      <c r="E77" s="32"/>
    </row>
    <row r="78" spans="1:5" ht="15.75" x14ac:dyDescent="0.2">
      <c r="A78" s="44">
        <f>inputPrYr!B31</f>
        <v>0</v>
      </c>
      <c r="B78" s="53"/>
      <c r="C78" s="32"/>
      <c r="D78" s="32"/>
      <c r="E78" s="32"/>
    </row>
    <row r="79" spans="1:5" ht="15.75" x14ac:dyDescent="0.2">
      <c r="A79" s="44" t="str">
        <f>inputPrYr!B34</f>
        <v>Recreation</v>
      </c>
      <c r="B79" s="53"/>
      <c r="C79" s="32"/>
      <c r="D79" s="32"/>
      <c r="E79" s="32"/>
    </row>
    <row r="80" spans="1:5" ht="15.75" x14ac:dyDescent="0.2">
      <c r="A80" s="44" t="str">
        <f>inputPrYr!B37</f>
        <v>Special Highway</v>
      </c>
      <c r="B80" s="53"/>
      <c r="C80" s="32"/>
      <c r="D80" s="32"/>
      <c r="E80" s="32"/>
    </row>
    <row r="81" spans="1:5" ht="15.75" x14ac:dyDescent="0.2">
      <c r="A81" s="44">
        <f>inputPrYr!B38</f>
        <v>0</v>
      </c>
      <c r="B81" s="53"/>
      <c r="C81" s="32"/>
      <c r="D81" s="32"/>
      <c r="E81" s="32"/>
    </row>
    <row r="82" spans="1:5" ht="15.75" x14ac:dyDescent="0.2">
      <c r="A82" s="44">
        <f>inputPrYr!B39</f>
        <v>0</v>
      </c>
      <c r="B82" s="53"/>
      <c r="C82" s="32"/>
      <c r="D82" s="32"/>
      <c r="E82" s="32"/>
    </row>
    <row r="83" spans="1:5" ht="15.75" x14ac:dyDescent="0.2">
      <c r="A83" s="44">
        <f>inputPrYr!B40</f>
        <v>0</v>
      </c>
      <c r="B83" s="53"/>
      <c r="C83" s="32"/>
      <c r="D83" s="32"/>
      <c r="E83" s="32"/>
    </row>
    <row r="84" spans="1:5" ht="15.75" x14ac:dyDescent="0.2">
      <c r="A84" s="44">
        <f>inputPrYr!B41</f>
        <v>0</v>
      </c>
      <c r="B84" s="53"/>
      <c r="C84" s="32"/>
      <c r="D84" s="32"/>
      <c r="E84" s="32"/>
    </row>
    <row r="85" spans="1:5" ht="15.75" x14ac:dyDescent="0.2">
      <c r="A85" s="44">
        <f>inputPrYr!B42</f>
        <v>0</v>
      </c>
      <c r="B85" s="53"/>
      <c r="C85" s="32"/>
      <c r="D85" s="32"/>
      <c r="E85" s="32"/>
    </row>
    <row r="86" spans="1:5" ht="15.75" x14ac:dyDescent="0.2">
      <c r="A86" s="44">
        <f>inputPrYr!B43</f>
        <v>0</v>
      </c>
      <c r="B86" s="53"/>
      <c r="C86" s="32"/>
      <c r="D86" s="32"/>
      <c r="E86" s="32"/>
    </row>
    <row r="87" spans="1:5" ht="15.75" x14ac:dyDescent="0.2">
      <c r="A87" s="44">
        <f>inputPrYr!B44</f>
        <v>0</v>
      </c>
      <c r="B87" s="53"/>
      <c r="C87" s="32"/>
      <c r="D87" s="32"/>
      <c r="E87" s="32"/>
    </row>
    <row r="88" spans="1:5" ht="15.75" x14ac:dyDescent="0.2">
      <c r="A88" s="44">
        <f>inputPrYr!B45</f>
        <v>0</v>
      </c>
      <c r="B88" s="53"/>
      <c r="C88" s="32"/>
      <c r="D88" s="32"/>
      <c r="E88" s="32"/>
    </row>
    <row r="89" spans="1:5" ht="15.75" x14ac:dyDescent="0.2">
      <c r="A89" s="44">
        <f>inputPrYr!B46</f>
        <v>0</v>
      </c>
      <c r="B89" s="53"/>
      <c r="C89" s="32"/>
      <c r="D89" s="32"/>
      <c r="E89" s="32"/>
    </row>
    <row r="90" spans="1:5" ht="15.75" x14ac:dyDescent="0.2">
      <c r="A90" s="44">
        <f>inputPrYr!B47</f>
        <v>0</v>
      </c>
      <c r="B90" s="53"/>
      <c r="C90" s="32"/>
      <c r="D90" s="32"/>
      <c r="E90" s="32"/>
    </row>
    <row r="91" spans="1:5" ht="15.75" x14ac:dyDescent="0.2">
      <c r="A91" s="44">
        <f>inputPrYr!B48</f>
        <v>0</v>
      </c>
      <c r="B91" s="53"/>
      <c r="C91" s="32"/>
      <c r="D91" s="32"/>
      <c r="E91" s="32"/>
    </row>
    <row r="92" spans="1:5" ht="15.75" x14ac:dyDescent="0.2">
      <c r="A92" s="44">
        <f>inputPrYr!B49</f>
        <v>0</v>
      </c>
      <c r="B92" s="53"/>
      <c r="C92" s="32"/>
      <c r="D92" s="32"/>
      <c r="E92" s="32"/>
    </row>
    <row r="93" spans="1:5" ht="15.75" x14ac:dyDescent="0.2">
      <c r="A93" s="44">
        <f>inputPrYr!B50</f>
        <v>0</v>
      </c>
      <c r="B93" s="53"/>
      <c r="C93" s="32"/>
      <c r="D93" s="32"/>
      <c r="E93" s="32"/>
    </row>
    <row r="94" spans="1:5" ht="15.75" x14ac:dyDescent="0.2">
      <c r="A94" s="44">
        <f>inputPrYr!B51</f>
        <v>0</v>
      </c>
      <c r="B94" s="53"/>
      <c r="C94" s="32"/>
      <c r="D94" s="32"/>
      <c r="E94" s="32"/>
    </row>
    <row r="95" spans="1:5" ht="15.75" x14ac:dyDescent="0.2">
      <c r="A95" s="44">
        <f>inputPrYr!B52</f>
        <v>0</v>
      </c>
      <c r="B95" s="53"/>
      <c r="C95" s="32"/>
      <c r="D95" s="32"/>
      <c r="E95" s="32"/>
    </row>
    <row r="96" spans="1:5" ht="15.75" x14ac:dyDescent="0.2">
      <c r="A96" s="44">
        <f>inputPrYr!B54</f>
        <v>0</v>
      </c>
      <c r="B96" s="53"/>
      <c r="C96" s="32"/>
      <c r="D96" s="32"/>
      <c r="E96" s="32"/>
    </row>
    <row r="97" spans="1:5" ht="15.75" x14ac:dyDescent="0.2">
      <c r="A97" s="44">
        <f>inputPrYr!B55</f>
        <v>0</v>
      </c>
      <c r="B97" s="53"/>
      <c r="C97" s="32"/>
      <c r="D97" s="32"/>
      <c r="E97" s="32"/>
    </row>
    <row r="98" spans="1:5" ht="15.75" x14ac:dyDescent="0.2">
      <c r="A98" s="44">
        <f>inputPrYr!B56</f>
        <v>0</v>
      </c>
      <c r="B98" s="53"/>
      <c r="C98" s="32"/>
      <c r="D98" s="32"/>
      <c r="E98" s="32"/>
    </row>
    <row r="99" spans="1:5" ht="15.75" x14ac:dyDescent="0.2">
      <c r="A99" s="44">
        <f>inputPrYr!B57</f>
        <v>0</v>
      </c>
      <c r="B99" s="53"/>
      <c r="C99" s="32"/>
      <c r="D99" s="32"/>
      <c r="E99" s="32"/>
    </row>
  </sheetData>
  <sheetProtection sheet="1"/>
  <mergeCells count="8">
    <mergeCell ref="A3:E3"/>
    <mergeCell ref="A63:B63"/>
    <mergeCell ref="A5:B5"/>
    <mergeCell ref="F21:K24"/>
    <mergeCell ref="A55:E55"/>
    <mergeCell ref="C64:E64"/>
    <mergeCell ref="A25:B25"/>
    <mergeCell ref="A60:E60"/>
  </mergeCells>
  <phoneticPr fontId="8" type="noConversion"/>
  <pageMargins left="0.75" right="0.75" top="1" bottom="1" header="0.5" footer="0.5"/>
  <pageSetup scale="47" orientation="portrait" blackAndWhite="1"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00B0F0"/>
    <pageSetUpPr fitToPage="1"/>
  </sheetPr>
  <dimension ref="B1:E52"/>
  <sheetViews>
    <sheetView workbookViewId="0">
      <selection activeCell="B20" sqref="B20"/>
    </sheetView>
  </sheetViews>
  <sheetFormatPr defaultColWidth="8.88671875" defaultRowHeight="15" x14ac:dyDescent="0.2"/>
  <cols>
    <col min="1" max="1" width="2.44140625" style="56" customWidth="1"/>
    <col min="2" max="2" width="31.109375" style="56" customWidth="1"/>
    <col min="3" max="4" width="15.77734375" style="56" customWidth="1"/>
    <col min="5" max="5" width="16.33203125" style="56" customWidth="1"/>
    <col min="6" max="16384" width="8.88671875" style="56"/>
  </cols>
  <sheetData>
    <row r="1" spans="2:5" ht="15.75" x14ac:dyDescent="0.2">
      <c r="B1" s="39">
        <f>(inputPrYr!D3)</f>
        <v>0</v>
      </c>
      <c r="C1" s="20"/>
      <c r="D1" s="20"/>
      <c r="E1" s="126">
        <f>inputPrYr!$C$6</f>
        <v>2025</v>
      </c>
    </row>
    <row r="2" spans="2:5" ht="15.75" x14ac:dyDescent="0.2">
      <c r="B2" s="20"/>
      <c r="C2" s="20"/>
      <c r="D2" s="20"/>
      <c r="E2" s="101"/>
    </row>
    <row r="3" spans="2:5" ht="15.75" x14ac:dyDescent="0.2">
      <c r="B3" s="154" t="s">
        <v>126</v>
      </c>
      <c r="C3" s="199"/>
      <c r="D3" s="199"/>
      <c r="E3" s="200"/>
    </row>
    <row r="4" spans="2:5" ht="15.75" x14ac:dyDescent="0.2">
      <c r="B4" s="21" t="s">
        <v>59</v>
      </c>
      <c r="C4" s="292" t="s">
        <v>377</v>
      </c>
      <c r="D4" s="291" t="s">
        <v>378</v>
      </c>
      <c r="E4" s="271" t="s">
        <v>379</v>
      </c>
    </row>
    <row r="5" spans="2:5" ht="15.75" x14ac:dyDescent="0.2">
      <c r="B5" s="357">
        <f>(inputPrYr!B54)</f>
        <v>0</v>
      </c>
      <c r="C5" s="293" t="str">
        <f>CONCATENATE("Actual for ",E1-2,"")</f>
        <v>Actual for 2023</v>
      </c>
      <c r="D5" s="293" t="str">
        <f>CONCATENATE("Estimate for ",E1-1,"")</f>
        <v>Estimate for 2024</v>
      </c>
      <c r="E5" s="279" t="str">
        <f>CONCATENATE("Year for ",E1,"")</f>
        <v>Year for 2025</v>
      </c>
    </row>
    <row r="6" spans="2:5" ht="15.75" x14ac:dyDescent="0.2">
      <c r="B6" s="87" t="s">
        <v>140</v>
      </c>
      <c r="C6" s="163"/>
      <c r="D6" s="161">
        <f>C45</f>
        <v>0</v>
      </c>
      <c r="E6" s="134">
        <f>D45</f>
        <v>0</v>
      </c>
    </row>
    <row r="7" spans="2:5" ht="15.75" x14ac:dyDescent="0.2">
      <c r="B7" s="188" t="s">
        <v>142</v>
      </c>
      <c r="C7" s="96"/>
      <c r="D7" s="96"/>
      <c r="E7" s="44"/>
    </row>
    <row r="8" spans="2:5" ht="15.75" x14ac:dyDescent="0.2">
      <c r="B8" s="179"/>
      <c r="C8" s="163"/>
      <c r="D8" s="163"/>
      <c r="E8" s="166"/>
    </row>
    <row r="9" spans="2:5" ht="15.75" x14ac:dyDescent="0.2">
      <c r="B9" s="179"/>
      <c r="C9" s="163"/>
      <c r="D9" s="163"/>
      <c r="E9" s="166"/>
    </row>
    <row r="10" spans="2:5" ht="15.75" x14ac:dyDescent="0.2">
      <c r="B10" s="179"/>
      <c r="C10" s="163"/>
      <c r="D10" s="163"/>
      <c r="E10" s="166"/>
    </row>
    <row r="11" spans="2:5" ht="15.75" x14ac:dyDescent="0.2">
      <c r="B11" s="179"/>
      <c r="C11" s="163"/>
      <c r="D11" s="163"/>
      <c r="E11" s="166"/>
    </row>
    <row r="12" spans="2:5" ht="15.75" x14ac:dyDescent="0.2">
      <c r="B12" s="179"/>
      <c r="C12" s="163"/>
      <c r="D12" s="163"/>
      <c r="E12" s="166"/>
    </row>
    <row r="13" spans="2:5" ht="15.75" x14ac:dyDescent="0.2">
      <c r="B13" s="194"/>
      <c r="C13" s="163"/>
      <c r="D13" s="163"/>
      <c r="E13" s="58"/>
    </row>
    <row r="14" spans="2:5" ht="15.75" x14ac:dyDescent="0.2">
      <c r="B14" s="179"/>
      <c r="C14" s="163"/>
      <c r="D14" s="163"/>
      <c r="E14" s="166"/>
    </row>
    <row r="15" spans="2:5" ht="15.75" x14ac:dyDescent="0.2">
      <c r="B15" s="201" t="s">
        <v>67</v>
      </c>
      <c r="C15" s="163"/>
      <c r="D15" s="163"/>
      <c r="E15" s="166"/>
    </row>
    <row r="16" spans="2:5" ht="15.75" x14ac:dyDescent="0.2">
      <c r="B16" s="96" t="s">
        <v>9</v>
      </c>
      <c r="C16" s="163"/>
      <c r="D16" s="163"/>
      <c r="E16" s="166"/>
    </row>
    <row r="17" spans="2:5" ht="15.75" x14ac:dyDescent="0.2">
      <c r="B17" s="158" t="s">
        <v>370</v>
      </c>
      <c r="C17" s="168" t="str">
        <f>IF(C18*0.1&lt;C16,"Exceed 10% Rule","")</f>
        <v/>
      </c>
      <c r="D17" s="168" t="str">
        <f>IF(D18*0.1&lt;D16,"Exceed 10% Rule","")</f>
        <v/>
      </c>
      <c r="E17" s="202" t="str">
        <f>IF(E18*0.1&lt;E16,"Exceed 10% Rule","")</f>
        <v/>
      </c>
    </row>
    <row r="18" spans="2:5" ht="15.75" x14ac:dyDescent="0.2">
      <c r="B18" s="170" t="s">
        <v>68</v>
      </c>
      <c r="C18" s="172">
        <f>SUM(C8:C16)</f>
        <v>0</v>
      </c>
      <c r="D18" s="172">
        <f>SUM(D8:D16)</f>
        <v>0</v>
      </c>
      <c r="E18" s="173">
        <f>SUM(E8:E16)</f>
        <v>0</v>
      </c>
    </row>
    <row r="19" spans="2:5" ht="15.75" x14ac:dyDescent="0.2">
      <c r="B19" s="170" t="s">
        <v>69</v>
      </c>
      <c r="C19" s="172">
        <f>C6+C18</f>
        <v>0</v>
      </c>
      <c r="D19" s="172">
        <f>D6+D18</f>
        <v>0</v>
      </c>
      <c r="E19" s="173">
        <f>E6+E18</f>
        <v>0</v>
      </c>
    </row>
    <row r="20" spans="2:5" ht="15.75" x14ac:dyDescent="0.2">
      <c r="B20" s="87" t="s">
        <v>71</v>
      </c>
      <c r="C20" s="96"/>
      <c r="D20" s="96"/>
      <c r="E20" s="44"/>
    </row>
    <row r="21" spans="2:5" ht="15.75" x14ac:dyDescent="0.2">
      <c r="B21" s="179" t="s">
        <v>175</v>
      </c>
      <c r="C21" s="163"/>
      <c r="D21" s="163"/>
      <c r="E21" s="166"/>
    </row>
    <row r="22" spans="2:5" ht="15.75" x14ac:dyDescent="0.2">
      <c r="B22" s="179" t="s">
        <v>11</v>
      </c>
      <c r="C22" s="163"/>
      <c r="D22" s="163"/>
      <c r="E22" s="166"/>
    </row>
    <row r="23" spans="2:5" ht="15.75" x14ac:dyDescent="0.2">
      <c r="B23" s="179"/>
      <c r="C23" s="163"/>
      <c r="D23" s="163"/>
      <c r="E23" s="58"/>
    </row>
    <row r="24" spans="2:5" ht="15.75" x14ac:dyDescent="0.2">
      <c r="B24" s="179"/>
      <c r="C24" s="163"/>
      <c r="D24" s="163"/>
      <c r="E24" s="58"/>
    </row>
    <row r="25" spans="2:5" ht="15.75" x14ac:dyDescent="0.2">
      <c r="B25" s="179"/>
      <c r="C25" s="163"/>
      <c r="D25" s="163"/>
      <c r="E25" s="58"/>
    </row>
    <row r="26" spans="2:5" ht="15.75" x14ac:dyDescent="0.2">
      <c r="B26" s="179"/>
      <c r="C26" s="163"/>
      <c r="D26" s="163"/>
      <c r="E26" s="58"/>
    </row>
    <row r="27" spans="2:5" ht="15.75" x14ac:dyDescent="0.2">
      <c r="B27" s="179"/>
      <c r="C27" s="163"/>
      <c r="D27" s="163"/>
      <c r="E27" s="58"/>
    </row>
    <row r="28" spans="2:5" ht="15.75" x14ac:dyDescent="0.2">
      <c r="B28" s="179"/>
      <c r="C28" s="163"/>
      <c r="D28" s="163"/>
      <c r="E28" s="58"/>
    </row>
    <row r="29" spans="2:5" ht="15.75" x14ac:dyDescent="0.2">
      <c r="B29" s="179"/>
      <c r="C29" s="163"/>
      <c r="D29" s="163"/>
      <c r="E29" s="58"/>
    </row>
    <row r="30" spans="2:5" ht="15.75" x14ac:dyDescent="0.2">
      <c r="B30" s="179"/>
      <c r="C30" s="163"/>
      <c r="D30" s="163"/>
      <c r="E30" s="58"/>
    </row>
    <row r="31" spans="2:5" ht="15.75" x14ac:dyDescent="0.2">
      <c r="B31" s="179"/>
      <c r="C31" s="163"/>
      <c r="D31" s="163"/>
      <c r="E31" s="58"/>
    </row>
    <row r="32" spans="2:5" ht="15.75" x14ac:dyDescent="0.2">
      <c r="B32" s="179"/>
      <c r="C32" s="163"/>
      <c r="D32" s="163"/>
      <c r="E32" s="166"/>
    </row>
    <row r="33" spans="2:5" ht="15.75" x14ac:dyDescent="0.2">
      <c r="B33" s="179"/>
      <c r="C33" s="163"/>
      <c r="D33" s="163"/>
      <c r="E33" s="166"/>
    </row>
    <row r="34" spans="2:5" ht="15.75" x14ac:dyDescent="0.2">
      <c r="B34" s="179"/>
      <c r="C34" s="163"/>
      <c r="D34" s="163"/>
      <c r="E34" s="166"/>
    </row>
    <row r="35" spans="2:5" ht="15.75" x14ac:dyDescent="0.2">
      <c r="B35" s="179"/>
      <c r="C35" s="163"/>
      <c r="D35" s="163"/>
      <c r="E35" s="166"/>
    </row>
    <row r="36" spans="2:5" ht="15.75" x14ac:dyDescent="0.2">
      <c r="B36" s="179"/>
      <c r="C36" s="163"/>
      <c r="D36" s="163"/>
      <c r="E36" s="166"/>
    </row>
    <row r="37" spans="2:5" ht="15.75" x14ac:dyDescent="0.2">
      <c r="B37" s="179"/>
      <c r="C37" s="163"/>
      <c r="D37" s="163"/>
      <c r="E37" s="166"/>
    </row>
    <row r="38" spans="2:5" ht="15.75" x14ac:dyDescent="0.2">
      <c r="B38" s="179"/>
      <c r="C38" s="163"/>
      <c r="D38" s="163"/>
      <c r="E38" s="166"/>
    </row>
    <row r="39" spans="2:5" ht="15.75" x14ac:dyDescent="0.2">
      <c r="B39" s="179"/>
      <c r="C39" s="163"/>
      <c r="D39" s="163"/>
      <c r="E39" s="166"/>
    </row>
    <row r="40" spans="2:5" ht="15.75" x14ac:dyDescent="0.2">
      <c r="B40" s="179"/>
      <c r="C40" s="163"/>
      <c r="D40" s="163"/>
      <c r="E40" s="166"/>
    </row>
    <row r="41" spans="2:5" ht="15.75" x14ac:dyDescent="0.2">
      <c r="B41" s="180" t="str">
        <f>CONCATENATE("Cash Reserve (",E1," column)")</f>
        <v>Cash Reserve (2025 column)</v>
      </c>
      <c r="C41" s="163"/>
      <c r="D41" s="163"/>
      <c r="E41" s="166"/>
    </row>
    <row r="42" spans="2:5" ht="15.75" x14ac:dyDescent="0.2">
      <c r="B42" s="180" t="s">
        <v>9</v>
      </c>
      <c r="C42" s="163"/>
      <c r="D42" s="163"/>
      <c r="E42" s="166"/>
    </row>
    <row r="43" spans="2:5" ht="15.75" x14ac:dyDescent="0.2">
      <c r="B43" s="180" t="s">
        <v>371</v>
      </c>
      <c r="C43" s="168" t="str">
        <f>IF(C44*0.1&lt;C42,"Exceed 10% Rule","")</f>
        <v/>
      </c>
      <c r="D43" s="168" t="str">
        <f>IF(D44*0.1&lt;D42,"Exceed 10% Rule","")</f>
        <v/>
      </c>
      <c r="E43" s="202" t="str">
        <f>IF(E44*0.1&lt;E42,"Exceed 10% Rule","")</f>
        <v/>
      </c>
    </row>
    <row r="44" spans="2:5" ht="15.75" x14ac:dyDescent="0.2">
      <c r="B44" s="170" t="s">
        <v>75</v>
      </c>
      <c r="C44" s="172">
        <f>SUM(C21:C42)</f>
        <v>0</v>
      </c>
      <c r="D44" s="172">
        <f>SUM(D21:D42)</f>
        <v>0</v>
      </c>
      <c r="E44" s="173">
        <f>SUM(E21:E42)</f>
        <v>0</v>
      </c>
    </row>
    <row r="45" spans="2:5" ht="15.75" x14ac:dyDescent="0.2">
      <c r="B45" s="87" t="s">
        <v>141</v>
      </c>
      <c r="C45" s="176">
        <f>C19-C44</f>
        <v>0</v>
      </c>
      <c r="D45" s="176">
        <f>D19-D44</f>
        <v>0</v>
      </c>
      <c r="E45" s="42">
        <f>E19-E44</f>
        <v>0</v>
      </c>
    </row>
    <row r="46" spans="2:5" ht="15.75" x14ac:dyDescent="0.2">
      <c r="B46" s="102" t="str">
        <f>CONCATENATE("",E1-2,"/",E1-1,"/",E1," Budget Authority Amount:")</f>
        <v>2023/2024/2025 Budget Authority Amount:</v>
      </c>
      <c r="C46" s="584">
        <f>inputOth!B96</f>
        <v>0</v>
      </c>
      <c r="D46" s="584">
        <f>inputPrYr!D54</f>
        <v>0</v>
      </c>
      <c r="E46" s="613">
        <f>E44</f>
        <v>0</v>
      </c>
    </row>
    <row r="47" spans="2:5" ht="15.75" x14ac:dyDescent="0.2">
      <c r="B47" s="73"/>
      <c r="C47" s="182" t="str">
        <f>IF(C44&gt;C46,"See Tab A","")</f>
        <v/>
      </c>
      <c r="D47" s="182" t="str">
        <f>IF(D44&gt;D46,"See Tab C","")</f>
        <v/>
      </c>
      <c r="E47" s="614" t="str">
        <f>IF(E45&lt;0,"See Tab E","")</f>
        <v/>
      </c>
    </row>
    <row r="48" spans="2:5" ht="15.75" x14ac:dyDescent="0.2">
      <c r="B48" s="704" t="s">
        <v>529</v>
      </c>
      <c r="C48" s="691" t="str">
        <f>IF(C45&lt;0,"See Tab B","")</f>
        <v/>
      </c>
      <c r="D48" s="691" t="str">
        <f>IF(D45&lt;0,"See Tab D","")</f>
        <v/>
      </c>
      <c r="E48" s="692"/>
    </row>
    <row r="49" spans="2:5" x14ac:dyDescent="0.2">
      <c r="B49" s="693"/>
      <c r="C49" s="32"/>
      <c r="D49" s="32"/>
      <c r="E49" s="694"/>
    </row>
    <row r="50" spans="2:5" x14ac:dyDescent="0.2">
      <c r="B50" s="695"/>
      <c r="C50" s="63"/>
      <c r="D50" s="63"/>
      <c r="E50" s="66"/>
    </row>
    <row r="51" spans="2:5" x14ac:dyDescent="0.2">
      <c r="B51" s="32"/>
      <c r="C51" s="32"/>
      <c r="D51" s="32"/>
      <c r="E51" s="32"/>
    </row>
    <row r="52" spans="2:5" ht="15.75" x14ac:dyDescent="0.2">
      <c r="B52" s="101" t="s">
        <v>78</v>
      </c>
      <c r="C52" s="186"/>
      <c r="D52" s="32"/>
      <c r="E52" s="32"/>
    </row>
  </sheetData>
  <sheetProtection sheet="1"/>
  <phoneticPr fontId="8" type="noConversion"/>
  <conditionalFormatting sqref="C16">
    <cfRule type="cellIs" dxfId="41" priority="1" stopIfTrue="1" operator="greaterThan">
      <formula>$C$18*0.1</formula>
    </cfRule>
  </conditionalFormatting>
  <conditionalFormatting sqref="C42">
    <cfRule type="cellIs" dxfId="40" priority="6" stopIfTrue="1" operator="greaterThan">
      <formula>$C$44*0.1</formula>
    </cfRule>
  </conditionalFormatting>
  <conditionalFormatting sqref="C44">
    <cfRule type="cellIs" dxfId="39" priority="9" stopIfTrue="1" operator="greaterThan">
      <formula>$C$46</formula>
    </cfRule>
  </conditionalFormatting>
  <conditionalFormatting sqref="C45 E45">
    <cfRule type="cellIs" dxfId="38" priority="10" stopIfTrue="1" operator="lessThan">
      <formula>0</formula>
    </cfRule>
  </conditionalFormatting>
  <conditionalFormatting sqref="D16">
    <cfRule type="cellIs" dxfId="37" priority="2" stopIfTrue="1" operator="greaterThan">
      <formula>$D$18*0.1</formula>
    </cfRule>
  </conditionalFormatting>
  <conditionalFormatting sqref="D42">
    <cfRule type="cellIs" dxfId="36" priority="7" stopIfTrue="1" operator="greaterThan">
      <formula>$D$44*0.1</formula>
    </cfRule>
  </conditionalFormatting>
  <conditionalFormatting sqref="D44">
    <cfRule type="cellIs" dxfId="35" priority="8" stopIfTrue="1" operator="greaterThan">
      <formula>$D$46</formula>
    </cfRule>
  </conditionalFormatting>
  <conditionalFormatting sqref="D45">
    <cfRule type="cellIs" dxfId="34" priority="3" stopIfTrue="1" operator="lessThan">
      <formula>0</formula>
    </cfRule>
  </conditionalFormatting>
  <conditionalFormatting sqref="E16">
    <cfRule type="cellIs" dxfId="33" priority="4" stopIfTrue="1" operator="greaterThan">
      <formula>$E$18*0.1</formula>
    </cfRule>
  </conditionalFormatting>
  <conditionalFormatting sqref="E42">
    <cfRule type="cellIs" dxfId="32" priority="5" stopIfTrue="1" operator="greaterThan">
      <formula>$E$44*0.1</formula>
    </cfRule>
  </conditionalFormatting>
  <pageMargins left="0.75" right="0.75" top="1" bottom="1" header="0.5" footer="0.5"/>
  <pageSetup scale="84" orientation="portrait"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00B0F0"/>
    <pageSetUpPr fitToPage="1"/>
  </sheetPr>
  <dimension ref="B1:E48"/>
  <sheetViews>
    <sheetView workbookViewId="0">
      <selection activeCell="B16" sqref="B16"/>
    </sheetView>
  </sheetViews>
  <sheetFormatPr defaultColWidth="8.88671875" defaultRowHeight="15" x14ac:dyDescent="0.2"/>
  <cols>
    <col min="1" max="1" width="2.44140625" style="56" customWidth="1"/>
    <col min="2" max="2" width="31.109375" style="56" customWidth="1"/>
    <col min="3" max="4" width="15.77734375" style="56" customWidth="1"/>
    <col min="5" max="5" width="16.21875" style="56" customWidth="1"/>
    <col min="6" max="16384" width="8.88671875" style="56"/>
  </cols>
  <sheetData>
    <row r="1" spans="2:5" ht="15.75" x14ac:dyDescent="0.2">
      <c r="B1" s="39">
        <f>(inputPrYr!D3)</f>
        <v>0</v>
      </c>
      <c r="C1" s="20"/>
      <c r="D1" s="20"/>
      <c r="E1" s="126">
        <f>inputPrYr!$C$6</f>
        <v>2025</v>
      </c>
    </row>
    <row r="2" spans="2:5" ht="15.75" x14ac:dyDescent="0.2">
      <c r="B2" s="20"/>
      <c r="C2" s="20"/>
      <c r="D2" s="20"/>
      <c r="E2" s="101"/>
    </row>
    <row r="3" spans="2:5" ht="15.75" x14ac:dyDescent="0.2">
      <c r="B3" s="154" t="s">
        <v>126</v>
      </c>
      <c r="C3" s="199"/>
      <c r="D3" s="199"/>
      <c r="E3" s="200"/>
    </row>
    <row r="4" spans="2:5" ht="15.75" x14ac:dyDescent="0.2">
      <c r="B4" s="21" t="s">
        <v>59</v>
      </c>
      <c r="C4" s="292" t="s">
        <v>377</v>
      </c>
      <c r="D4" s="291" t="s">
        <v>378</v>
      </c>
      <c r="E4" s="271" t="s">
        <v>379</v>
      </c>
    </row>
    <row r="5" spans="2:5" ht="15.75" x14ac:dyDescent="0.2">
      <c r="B5" s="357">
        <f>(inputPrYr!B55)</f>
        <v>0</v>
      </c>
      <c r="C5" s="293" t="str">
        <f>CONCATENATE("Actual for ",E1-2,"")</f>
        <v>Actual for 2023</v>
      </c>
      <c r="D5" s="293" t="str">
        <f>CONCATENATE("Estimate for ",E1-1,"")</f>
        <v>Estimate for 2024</v>
      </c>
      <c r="E5" s="279" t="str">
        <f>CONCATENATE("Year for ",E1,"")</f>
        <v>Year for 2025</v>
      </c>
    </row>
    <row r="6" spans="2:5" ht="15.75" x14ac:dyDescent="0.2">
      <c r="B6" s="87" t="s">
        <v>140</v>
      </c>
      <c r="C6" s="31"/>
      <c r="D6" s="134">
        <f>C41</f>
        <v>0</v>
      </c>
      <c r="E6" s="134">
        <f>D41</f>
        <v>0</v>
      </c>
    </row>
    <row r="7" spans="2:5" ht="15.75" x14ac:dyDescent="0.2">
      <c r="B7" s="188" t="s">
        <v>142</v>
      </c>
      <c r="C7" s="44"/>
      <c r="D7" s="44"/>
      <c r="E7" s="44"/>
    </row>
    <row r="8" spans="2:5" ht="15.75" x14ac:dyDescent="0.2">
      <c r="B8" s="179"/>
      <c r="C8" s="166"/>
      <c r="D8" s="166"/>
      <c r="E8" s="166"/>
    </row>
    <row r="9" spans="2:5" ht="15.75" x14ac:dyDescent="0.2">
      <c r="B9" s="179"/>
      <c r="C9" s="166"/>
      <c r="D9" s="166"/>
      <c r="E9" s="166"/>
    </row>
    <row r="10" spans="2:5" ht="15.75" x14ac:dyDescent="0.2">
      <c r="B10" s="179"/>
      <c r="C10" s="166"/>
      <c r="D10" s="166"/>
      <c r="E10" s="166"/>
    </row>
    <row r="11" spans="2:5" ht="15.75" x14ac:dyDescent="0.2">
      <c r="B11" s="179"/>
      <c r="C11" s="166"/>
      <c r="D11" s="166"/>
      <c r="E11" s="166"/>
    </row>
    <row r="12" spans="2:5" ht="15.75" x14ac:dyDescent="0.2">
      <c r="B12" s="194"/>
      <c r="C12" s="58"/>
      <c r="D12" s="58"/>
      <c r="E12" s="58"/>
    </row>
    <row r="13" spans="2:5" ht="15.75" x14ac:dyDescent="0.2">
      <c r="B13" s="179"/>
      <c r="C13" s="166"/>
      <c r="D13" s="166"/>
      <c r="E13" s="166"/>
    </row>
    <row r="14" spans="2:5" ht="15.75" x14ac:dyDescent="0.2">
      <c r="B14" s="201" t="s">
        <v>67</v>
      </c>
      <c r="C14" s="166"/>
      <c r="D14" s="166"/>
      <c r="E14" s="166"/>
    </row>
    <row r="15" spans="2:5" ht="15.75" x14ac:dyDescent="0.2">
      <c r="B15" s="96" t="s">
        <v>9</v>
      </c>
      <c r="C15" s="166"/>
      <c r="D15" s="160"/>
      <c r="E15" s="160"/>
    </row>
    <row r="16" spans="2:5" ht="15.75" x14ac:dyDescent="0.2">
      <c r="B16" s="158" t="s">
        <v>370</v>
      </c>
      <c r="C16" s="202" t="str">
        <f>IF(C17*0.1&lt;C15,"Exceed 10% Rule","")</f>
        <v/>
      </c>
      <c r="D16" s="169" t="str">
        <f>IF(D17*0.1&lt;D15,"Exceed 10% Rule","")</f>
        <v/>
      </c>
      <c r="E16" s="169" t="str">
        <f>IF(E17*0.1&lt;E15,"Exceed 10% Rule","")</f>
        <v/>
      </c>
    </row>
    <row r="17" spans="2:5" ht="15.75" x14ac:dyDescent="0.2">
      <c r="B17" s="170" t="s">
        <v>68</v>
      </c>
      <c r="C17" s="173">
        <f>SUM(C8:C15)</f>
        <v>0</v>
      </c>
      <c r="D17" s="173">
        <f>SUM(D8:D15)</f>
        <v>0</v>
      </c>
      <c r="E17" s="173">
        <f>SUM(E8:E15)</f>
        <v>0</v>
      </c>
    </row>
    <row r="18" spans="2:5" ht="15.75" x14ac:dyDescent="0.2">
      <c r="B18" s="170" t="s">
        <v>69</v>
      </c>
      <c r="C18" s="173">
        <f>C6+C17</f>
        <v>0</v>
      </c>
      <c r="D18" s="173">
        <f>D6+D17</f>
        <v>0</v>
      </c>
      <c r="E18" s="173">
        <f>E6+E17</f>
        <v>0</v>
      </c>
    </row>
    <row r="19" spans="2:5" ht="15.75" x14ac:dyDescent="0.2">
      <c r="B19" s="87" t="s">
        <v>71</v>
      </c>
      <c r="C19" s="44"/>
      <c r="D19" s="44"/>
      <c r="E19" s="44"/>
    </row>
    <row r="20" spans="2:5" ht="15.75" x14ac:dyDescent="0.2">
      <c r="B20" s="179" t="s">
        <v>175</v>
      </c>
      <c r="C20" s="166"/>
      <c r="D20" s="166"/>
      <c r="E20" s="166"/>
    </row>
    <row r="21" spans="2:5" ht="15.75" x14ac:dyDescent="0.2">
      <c r="B21" s="179" t="s">
        <v>12</v>
      </c>
      <c r="C21" s="166"/>
      <c r="D21" s="166"/>
      <c r="E21" s="166"/>
    </row>
    <row r="22" spans="2:5" ht="15.75" x14ac:dyDescent="0.2">
      <c r="B22" s="179"/>
      <c r="C22" s="58"/>
      <c r="D22" s="58"/>
      <c r="E22" s="58"/>
    </row>
    <row r="23" spans="2:5" ht="15.75" x14ac:dyDescent="0.2">
      <c r="B23" s="179"/>
      <c r="C23" s="58"/>
      <c r="D23" s="58"/>
      <c r="E23" s="58"/>
    </row>
    <row r="24" spans="2:5" ht="15.75" x14ac:dyDescent="0.2">
      <c r="B24" s="179"/>
      <c r="C24" s="58"/>
      <c r="D24" s="58"/>
      <c r="E24" s="58"/>
    </row>
    <row r="25" spans="2:5" ht="15.75" x14ac:dyDescent="0.2">
      <c r="B25" s="179"/>
      <c r="C25" s="58"/>
      <c r="D25" s="58"/>
      <c r="E25" s="58"/>
    </row>
    <row r="26" spans="2:5" ht="15.75" x14ac:dyDescent="0.2">
      <c r="B26" s="179"/>
      <c r="C26" s="58"/>
      <c r="D26" s="58"/>
      <c r="E26" s="58"/>
    </row>
    <row r="27" spans="2:5" ht="15.75" x14ac:dyDescent="0.2">
      <c r="B27" s="179"/>
      <c r="C27" s="58"/>
      <c r="D27" s="58"/>
      <c r="E27" s="58"/>
    </row>
    <row r="28" spans="2:5" ht="15.75" x14ac:dyDescent="0.2">
      <c r="B28" s="179"/>
      <c r="C28" s="58"/>
      <c r="D28" s="58"/>
      <c r="E28" s="58"/>
    </row>
    <row r="29" spans="2:5" ht="15.75" x14ac:dyDescent="0.2">
      <c r="B29" s="179"/>
      <c r="C29" s="166"/>
      <c r="D29" s="166"/>
      <c r="E29" s="166"/>
    </row>
    <row r="30" spans="2:5" ht="15.75" x14ac:dyDescent="0.2">
      <c r="B30" s="179"/>
      <c r="C30" s="166"/>
      <c r="D30" s="166"/>
      <c r="E30" s="166"/>
    </row>
    <row r="31" spans="2:5" ht="15.75" x14ac:dyDescent="0.2">
      <c r="B31" s="179"/>
      <c r="C31" s="166"/>
      <c r="D31" s="166"/>
      <c r="E31" s="166"/>
    </row>
    <row r="32" spans="2:5" ht="15.75" x14ac:dyDescent="0.2">
      <c r="B32" s="179"/>
      <c r="C32" s="166"/>
      <c r="D32" s="166"/>
      <c r="E32" s="166"/>
    </row>
    <row r="33" spans="2:5" ht="15.75" x14ac:dyDescent="0.2">
      <c r="B33" s="179"/>
      <c r="C33" s="166"/>
      <c r="D33" s="166"/>
      <c r="E33" s="166"/>
    </row>
    <row r="34" spans="2:5" ht="15.75" x14ac:dyDescent="0.2">
      <c r="B34" s="179"/>
      <c r="C34" s="166"/>
      <c r="D34" s="166"/>
      <c r="E34" s="166"/>
    </row>
    <row r="35" spans="2:5" ht="15.75" x14ac:dyDescent="0.2">
      <c r="B35" s="179"/>
      <c r="C35" s="166"/>
      <c r="D35" s="166"/>
      <c r="E35" s="166"/>
    </row>
    <row r="36" spans="2:5" ht="15.75" x14ac:dyDescent="0.2">
      <c r="B36" s="179"/>
      <c r="C36" s="166"/>
      <c r="D36" s="166"/>
      <c r="E36" s="166"/>
    </row>
    <row r="37" spans="2:5" ht="15.75" x14ac:dyDescent="0.2">
      <c r="B37" s="180" t="str">
        <f>CONCATENATE("Cash Reserve (",E1," column)")</f>
        <v>Cash Reserve (2025 column)</v>
      </c>
      <c r="C37" s="166"/>
      <c r="D37" s="166"/>
      <c r="E37" s="166"/>
    </row>
    <row r="38" spans="2:5" ht="15.75" x14ac:dyDescent="0.2">
      <c r="B38" s="180" t="s">
        <v>9</v>
      </c>
      <c r="C38" s="166"/>
      <c r="D38" s="160"/>
      <c r="E38" s="160"/>
    </row>
    <row r="39" spans="2:5" ht="15.75" x14ac:dyDescent="0.2">
      <c r="B39" s="180" t="s">
        <v>371</v>
      </c>
      <c r="C39" s="202" t="str">
        <f>IF(C40*0.1&lt;C38,"Exceed 10% Rule","")</f>
        <v/>
      </c>
      <c r="D39" s="169" t="str">
        <f>IF(D40*0.1&lt;D38,"Exceed 10% Rule","")</f>
        <v/>
      </c>
      <c r="E39" s="169" t="str">
        <f>IF(E40*0.1&lt;E38,"Exceed 10% Rule","")</f>
        <v/>
      </c>
    </row>
    <row r="40" spans="2:5" ht="15.75" x14ac:dyDescent="0.2">
      <c r="B40" s="170" t="s">
        <v>75</v>
      </c>
      <c r="C40" s="173">
        <f>SUM(C20:C38)</f>
        <v>0</v>
      </c>
      <c r="D40" s="173">
        <f>SUM(D20:D38)</f>
        <v>0</v>
      </c>
      <c r="E40" s="173">
        <f>SUM(E20:E38)</f>
        <v>0</v>
      </c>
    </row>
    <row r="41" spans="2:5" ht="15.75" x14ac:dyDescent="0.2">
      <c r="B41" s="87" t="s">
        <v>141</v>
      </c>
      <c r="C41" s="42">
        <f>C18-C40</f>
        <v>0</v>
      </c>
      <c r="D41" s="42">
        <f>D18-D40</f>
        <v>0</v>
      </c>
      <c r="E41" s="42">
        <f>E18-E40</f>
        <v>0</v>
      </c>
    </row>
    <row r="42" spans="2:5" ht="15.75" x14ac:dyDescent="0.2">
      <c r="B42" s="102" t="str">
        <f>CONCATENATE("",E1-2,"/",E1-1,"/",E1," Budget Authority Amount:")</f>
        <v>2023/2024/2025 Budget Authority Amount:</v>
      </c>
      <c r="C42" s="584">
        <f>inputOth!B97</f>
        <v>0</v>
      </c>
      <c r="D42" s="584">
        <f>inputPrYr!D55</f>
        <v>0</v>
      </c>
      <c r="E42" s="613">
        <f>E40</f>
        <v>0</v>
      </c>
    </row>
    <row r="43" spans="2:5" ht="15.75" x14ac:dyDescent="0.2">
      <c r="B43" s="73"/>
      <c r="C43" s="182" t="str">
        <f>IF(C40&gt;C42,"See Tab A","")</f>
        <v/>
      </c>
      <c r="D43" s="182" t="str">
        <f>IF(D40&gt;D42,"See Tab C","")</f>
        <v/>
      </c>
      <c r="E43" s="614" t="str">
        <f>IF(E41&lt;0,"See Tab E","")</f>
        <v/>
      </c>
    </row>
    <row r="44" spans="2:5" ht="15.75" x14ac:dyDescent="0.2">
      <c r="B44" s="704" t="s">
        <v>529</v>
      </c>
      <c r="C44" s="691" t="str">
        <f>IF(C41&lt;0,"See Tab B","")</f>
        <v/>
      </c>
      <c r="D44" s="691" t="str">
        <f>IF(D41&lt;0,"See Tab D","")</f>
        <v/>
      </c>
      <c r="E44" s="692"/>
    </row>
    <row r="45" spans="2:5" x14ac:dyDescent="0.2">
      <c r="B45" s="693"/>
      <c r="C45" s="32"/>
      <c r="D45" s="32"/>
      <c r="E45" s="694"/>
    </row>
    <row r="46" spans="2:5" x14ac:dyDescent="0.2">
      <c r="B46" s="695"/>
      <c r="C46" s="63"/>
      <c r="D46" s="63"/>
      <c r="E46" s="66"/>
    </row>
    <row r="47" spans="2:5" x14ac:dyDescent="0.2">
      <c r="B47" s="32"/>
      <c r="C47" s="32"/>
      <c r="D47" s="32"/>
      <c r="E47" s="32"/>
    </row>
    <row r="48" spans="2:5" ht="15.75" x14ac:dyDescent="0.2">
      <c r="B48" s="101" t="s">
        <v>78</v>
      </c>
      <c r="C48" s="186"/>
      <c r="D48" s="32"/>
      <c r="E48" s="32"/>
    </row>
  </sheetData>
  <sheetProtection sheet="1"/>
  <phoneticPr fontId="8" type="noConversion"/>
  <conditionalFormatting sqref="C15">
    <cfRule type="cellIs" dxfId="31" priority="6" stopIfTrue="1" operator="greaterThan">
      <formula>$C$17*0.1</formula>
    </cfRule>
  </conditionalFormatting>
  <conditionalFormatting sqref="C38">
    <cfRule type="cellIs" dxfId="30" priority="7" stopIfTrue="1" operator="greaterThan">
      <formula>$C$40*0.1</formula>
    </cfRule>
  </conditionalFormatting>
  <conditionalFormatting sqref="C40">
    <cfRule type="cellIs" dxfId="29" priority="9" stopIfTrue="1" operator="greaterThan">
      <formula>$C$42</formula>
    </cfRule>
  </conditionalFormatting>
  <conditionalFormatting sqref="C41 E41">
    <cfRule type="cellIs" dxfId="28" priority="10" stopIfTrue="1" operator="lessThan">
      <formula>0</formula>
    </cfRule>
  </conditionalFormatting>
  <conditionalFormatting sqref="D15">
    <cfRule type="cellIs" dxfId="27" priority="4" stopIfTrue="1" operator="greaterThan">
      <formula>$D$17*0.1</formula>
    </cfRule>
  </conditionalFormatting>
  <conditionalFormatting sqref="D38">
    <cfRule type="cellIs" dxfId="26" priority="5" stopIfTrue="1" operator="greaterThan">
      <formula>$D$40*0.1</formula>
    </cfRule>
  </conditionalFormatting>
  <conditionalFormatting sqref="D40">
    <cfRule type="cellIs" dxfId="25" priority="8" stopIfTrue="1" operator="greaterThan">
      <formula>$D$42</formula>
    </cfRule>
  </conditionalFormatting>
  <conditionalFormatting sqref="D41">
    <cfRule type="cellIs" dxfId="24" priority="1" stopIfTrue="1" operator="lessThan">
      <formula>0</formula>
    </cfRule>
  </conditionalFormatting>
  <conditionalFormatting sqref="E15">
    <cfRule type="cellIs" dxfId="23" priority="2" stopIfTrue="1" operator="greaterThan">
      <formula>$E$17*0.1</formula>
    </cfRule>
  </conditionalFormatting>
  <conditionalFormatting sqref="E38">
    <cfRule type="cellIs" dxfId="22" priority="3" stopIfTrue="1" operator="greaterThan">
      <formula>$E$40*0.1</formula>
    </cfRule>
  </conditionalFormatting>
  <pageMargins left="0.75" right="0.75" top="1" bottom="1" header="0.5" footer="0.5"/>
  <pageSetup scale="87" orientation="portrait" blackAndWhite="1"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00B0F0"/>
    <pageSetUpPr fitToPage="1"/>
  </sheetPr>
  <dimension ref="B1:E52"/>
  <sheetViews>
    <sheetView workbookViewId="0">
      <selection activeCell="B20" sqref="B20"/>
    </sheetView>
  </sheetViews>
  <sheetFormatPr defaultColWidth="8.88671875" defaultRowHeight="15" x14ac:dyDescent="0.2"/>
  <cols>
    <col min="1" max="1" width="2.44140625" style="56" customWidth="1"/>
    <col min="2" max="2" width="31.109375" style="56" customWidth="1"/>
    <col min="3" max="4" width="15.77734375" style="56" customWidth="1"/>
    <col min="5" max="5" width="16.44140625" style="56" customWidth="1"/>
    <col min="6" max="16384" width="8.88671875" style="56"/>
  </cols>
  <sheetData>
    <row r="1" spans="2:5" ht="15.75" x14ac:dyDescent="0.2">
      <c r="B1" s="39">
        <f>(inputPrYr!D3)</f>
        <v>0</v>
      </c>
      <c r="C1" s="20"/>
      <c r="D1" s="20"/>
      <c r="E1" s="126">
        <f>inputPrYr!$C$6</f>
        <v>2025</v>
      </c>
    </row>
    <row r="2" spans="2:5" ht="15.75" x14ac:dyDescent="0.2">
      <c r="B2" s="20"/>
      <c r="C2" s="20"/>
      <c r="D2" s="20"/>
      <c r="E2" s="101"/>
    </row>
    <row r="3" spans="2:5" ht="15.75" x14ac:dyDescent="0.2">
      <c r="B3" s="154" t="s">
        <v>126</v>
      </c>
      <c r="C3" s="199"/>
      <c r="D3" s="199"/>
      <c r="E3" s="200"/>
    </row>
    <row r="4" spans="2:5" ht="15.75" x14ac:dyDescent="0.2">
      <c r="B4" s="21" t="s">
        <v>59</v>
      </c>
      <c r="C4" s="292" t="s">
        <v>377</v>
      </c>
      <c r="D4" s="291" t="s">
        <v>378</v>
      </c>
      <c r="E4" s="271" t="s">
        <v>379</v>
      </c>
    </row>
    <row r="5" spans="2:5" ht="15.75" x14ac:dyDescent="0.2">
      <c r="B5" s="357">
        <f>(inputPrYr!B56)</f>
        <v>0</v>
      </c>
      <c r="C5" s="293" t="str">
        <f>CONCATENATE("Actual for ",E1-2,"")</f>
        <v>Actual for 2023</v>
      </c>
      <c r="D5" s="293" t="str">
        <f>CONCATENATE("Estimate for ",E1-1,"")</f>
        <v>Estimate for 2024</v>
      </c>
      <c r="E5" s="279" t="str">
        <f>CONCATENATE("Year for ",E1,"")</f>
        <v>Year for 2025</v>
      </c>
    </row>
    <row r="6" spans="2:5" ht="15.75" x14ac:dyDescent="0.2">
      <c r="B6" s="87" t="s">
        <v>140</v>
      </c>
      <c r="C6" s="163"/>
      <c r="D6" s="161">
        <f>C45</f>
        <v>0</v>
      </c>
      <c r="E6" s="134">
        <f>D45</f>
        <v>0</v>
      </c>
    </row>
    <row r="7" spans="2:5" ht="15.75" x14ac:dyDescent="0.2">
      <c r="B7" s="188" t="s">
        <v>142</v>
      </c>
      <c r="C7" s="96"/>
      <c r="D7" s="96"/>
      <c r="E7" s="44"/>
    </row>
    <row r="8" spans="2:5" ht="15.75" x14ac:dyDescent="0.2">
      <c r="B8" s="179"/>
      <c r="C8" s="163"/>
      <c r="D8" s="163"/>
      <c r="E8" s="166"/>
    </row>
    <row r="9" spans="2:5" ht="15.75" x14ac:dyDescent="0.2">
      <c r="B9" s="179"/>
      <c r="C9" s="163"/>
      <c r="D9" s="163"/>
      <c r="E9" s="166"/>
    </row>
    <row r="10" spans="2:5" ht="15.75" x14ac:dyDescent="0.2">
      <c r="B10" s="179"/>
      <c r="C10" s="163"/>
      <c r="D10" s="163"/>
      <c r="E10" s="166"/>
    </row>
    <row r="11" spans="2:5" ht="15.75" x14ac:dyDescent="0.2">
      <c r="B11" s="179"/>
      <c r="C11" s="163"/>
      <c r="D11" s="163"/>
      <c r="E11" s="166"/>
    </row>
    <row r="12" spans="2:5" ht="15.75" x14ac:dyDescent="0.2">
      <c r="B12" s="179"/>
      <c r="C12" s="163"/>
      <c r="D12" s="163"/>
      <c r="E12" s="166"/>
    </row>
    <row r="13" spans="2:5" ht="15.75" x14ac:dyDescent="0.2">
      <c r="B13" s="194"/>
      <c r="C13" s="163"/>
      <c r="D13" s="163"/>
      <c r="E13" s="58"/>
    </row>
    <row r="14" spans="2:5" ht="15.75" x14ac:dyDescent="0.2">
      <c r="B14" s="179"/>
      <c r="C14" s="163"/>
      <c r="D14" s="163"/>
      <c r="E14" s="166"/>
    </row>
    <row r="15" spans="2:5" ht="15.75" x14ac:dyDescent="0.2">
      <c r="B15" s="201" t="s">
        <v>67</v>
      </c>
      <c r="C15" s="163"/>
      <c r="D15" s="163"/>
      <c r="E15" s="166"/>
    </row>
    <row r="16" spans="2:5" ht="15.75" x14ac:dyDescent="0.2">
      <c r="B16" s="96" t="s">
        <v>9</v>
      </c>
      <c r="C16" s="163"/>
      <c r="D16" s="163"/>
      <c r="E16" s="166"/>
    </row>
    <row r="17" spans="2:5" ht="15.75" x14ac:dyDescent="0.2">
      <c r="B17" s="158" t="s">
        <v>370</v>
      </c>
      <c r="C17" s="168" t="str">
        <f>IF(C18*0.1&lt;C16,"Exceed 10% Rule","")</f>
        <v/>
      </c>
      <c r="D17" s="168" t="str">
        <f>IF(D18*0.1&lt;D16,"Exceed 10% Rule","")</f>
        <v/>
      </c>
      <c r="E17" s="202" t="str">
        <f>IF(E18*0.1&lt;E16,"Exceed 10% Rule","")</f>
        <v/>
      </c>
    </row>
    <row r="18" spans="2:5" ht="15.75" x14ac:dyDescent="0.2">
      <c r="B18" s="170" t="s">
        <v>68</v>
      </c>
      <c r="C18" s="172">
        <f>SUM(C8:C16)</f>
        <v>0</v>
      </c>
      <c r="D18" s="172">
        <f>SUM(D8:D16)</f>
        <v>0</v>
      </c>
      <c r="E18" s="173">
        <f>SUM(E8:E16)</f>
        <v>0</v>
      </c>
    </row>
    <row r="19" spans="2:5" ht="15.75" x14ac:dyDescent="0.2">
      <c r="B19" s="170" t="s">
        <v>69</v>
      </c>
      <c r="C19" s="172">
        <f>C6+C18</f>
        <v>0</v>
      </c>
      <c r="D19" s="172">
        <f>D6+D18</f>
        <v>0</v>
      </c>
      <c r="E19" s="173">
        <f>E6+E18</f>
        <v>0</v>
      </c>
    </row>
    <row r="20" spans="2:5" ht="15.75" x14ac:dyDescent="0.2">
      <c r="B20" s="87" t="s">
        <v>71</v>
      </c>
      <c r="C20" s="96"/>
      <c r="D20" s="96"/>
      <c r="E20" s="44"/>
    </row>
    <row r="21" spans="2:5" ht="15.75" x14ac:dyDescent="0.2">
      <c r="B21" s="179" t="s">
        <v>175</v>
      </c>
      <c r="C21" s="163"/>
      <c r="D21" s="163"/>
      <c r="E21" s="166"/>
    </row>
    <row r="22" spans="2:5" ht="15.75" x14ac:dyDescent="0.2">
      <c r="B22" s="179" t="s">
        <v>11</v>
      </c>
      <c r="C22" s="163"/>
      <c r="D22" s="163"/>
      <c r="E22" s="166"/>
    </row>
    <row r="23" spans="2:5" ht="15.75" x14ac:dyDescent="0.2">
      <c r="B23" s="179"/>
      <c r="C23" s="163"/>
      <c r="D23" s="163"/>
      <c r="E23" s="58"/>
    </row>
    <row r="24" spans="2:5" ht="15.75" x14ac:dyDescent="0.2">
      <c r="B24" s="179"/>
      <c r="C24" s="163"/>
      <c r="D24" s="163"/>
      <c r="E24" s="58"/>
    </row>
    <row r="25" spans="2:5" ht="15.75" x14ac:dyDescent="0.2">
      <c r="B25" s="179"/>
      <c r="C25" s="163"/>
      <c r="D25" s="163"/>
      <c r="E25" s="58"/>
    </row>
    <row r="26" spans="2:5" ht="15.75" x14ac:dyDescent="0.2">
      <c r="B26" s="179"/>
      <c r="C26" s="163"/>
      <c r="D26" s="163"/>
      <c r="E26" s="58"/>
    </row>
    <row r="27" spans="2:5" ht="15.75" x14ac:dyDescent="0.2">
      <c r="B27" s="179"/>
      <c r="C27" s="163"/>
      <c r="D27" s="163"/>
      <c r="E27" s="58"/>
    </row>
    <row r="28" spans="2:5" ht="15.75" x14ac:dyDescent="0.2">
      <c r="B28" s="179"/>
      <c r="C28" s="163"/>
      <c r="D28" s="163"/>
      <c r="E28" s="58"/>
    </row>
    <row r="29" spans="2:5" ht="15.75" x14ac:dyDescent="0.2">
      <c r="B29" s="179"/>
      <c r="C29" s="163"/>
      <c r="D29" s="163"/>
      <c r="E29" s="58"/>
    </row>
    <row r="30" spans="2:5" ht="15.75" x14ac:dyDescent="0.2">
      <c r="B30" s="179"/>
      <c r="C30" s="163"/>
      <c r="D30" s="163"/>
      <c r="E30" s="58"/>
    </row>
    <row r="31" spans="2:5" ht="15.75" x14ac:dyDescent="0.2">
      <c r="B31" s="179"/>
      <c r="C31" s="163"/>
      <c r="D31" s="163"/>
      <c r="E31" s="58"/>
    </row>
    <row r="32" spans="2:5" ht="15.75" x14ac:dyDescent="0.2">
      <c r="B32" s="179"/>
      <c r="C32" s="163"/>
      <c r="D32" s="163"/>
      <c r="E32" s="166"/>
    </row>
    <row r="33" spans="2:5" ht="15.75" x14ac:dyDescent="0.2">
      <c r="B33" s="179"/>
      <c r="C33" s="163"/>
      <c r="D33" s="163"/>
      <c r="E33" s="166"/>
    </row>
    <row r="34" spans="2:5" ht="15.75" x14ac:dyDescent="0.2">
      <c r="B34" s="179"/>
      <c r="C34" s="163"/>
      <c r="D34" s="163"/>
      <c r="E34" s="166"/>
    </row>
    <row r="35" spans="2:5" ht="15.75" x14ac:dyDescent="0.2">
      <c r="B35" s="179"/>
      <c r="C35" s="163"/>
      <c r="D35" s="163"/>
      <c r="E35" s="166"/>
    </row>
    <row r="36" spans="2:5" ht="15.75" x14ac:dyDescent="0.2">
      <c r="B36" s="179"/>
      <c r="C36" s="163"/>
      <c r="D36" s="163"/>
      <c r="E36" s="166"/>
    </row>
    <row r="37" spans="2:5" ht="15.75" x14ac:dyDescent="0.2">
      <c r="B37" s="179"/>
      <c r="C37" s="163"/>
      <c r="D37" s="163"/>
      <c r="E37" s="166"/>
    </row>
    <row r="38" spans="2:5" ht="15.75" x14ac:dyDescent="0.2">
      <c r="B38" s="179"/>
      <c r="C38" s="163"/>
      <c r="D38" s="163"/>
      <c r="E38" s="166"/>
    </row>
    <row r="39" spans="2:5" ht="15.75" x14ac:dyDescent="0.2">
      <c r="B39" s="179"/>
      <c r="C39" s="163"/>
      <c r="D39" s="163"/>
      <c r="E39" s="166"/>
    </row>
    <row r="40" spans="2:5" ht="15.75" x14ac:dyDescent="0.2">
      <c r="B40" s="179"/>
      <c r="C40" s="163"/>
      <c r="D40" s="163"/>
      <c r="E40" s="166"/>
    </row>
    <row r="41" spans="2:5" ht="15.75" x14ac:dyDescent="0.2">
      <c r="B41" s="180" t="str">
        <f>CONCATENATE("Cash Reserve (",E1," column)")</f>
        <v>Cash Reserve (2025 column)</v>
      </c>
      <c r="C41" s="163"/>
      <c r="D41" s="163"/>
      <c r="E41" s="166"/>
    </row>
    <row r="42" spans="2:5" ht="15.75" x14ac:dyDescent="0.2">
      <c r="B42" s="180" t="s">
        <v>9</v>
      </c>
      <c r="C42" s="163"/>
      <c r="D42" s="163"/>
      <c r="E42" s="166"/>
    </row>
    <row r="43" spans="2:5" ht="15.75" x14ac:dyDescent="0.2">
      <c r="B43" s="180" t="s">
        <v>371</v>
      </c>
      <c r="C43" s="168" t="str">
        <f>IF(C44*0.1&lt;C42,"Exceed 10% Rule","")</f>
        <v/>
      </c>
      <c r="D43" s="168" t="str">
        <f>IF(D44*0.1&lt;D42,"Exceed 10% Rule","")</f>
        <v/>
      </c>
      <c r="E43" s="202" t="str">
        <f>IF(E44*0.1&lt;E42,"Exceed 10% Rule","")</f>
        <v/>
      </c>
    </row>
    <row r="44" spans="2:5" ht="15.75" x14ac:dyDescent="0.2">
      <c r="B44" s="170" t="s">
        <v>75</v>
      </c>
      <c r="C44" s="172">
        <f>SUM(C21:C42)</f>
        <v>0</v>
      </c>
      <c r="D44" s="172">
        <f>SUM(D21:D42)</f>
        <v>0</v>
      </c>
      <c r="E44" s="173">
        <f>SUM(E21:E42)</f>
        <v>0</v>
      </c>
    </row>
    <row r="45" spans="2:5" ht="15.75" x14ac:dyDescent="0.2">
      <c r="B45" s="87" t="s">
        <v>141</v>
      </c>
      <c r="C45" s="176">
        <f>C19-C44</f>
        <v>0</v>
      </c>
      <c r="D45" s="176">
        <f>D19-D44</f>
        <v>0</v>
      </c>
      <c r="E45" s="42">
        <f>E19-E44</f>
        <v>0</v>
      </c>
    </row>
    <row r="46" spans="2:5" ht="15.75" x14ac:dyDescent="0.2">
      <c r="B46" s="102" t="str">
        <f>CONCATENATE("",E1-2,"/",E1-1,"/",E1," Budget Authority Amount:")</f>
        <v>2023/2024/2025 Budget Authority Amount:</v>
      </c>
      <c r="C46" s="584">
        <f>inputOth!B98</f>
        <v>0</v>
      </c>
      <c r="D46" s="584">
        <f>inputPrYr!D56</f>
        <v>0</v>
      </c>
      <c r="E46" s="613">
        <f>E44</f>
        <v>0</v>
      </c>
    </row>
    <row r="47" spans="2:5" ht="15.75" x14ac:dyDescent="0.2">
      <c r="B47" s="73"/>
      <c r="C47" s="182" t="str">
        <f>IF(C44&gt;C46,"See Tab A","")</f>
        <v/>
      </c>
      <c r="D47" s="182" t="str">
        <f>IF(D44&gt;D46,"See Tab C","")</f>
        <v/>
      </c>
      <c r="E47" s="614" t="str">
        <f>IF(E45&lt;0,"See Tab E","")</f>
        <v/>
      </c>
    </row>
    <row r="48" spans="2:5" ht="15.75" x14ac:dyDescent="0.2">
      <c r="B48" s="704" t="s">
        <v>529</v>
      </c>
      <c r="C48" s="691" t="str">
        <f>IF(C45&lt;0,"See Tab B","")</f>
        <v/>
      </c>
      <c r="D48" s="691" t="str">
        <f>IF(D45&lt;0,"See Tab D","")</f>
        <v/>
      </c>
      <c r="E48" s="692"/>
    </row>
    <row r="49" spans="2:5" x14ac:dyDescent="0.2">
      <c r="B49" s="693"/>
      <c r="C49" s="32"/>
      <c r="D49" s="32"/>
      <c r="E49" s="694"/>
    </row>
    <row r="50" spans="2:5" x14ac:dyDescent="0.2">
      <c r="B50" s="695"/>
      <c r="C50" s="63"/>
      <c r="D50" s="63"/>
      <c r="E50" s="66"/>
    </row>
    <row r="51" spans="2:5" x14ac:dyDescent="0.2">
      <c r="B51" s="32"/>
      <c r="C51" s="32"/>
      <c r="D51" s="32"/>
      <c r="E51" s="32"/>
    </row>
    <row r="52" spans="2:5" ht="15.75" x14ac:dyDescent="0.2">
      <c r="B52" s="101" t="s">
        <v>78</v>
      </c>
      <c r="C52" s="186"/>
      <c r="D52" s="32"/>
      <c r="E52" s="32"/>
    </row>
  </sheetData>
  <sheetProtection sheet="1"/>
  <phoneticPr fontId="8" type="noConversion"/>
  <conditionalFormatting sqref="C16">
    <cfRule type="cellIs" dxfId="21" priority="1" stopIfTrue="1" operator="greaterThan">
      <formula>$C$18*0.1</formula>
    </cfRule>
  </conditionalFormatting>
  <conditionalFormatting sqref="C42">
    <cfRule type="cellIs" dxfId="20" priority="6" stopIfTrue="1" operator="greaterThan">
      <formula>$C$44*0.1</formula>
    </cfRule>
  </conditionalFormatting>
  <conditionalFormatting sqref="C44">
    <cfRule type="cellIs" dxfId="19" priority="9" stopIfTrue="1" operator="greaterThan">
      <formula>$C$46</formula>
    </cfRule>
  </conditionalFormatting>
  <conditionalFormatting sqref="C45 E45">
    <cfRule type="cellIs" dxfId="18" priority="10" stopIfTrue="1" operator="lessThan">
      <formula>0</formula>
    </cfRule>
  </conditionalFormatting>
  <conditionalFormatting sqref="D16">
    <cfRule type="cellIs" dxfId="17" priority="2" stopIfTrue="1" operator="greaterThan">
      <formula>$D$18*0.1</formula>
    </cfRule>
  </conditionalFormatting>
  <conditionalFormatting sqref="D42">
    <cfRule type="cellIs" dxfId="16" priority="7" stopIfTrue="1" operator="greaterThan">
      <formula>$D$44*0.1</formula>
    </cfRule>
  </conditionalFormatting>
  <conditionalFormatting sqref="D44">
    <cfRule type="cellIs" dxfId="15" priority="8" stopIfTrue="1" operator="greaterThan">
      <formula>$D$46</formula>
    </cfRule>
  </conditionalFormatting>
  <conditionalFormatting sqref="D45">
    <cfRule type="cellIs" dxfId="14" priority="3" stopIfTrue="1" operator="lessThan">
      <formula>0</formula>
    </cfRule>
  </conditionalFormatting>
  <conditionalFormatting sqref="E16">
    <cfRule type="cellIs" dxfId="13" priority="4" stopIfTrue="1" operator="greaterThan">
      <formula>$E$18*0.1</formula>
    </cfRule>
  </conditionalFormatting>
  <conditionalFormatting sqref="E42">
    <cfRule type="cellIs" dxfId="12" priority="5" stopIfTrue="1" operator="greaterThan">
      <formula>$E$44*0.1</formula>
    </cfRule>
  </conditionalFormatting>
  <pageMargins left="0.75" right="0.75" top="1" bottom="1" header="0.5" footer="0.5"/>
  <pageSetup scale="80" orientation="portrait" blackAndWhite="1"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00B0F0"/>
    <pageSetUpPr fitToPage="1"/>
  </sheetPr>
  <dimension ref="B1:E53"/>
  <sheetViews>
    <sheetView workbookViewId="0">
      <selection activeCell="B20" sqref="B20"/>
    </sheetView>
  </sheetViews>
  <sheetFormatPr defaultColWidth="8.88671875" defaultRowHeight="15" x14ac:dyDescent="0.2"/>
  <cols>
    <col min="1" max="1" width="2.44140625" style="56" customWidth="1"/>
    <col min="2" max="2" width="31.109375" style="56" customWidth="1"/>
    <col min="3" max="4" width="15.77734375" style="56" customWidth="1"/>
    <col min="5" max="5" width="16.5546875" style="56" customWidth="1"/>
    <col min="6" max="16384" width="8.88671875" style="56"/>
  </cols>
  <sheetData>
    <row r="1" spans="2:5" ht="15.75" x14ac:dyDescent="0.2">
      <c r="B1" s="39">
        <f>(inputPrYr!D3)</f>
        <v>0</v>
      </c>
      <c r="C1" s="20"/>
      <c r="D1" s="20"/>
      <c r="E1" s="126">
        <f>inputPrYr!$C$6</f>
        <v>2025</v>
      </c>
    </row>
    <row r="2" spans="2:5" ht="15.75" x14ac:dyDescent="0.2">
      <c r="B2" s="20"/>
      <c r="C2" s="20"/>
      <c r="D2" s="20"/>
      <c r="E2" s="101"/>
    </row>
    <row r="3" spans="2:5" ht="15.75" x14ac:dyDescent="0.2">
      <c r="B3" s="154" t="s">
        <v>126</v>
      </c>
      <c r="C3" s="199"/>
      <c r="D3" s="199"/>
      <c r="E3" s="200"/>
    </row>
    <row r="4" spans="2:5" ht="15.75" x14ac:dyDescent="0.2">
      <c r="B4" s="21" t="s">
        <v>59</v>
      </c>
      <c r="C4" s="292" t="s">
        <v>377</v>
      </c>
      <c r="D4" s="291" t="s">
        <v>378</v>
      </c>
      <c r="E4" s="271" t="s">
        <v>379</v>
      </c>
    </row>
    <row r="5" spans="2:5" ht="15.75" x14ac:dyDescent="0.2">
      <c r="B5" s="357">
        <f>(inputPrYr!B57)</f>
        <v>0</v>
      </c>
      <c r="C5" s="293" t="str">
        <f>CONCATENATE("Actual for ",E1-2,"")</f>
        <v>Actual for 2023</v>
      </c>
      <c r="D5" s="293" t="str">
        <f>CONCATENATE("Estimate for ",E1-1,"")</f>
        <v>Estimate for 2024</v>
      </c>
      <c r="E5" s="279" t="str">
        <f>CONCATENATE("Year for ",E1,"")</f>
        <v>Year for 2025</v>
      </c>
    </row>
    <row r="6" spans="2:5" ht="15.75" x14ac:dyDescent="0.2">
      <c r="B6" s="87" t="s">
        <v>140</v>
      </c>
      <c r="C6" s="163"/>
      <c r="D6" s="161">
        <f>C45</f>
        <v>0</v>
      </c>
      <c r="E6" s="134">
        <f>D45</f>
        <v>0</v>
      </c>
    </row>
    <row r="7" spans="2:5" ht="15.75" x14ac:dyDescent="0.2">
      <c r="B7" s="188" t="s">
        <v>142</v>
      </c>
      <c r="C7" s="96"/>
      <c r="D7" s="96"/>
      <c r="E7" s="44"/>
    </row>
    <row r="8" spans="2:5" ht="15.75" x14ac:dyDescent="0.2">
      <c r="B8" s="179"/>
      <c r="C8" s="163"/>
      <c r="D8" s="163"/>
      <c r="E8" s="166"/>
    </row>
    <row r="9" spans="2:5" ht="15.75" x14ac:dyDescent="0.2">
      <c r="B9" s="179"/>
      <c r="C9" s="163"/>
      <c r="D9" s="163"/>
      <c r="E9" s="166"/>
    </row>
    <row r="10" spans="2:5" ht="15.75" x14ac:dyDescent="0.2">
      <c r="B10" s="179"/>
      <c r="C10" s="163"/>
      <c r="D10" s="163"/>
      <c r="E10" s="166"/>
    </row>
    <row r="11" spans="2:5" ht="15.75" x14ac:dyDescent="0.2">
      <c r="B11" s="179"/>
      <c r="C11" s="163"/>
      <c r="D11" s="163"/>
      <c r="E11" s="166"/>
    </row>
    <row r="12" spans="2:5" ht="15.75" x14ac:dyDescent="0.2">
      <c r="B12" s="179"/>
      <c r="C12" s="163"/>
      <c r="D12" s="163"/>
      <c r="E12" s="166"/>
    </row>
    <row r="13" spans="2:5" ht="15.75" x14ac:dyDescent="0.2">
      <c r="B13" s="194"/>
      <c r="C13" s="163"/>
      <c r="D13" s="163"/>
      <c r="E13" s="58"/>
    </row>
    <row r="14" spans="2:5" ht="15.75" x14ac:dyDescent="0.2">
      <c r="B14" s="179"/>
      <c r="C14" s="163"/>
      <c r="D14" s="163"/>
      <c r="E14" s="166"/>
    </row>
    <row r="15" spans="2:5" ht="15.75" x14ac:dyDescent="0.2">
      <c r="B15" s="201" t="s">
        <v>67</v>
      </c>
      <c r="C15" s="163"/>
      <c r="D15" s="163"/>
      <c r="E15" s="166"/>
    </row>
    <row r="16" spans="2:5" ht="15.75" x14ac:dyDescent="0.2">
      <c r="B16" s="96" t="s">
        <v>9</v>
      </c>
      <c r="C16" s="163"/>
      <c r="D16" s="163"/>
      <c r="E16" s="166"/>
    </row>
    <row r="17" spans="2:5" ht="15.75" x14ac:dyDescent="0.2">
      <c r="B17" s="158" t="s">
        <v>370</v>
      </c>
      <c r="C17" s="168" t="str">
        <f>IF(C18*0.1&lt;C16,"Exceed 10% Rule","")</f>
        <v/>
      </c>
      <c r="D17" s="168" t="str">
        <f>IF(D18*0.1&lt;D16,"Exceed 10% Rule","")</f>
        <v/>
      </c>
      <c r="E17" s="202" t="str">
        <f>IF(E18*0.1&lt;E16,"Exceed 10% Rule","")</f>
        <v/>
      </c>
    </row>
    <row r="18" spans="2:5" ht="15.75" x14ac:dyDescent="0.2">
      <c r="B18" s="170" t="s">
        <v>68</v>
      </c>
      <c r="C18" s="172">
        <f>SUM(C8:C16)</f>
        <v>0</v>
      </c>
      <c r="D18" s="172">
        <f>SUM(D8:D16)</f>
        <v>0</v>
      </c>
      <c r="E18" s="173">
        <f>SUM(E8:E16)</f>
        <v>0</v>
      </c>
    </row>
    <row r="19" spans="2:5" ht="15.75" x14ac:dyDescent="0.2">
      <c r="B19" s="170" t="s">
        <v>69</v>
      </c>
      <c r="C19" s="172">
        <f>C6+C18</f>
        <v>0</v>
      </c>
      <c r="D19" s="172">
        <f>D6+D18</f>
        <v>0</v>
      </c>
      <c r="E19" s="173">
        <f>E6+E18</f>
        <v>0</v>
      </c>
    </row>
    <row r="20" spans="2:5" ht="15.75" x14ac:dyDescent="0.2">
      <c r="B20" s="87" t="s">
        <v>71</v>
      </c>
      <c r="C20" s="96"/>
      <c r="D20" s="96"/>
      <c r="E20" s="44"/>
    </row>
    <row r="21" spans="2:5" ht="15.75" x14ac:dyDescent="0.2">
      <c r="B21" s="179" t="s">
        <v>175</v>
      </c>
      <c r="C21" s="163"/>
      <c r="D21" s="163"/>
      <c r="E21" s="166"/>
    </row>
    <row r="22" spans="2:5" ht="15.75" x14ac:dyDescent="0.2">
      <c r="B22" s="179" t="s">
        <v>12</v>
      </c>
      <c r="C22" s="163"/>
      <c r="D22" s="163"/>
      <c r="E22" s="166"/>
    </row>
    <row r="23" spans="2:5" ht="15.75" x14ac:dyDescent="0.2">
      <c r="B23" s="179"/>
      <c r="C23" s="163"/>
      <c r="D23" s="163"/>
      <c r="E23" s="58"/>
    </row>
    <row r="24" spans="2:5" ht="15.75" x14ac:dyDescent="0.2">
      <c r="B24" s="179"/>
      <c r="C24" s="163"/>
      <c r="D24" s="163"/>
      <c r="E24" s="58"/>
    </row>
    <row r="25" spans="2:5" ht="15.75" x14ac:dyDescent="0.2">
      <c r="B25" s="179"/>
      <c r="C25" s="163"/>
      <c r="D25" s="163"/>
      <c r="E25" s="58"/>
    </row>
    <row r="26" spans="2:5" ht="15.75" x14ac:dyDescent="0.2">
      <c r="B26" s="179"/>
      <c r="C26" s="163"/>
      <c r="D26" s="163"/>
      <c r="E26" s="58"/>
    </row>
    <row r="27" spans="2:5" ht="15.75" x14ac:dyDescent="0.2">
      <c r="B27" s="179"/>
      <c r="C27" s="163"/>
      <c r="D27" s="163"/>
      <c r="E27" s="58"/>
    </row>
    <row r="28" spans="2:5" ht="15.75" x14ac:dyDescent="0.2">
      <c r="B28" s="179"/>
      <c r="C28" s="163"/>
      <c r="D28" s="163"/>
      <c r="E28" s="58"/>
    </row>
    <row r="29" spans="2:5" ht="15.75" x14ac:dyDescent="0.2">
      <c r="B29" s="179"/>
      <c r="C29" s="163"/>
      <c r="D29" s="163"/>
      <c r="E29" s="58"/>
    </row>
    <row r="30" spans="2:5" ht="15.75" x14ac:dyDescent="0.2">
      <c r="B30" s="179"/>
      <c r="C30" s="163"/>
      <c r="D30" s="163"/>
      <c r="E30" s="58"/>
    </row>
    <row r="31" spans="2:5" ht="15.75" x14ac:dyDescent="0.2">
      <c r="B31" s="179"/>
      <c r="C31" s="163"/>
      <c r="D31" s="163"/>
      <c r="E31" s="58"/>
    </row>
    <row r="32" spans="2:5" ht="15.75" x14ac:dyDescent="0.2">
      <c r="B32" s="179"/>
      <c r="C32" s="163"/>
      <c r="D32" s="163"/>
      <c r="E32" s="166"/>
    </row>
    <row r="33" spans="2:5" ht="15.75" x14ac:dyDescent="0.2">
      <c r="B33" s="179"/>
      <c r="C33" s="163"/>
      <c r="D33" s="163"/>
      <c r="E33" s="166"/>
    </row>
    <row r="34" spans="2:5" ht="15.75" x14ac:dyDescent="0.2">
      <c r="B34" s="179"/>
      <c r="C34" s="163"/>
      <c r="D34" s="163"/>
      <c r="E34" s="166"/>
    </row>
    <row r="35" spans="2:5" ht="15.75" x14ac:dyDescent="0.2">
      <c r="B35" s="179"/>
      <c r="C35" s="163"/>
      <c r="D35" s="163"/>
      <c r="E35" s="166"/>
    </row>
    <row r="36" spans="2:5" ht="15.75" x14ac:dyDescent="0.2">
      <c r="B36" s="179"/>
      <c r="C36" s="163"/>
      <c r="D36" s="163"/>
      <c r="E36" s="166"/>
    </row>
    <row r="37" spans="2:5" ht="15.75" x14ac:dyDescent="0.2">
      <c r="B37" s="179"/>
      <c r="C37" s="163"/>
      <c r="D37" s="163"/>
      <c r="E37" s="166"/>
    </row>
    <row r="38" spans="2:5" ht="15.75" x14ac:dyDescent="0.2">
      <c r="B38" s="179"/>
      <c r="C38" s="163"/>
      <c r="D38" s="163"/>
      <c r="E38" s="166"/>
    </row>
    <row r="39" spans="2:5" ht="15.75" x14ac:dyDescent="0.2">
      <c r="B39" s="179"/>
      <c r="C39" s="163"/>
      <c r="D39" s="163"/>
      <c r="E39" s="166"/>
    </row>
    <row r="40" spans="2:5" ht="15.75" x14ac:dyDescent="0.2">
      <c r="B40" s="179"/>
      <c r="C40" s="163"/>
      <c r="D40" s="163"/>
      <c r="E40" s="166"/>
    </row>
    <row r="41" spans="2:5" ht="15.75" x14ac:dyDescent="0.2">
      <c r="B41" s="180" t="str">
        <f>CONCATENATE("Cash Reserve (",E1," column)")</f>
        <v>Cash Reserve (2025 column)</v>
      </c>
      <c r="C41" s="163"/>
      <c r="D41" s="163"/>
      <c r="E41" s="166"/>
    </row>
    <row r="42" spans="2:5" ht="15.75" x14ac:dyDescent="0.2">
      <c r="B42" s="180" t="s">
        <v>9</v>
      </c>
      <c r="C42" s="163"/>
      <c r="D42" s="163"/>
      <c r="E42" s="166"/>
    </row>
    <row r="43" spans="2:5" ht="15.75" x14ac:dyDescent="0.2">
      <c r="B43" s="180" t="s">
        <v>371</v>
      </c>
      <c r="C43" s="168" t="str">
        <f>IF(C44*0.1&lt;C42,"Exceed 10% Rule","")</f>
        <v/>
      </c>
      <c r="D43" s="168" t="str">
        <f>IF(D44*0.1&lt;D42,"Exceed 10% Rule","")</f>
        <v/>
      </c>
      <c r="E43" s="202" t="str">
        <f>IF(E44*0.1&lt;E42,"Exceed 10% Rule","")</f>
        <v/>
      </c>
    </row>
    <row r="44" spans="2:5" ht="15.75" x14ac:dyDescent="0.2">
      <c r="B44" s="170" t="s">
        <v>75</v>
      </c>
      <c r="C44" s="172">
        <f>SUM(C21:C42)</f>
        <v>0</v>
      </c>
      <c r="D44" s="172">
        <f>SUM(D21:D42)</f>
        <v>0</v>
      </c>
      <c r="E44" s="173">
        <f>SUM(E21:E42)</f>
        <v>0</v>
      </c>
    </row>
    <row r="45" spans="2:5" ht="15.75" x14ac:dyDescent="0.2">
      <c r="B45" s="87" t="s">
        <v>141</v>
      </c>
      <c r="C45" s="176">
        <f>C19-C44</f>
        <v>0</v>
      </c>
      <c r="D45" s="176">
        <f>D19-D44</f>
        <v>0</v>
      </c>
      <c r="E45" s="42">
        <f>E19-E44</f>
        <v>0</v>
      </c>
    </row>
    <row r="46" spans="2:5" ht="15.75" x14ac:dyDescent="0.2">
      <c r="B46" s="102" t="str">
        <f>CONCATENATE("",E1-2,"/",E1-1,"/",E1," Budget Authority Amount:")</f>
        <v>2023/2024/2025 Budget Authority Amount:</v>
      </c>
      <c r="C46" s="584">
        <f>inputOth!B99</f>
        <v>0</v>
      </c>
      <c r="D46" s="584">
        <f>inputPrYr!D57</f>
        <v>0</v>
      </c>
      <c r="E46" s="613">
        <f>E44</f>
        <v>0</v>
      </c>
    </row>
    <row r="47" spans="2:5" ht="15.75" x14ac:dyDescent="0.2">
      <c r="B47" s="73"/>
      <c r="C47" s="182" t="str">
        <f>IF(C44&gt;C46,"See Tab A","")</f>
        <v/>
      </c>
      <c r="D47" s="182" t="str">
        <f>IF(D44&gt;D46,"See Tab C","")</f>
        <v/>
      </c>
      <c r="E47" s="614" t="str">
        <f>IF(E45&lt;0,"See Tab E","")</f>
        <v/>
      </c>
    </row>
    <row r="48" spans="2:5" ht="15.75" x14ac:dyDescent="0.2">
      <c r="B48" s="73"/>
      <c r="C48" s="182" t="str">
        <f>IF(C45&lt;0,"See Tab B","")</f>
        <v/>
      </c>
      <c r="D48" s="182" t="str">
        <f>IF(D45&lt;0,"See Tab D","")</f>
        <v/>
      </c>
      <c r="E48" s="32"/>
    </row>
    <row r="49" spans="2:5" ht="15.75" x14ac:dyDescent="0.2">
      <c r="B49" s="704" t="s">
        <v>529</v>
      </c>
      <c r="C49" s="691"/>
      <c r="D49" s="691"/>
      <c r="E49" s="692"/>
    </row>
    <row r="50" spans="2:5" ht="15.75" x14ac:dyDescent="0.2">
      <c r="B50" s="696"/>
      <c r="C50" s="182"/>
      <c r="D50" s="182"/>
      <c r="E50" s="694"/>
    </row>
    <row r="51" spans="2:5" x14ac:dyDescent="0.2">
      <c r="B51" s="695"/>
      <c r="C51" s="63"/>
      <c r="D51" s="63"/>
      <c r="E51" s="66"/>
    </row>
    <row r="52" spans="2:5" x14ac:dyDescent="0.2">
      <c r="B52" s="32"/>
      <c r="C52" s="32"/>
      <c r="D52" s="32"/>
      <c r="E52" s="32"/>
    </row>
    <row r="53" spans="2:5" ht="15.75" x14ac:dyDescent="0.2">
      <c r="B53" s="101" t="s">
        <v>78</v>
      </c>
      <c r="C53" s="186"/>
      <c r="D53" s="32"/>
      <c r="E53" s="32"/>
    </row>
  </sheetData>
  <sheetProtection sheet="1"/>
  <phoneticPr fontId="8" type="noConversion"/>
  <conditionalFormatting sqref="C16">
    <cfRule type="cellIs" dxfId="11" priority="1" stopIfTrue="1" operator="greaterThan">
      <formula>$C$18*0.1</formula>
    </cfRule>
  </conditionalFormatting>
  <conditionalFormatting sqref="C42">
    <cfRule type="cellIs" dxfId="10" priority="8" stopIfTrue="1" operator="greaterThan">
      <formula>$C$44*0.1</formula>
    </cfRule>
  </conditionalFormatting>
  <conditionalFormatting sqref="C44">
    <cfRule type="cellIs" dxfId="9" priority="10" stopIfTrue="1" operator="greaterThan">
      <formula>$C$46</formula>
    </cfRule>
  </conditionalFormatting>
  <conditionalFormatting sqref="C45 E45">
    <cfRule type="cellIs" dxfId="8" priority="6" stopIfTrue="1" operator="lessThan">
      <formula>0</formula>
    </cfRule>
  </conditionalFormatting>
  <conditionalFormatting sqref="D16">
    <cfRule type="cellIs" dxfId="7" priority="2" stopIfTrue="1" operator="greaterThan">
      <formula>$D$198*0.1</formula>
    </cfRule>
  </conditionalFormatting>
  <conditionalFormatting sqref="D42">
    <cfRule type="cellIs" dxfId="6" priority="7" stopIfTrue="1" operator="greaterThan">
      <formula>$D$44*0.1</formula>
    </cfRule>
  </conditionalFormatting>
  <conditionalFormatting sqref="D44">
    <cfRule type="cellIs" dxfId="5" priority="9" stopIfTrue="1" operator="greaterThan">
      <formula>$D$46</formula>
    </cfRule>
  </conditionalFormatting>
  <conditionalFormatting sqref="D45">
    <cfRule type="cellIs" dxfId="4" priority="3" stopIfTrue="1" operator="lessThan">
      <formula>0</formula>
    </cfRule>
  </conditionalFormatting>
  <conditionalFormatting sqref="E16">
    <cfRule type="cellIs" dxfId="3" priority="4" stopIfTrue="1" operator="greaterThan">
      <formula>$E$18*0.1</formula>
    </cfRule>
  </conditionalFormatting>
  <conditionalFormatting sqref="E42">
    <cfRule type="cellIs" dxfId="2" priority="5" stopIfTrue="1" operator="greaterThan">
      <formula>$E$44*0.1</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00B0F0"/>
    <pageSetUpPr fitToPage="1"/>
  </sheetPr>
  <dimension ref="A1:L45"/>
  <sheetViews>
    <sheetView workbookViewId="0">
      <selection activeCell="K28" sqref="K28"/>
    </sheetView>
  </sheetViews>
  <sheetFormatPr defaultColWidth="8.88671875" defaultRowHeight="15.75" x14ac:dyDescent="0.2"/>
  <cols>
    <col min="1" max="1" width="11.5546875" style="16" customWidth="1"/>
    <col min="2" max="2" width="7.44140625" style="16" customWidth="1"/>
    <col min="3" max="3" width="11.5546875" style="16" customWidth="1"/>
    <col min="4" max="4" width="7.44140625" style="16" customWidth="1"/>
    <col min="5" max="5" width="11.5546875" style="16" customWidth="1"/>
    <col min="6" max="6" width="7.44140625" style="16" customWidth="1"/>
    <col min="7" max="7" width="11.5546875" style="16" customWidth="1"/>
    <col min="8" max="8" width="7.44140625" style="16" customWidth="1"/>
    <col min="9" max="9" width="11.5546875" style="16" customWidth="1"/>
    <col min="10" max="16384" width="8.88671875" style="16"/>
  </cols>
  <sheetData>
    <row r="1" spans="1:11" x14ac:dyDescent="0.2">
      <c r="A1" s="39">
        <f>inputPrYr!$D$3</f>
        <v>0</v>
      </c>
      <c r="B1" s="103"/>
      <c r="C1" s="20"/>
      <c r="D1" s="20"/>
      <c r="E1" s="20"/>
      <c r="F1" s="104" t="s">
        <v>154</v>
      </c>
      <c r="G1" s="20"/>
      <c r="H1" s="20"/>
      <c r="I1" s="20"/>
      <c r="J1" s="20"/>
      <c r="K1" s="20">
        <f>inputPrYr!$C$6</f>
        <v>2025</v>
      </c>
    </row>
    <row r="2" spans="1:11" x14ac:dyDescent="0.2">
      <c r="A2" s="897" t="str">
        <f>CONCATENATE("(Only the actual budget year for ",K1-2," is reported)")</f>
        <v>(Only the actual budget year for 2023 is reported)</v>
      </c>
      <c r="B2" s="897"/>
      <c r="C2" s="897"/>
      <c r="D2" s="897"/>
      <c r="E2" s="897"/>
      <c r="F2" s="897"/>
      <c r="G2" s="897"/>
      <c r="H2" s="897"/>
      <c r="I2" s="897"/>
      <c r="J2" s="897"/>
      <c r="K2" s="897"/>
    </row>
    <row r="3" spans="1:11" x14ac:dyDescent="0.2">
      <c r="A3" s="20" t="s">
        <v>196</v>
      </c>
      <c r="B3" s="20"/>
      <c r="C3" s="20"/>
      <c r="D3" s="20"/>
      <c r="E3" s="20"/>
      <c r="F3" s="60"/>
      <c r="G3" s="20"/>
      <c r="H3" s="20"/>
      <c r="I3" s="20"/>
      <c r="J3" s="20"/>
      <c r="K3" s="20"/>
    </row>
    <row r="4" spans="1:11" x14ac:dyDescent="0.2">
      <c r="A4" s="20" t="s">
        <v>155</v>
      </c>
      <c r="B4" s="20"/>
      <c r="C4" s="20" t="s">
        <v>156</v>
      </c>
      <c r="D4" s="20"/>
      <c r="E4" s="20" t="s">
        <v>157</v>
      </c>
      <c r="F4" s="103"/>
      <c r="G4" s="20" t="s">
        <v>158</v>
      </c>
      <c r="H4" s="20"/>
      <c r="I4" s="20" t="s">
        <v>159</v>
      </c>
      <c r="J4" s="20"/>
      <c r="K4" s="20"/>
    </row>
    <row r="5" spans="1:11" x14ac:dyDescent="0.2">
      <c r="A5" s="899" t="str">
        <f>IF(inputPrYr!B60&gt;" ",(inputPrYr!B60)," ")</f>
        <v xml:space="preserve"> </v>
      </c>
      <c r="B5" s="900"/>
      <c r="C5" s="899" t="str">
        <f>IF(inputPrYr!B61&gt;" ",(inputPrYr!B61)," ")</f>
        <v xml:space="preserve"> </v>
      </c>
      <c r="D5" s="900"/>
      <c r="E5" s="899" t="str">
        <f>IF(inputPrYr!B62&gt;" ",(inputPrYr!B62)," ")</f>
        <v xml:space="preserve"> </v>
      </c>
      <c r="F5" s="900"/>
      <c r="G5" s="899" t="str">
        <f>IF(inputPrYr!B63&gt;" ",(inputPrYr!B63)," ")</f>
        <v xml:space="preserve"> </v>
      </c>
      <c r="H5" s="900"/>
      <c r="I5" s="899" t="str">
        <f>IF(inputPrYr!B64&gt;" ",(inputPrYr!B64)," ")</f>
        <v xml:space="preserve"> </v>
      </c>
      <c r="J5" s="900"/>
      <c r="K5" s="35"/>
    </row>
    <row r="6" spans="1:11" x14ac:dyDescent="0.2">
      <c r="A6" s="203" t="s">
        <v>160</v>
      </c>
      <c r="B6" s="204"/>
      <c r="C6" s="205" t="s">
        <v>160</v>
      </c>
      <c r="D6" s="206"/>
      <c r="E6" s="205" t="s">
        <v>160</v>
      </c>
      <c r="F6" s="97"/>
      <c r="G6" s="205" t="s">
        <v>160</v>
      </c>
      <c r="H6" s="46"/>
      <c r="I6" s="205" t="s">
        <v>160</v>
      </c>
      <c r="J6" s="20"/>
      <c r="K6" s="93" t="s">
        <v>35</v>
      </c>
    </row>
    <row r="7" spans="1:11" x14ac:dyDescent="0.2">
      <c r="A7" s="207" t="s">
        <v>10</v>
      </c>
      <c r="B7" s="208"/>
      <c r="C7" s="209" t="s">
        <v>10</v>
      </c>
      <c r="D7" s="208"/>
      <c r="E7" s="209" t="s">
        <v>10</v>
      </c>
      <c r="F7" s="208"/>
      <c r="G7" s="209" t="s">
        <v>10</v>
      </c>
      <c r="H7" s="208"/>
      <c r="I7" s="209" t="s">
        <v>10</v>
      </c>
      <c r="J7" s="208"/>
      <c r="K7" s="210">
        <f>SUM(B7+D7+F7+H7+J7)</f>
        <v>0</v>
      </c>
    </row>
    <row r="8" spans="1:11" x14ac:dyDescent="0.2">
      <c r="A8" s="211" t="s">
        <v>142</v>
      </c>
      <c r="B8" s="212"/>
      <c r="C8" s="211" t="s">
        <v>142</v>
      </c>
      <c r="D8" s="213"/>
      <c r="E8" s="211" t="s">
        <v>142</v>
      </c>
      <c r="F8" s="103"/>
      <c r="G8" s="211" t="s">
        <v>142</v>
      </c>
      <c r="H8" s="20"/>
      <c r="I8" s="211" t="s">
        <v>142</v>
      </c>
      <c r="J8" s="20"/>
      <c r="K8" s="103"/>
    </row>
    <row r="9" spans="1:11" x14ac:dyDescent="0.2">
      <c r="A9" s="214"/>
      <c r="B9" s="208"/>
      <c r="C9" s="214"/>
      <c r="D9" s="208"/>
      <c r="E9" s="214"/>
      <c r="F9" s="208"/>
      <c r="G9" s="214"/>
      <c r="H9" s="208"/>
      <c r="I9" s="214"/>
      <c r="J9" s="208"/>
      <c r="K9" s="103"/>
    </row>
    <row r="10" spans="1:11" x14ac:dyDescent="0.2">
      <c r="A10" s="214"/>
      <c r="B10" s="208"/>
      <c r="C10" s="214"/>
      <c r="D10" s="208"/>
      <c r="E10" s="214"/>
      <c r="F10" s="208"/>
      <c r="G10" s="214"/>
      <c r="H10" s="208"/>
      <c r="I10" s="214"/>
      <c r="J10" s="208"/>
      <c r="K10" s="103"/>
    </row>
    <row r="11" spans="1:11" x14ac:dyDescent="0.2">
      <c r="A11" s="214"/>
      <c r="B11" s="208"/>
      <c r="C11" s="215"/>
      <c r="D11" s="208"/>
      <c r="E11" s="215"/>
      <c r="F11" s="208"/>
      <c r="G11" s="215"/>
      <c r="H11" s="208"/>
      <c r="I11" s="216"/>
      <c r="J11" s="208"/>
      <c r="K11" s="103"/>
    </row>
    <row r="12" spans="1:11" x14ac:dyDescent="0.2">
      <c r="A12" s="214"/>
      <c r="B12" s="208"/>
      <c r="C12" s="214"/>
      <c r="D12" s="208"/>
      <c r="E12" s="217"/>
      <c r="F12" s="208"/>
      <c r="G12" s="217"/>
      <c r="H12" s="208"/>
      <c r="I12" s="217"/>
      <c r="J12" s="208"/>
      <c r="K12" s="103"/>
    </row>
    <row r="13" spans="1:11" x14ac:dyDescent="0.2">
      <c r="A13" s="218"/>
      <c r="B13" s="208"/>
      <c r="C13" s="219"/>
      <c r="D13" s="208"/>
      <c r="E13" s="219"/>
      <c r="F13" s="208"/>
      <c r="G13" s="219"/>
      <c r="H13" s="208"/>
      <c r="I13" s="216"/>
      <c r="J13" s="208"/>
      <c r="K13" s="103"/>
    </row>
    <row r="14" spans="1:11" x14ac:dyDescent="0.2">
      <c r="A14" s="214"/>
      <c r="B14" s="208"/>
      <c r="C14" s="217"/>
      <c r="D14" s="208"/>
      <c r="E14" s="217"/>
      <c r="F14" s="208"/>
      <c r="G14" s="217"/>
      <c r="H14" s="208"/>
      <c r="I14" s="217"/>
      <c r="J14" s="208"/>
      <c r="K14" s="103"/>
    </row>
    <row r="15" spans="1:11" x14ac:dyDescent="0.2">
      <c r="A15" s="214"/>
      <c r="B15" s="208"/>
      <c r="C15" s="217"/>
      <c r="D15" s="208"/>
      <c r="E15" s="217"/>
      <c r="F15" s="208"/>
      <c r="G15" s="217"/>
      <c r="H15" s="208"/>
      <c r="I15" s="217"/>
      <c r="J15" s="208"/>
      <c r="K15" s="103"/>
    </row>
    <row r="16" spans="1:11" x14ac:dyDescent="0.2">
      <c r="A16" s="214"/>
      <c r="B16" s="208"/>
      <c r="C16" s="214"/>
      <c r="D16" s="208"/>
      <c r="E16" s="214"/>
      <c r="F16" s="208"/>
      <c r="G16" s="217"/>
      <c r="H16" s="208"/>
      <c r="I16" s="214"/>
      <c r="J16" s="208"/>
      <c r="K16" s="103"/>
    </row>
    <row r="17" spans="1:12" x14ac:dyDescent="0.2">
      <c r="A17" s="211" t="s">
        <v>68</v>
      </c>
      <c r="B17" s="210">
        <f>SUM(B9:B16)</f>
        <v>0</v>
      </c>
      <c r="C17" s="211" t="s">
        <v>68</v>
      </c>
      <c r="D17" s="210">
        <f>SUM(D9:D16)</f>
        <v>0</v>
      </c>
      <c r="E17" s="211" t="s">
        <v>68</v>
      </c>
      <c r="F17" s="251">
        <f>SUM(F9:F16)</f>
        <v>0</v>
      </c>
      <c r="G17" s="211" t="s">
        <v>68</v>
      </c>
      <c r="H17" s="210">
        <f>SUM(H9:H16)</f>
        <v>0</v>
      </c>
      <c r="I17" s="211" t="s">
        <v>68</v>
      </c>
      <c r="J17" s="210">
        <f>SUM(J9:J16)</f>
        <v>0</v>
      </c>
      <c r="K17" s="210">
        <f>SUM(B17+D17+F17+H17+J17)</f>
        <v>0</v>
      </c>
    </row>
    <row r="18" spans="1:12" x14ac:dyDescent="0.2">
      <c r="A18" s="211" t="s">
        <v>69</v>
      </c>
      <c r="B18" s="210">
        <f>SUM(B7+B17)</f>
        <v>0</v>
      </c>
      <c r="C18" s="211" t="s">
        <v>69</v>
      </c>
      <c r="D18" s="210">
        <f>SUM(D7+D17)</f>
        <v>0</v>
      </c>
      <c r="E18" s="211" t="s">
        <v>69</v>
      </c>
      <c r="F18" s="210">
        <f>SUM(F7+F17)</f>
        <v>0</v>
      </c>
      <c r="G18" s="211" t="s">
        <v>69</v>
      </c>
      <c r="H18" s="210">
        <f>SUM(H7+H17)</f>
        <v>0</v>
      </c>
      <c r="I18" s="211" t="s">
        <v>69</v>
      </c>
      <c r="J18" s="210">
        <f>SUM(J7+J17)</f>
        <v>0</v>
      </c>
      <c r="K18" s="210">
        <f>SUM(B18+D18+F18+H18+J18)</f>
        <v>0</v>
      </c>
    </row>
    <row r="19" spans="1:12" x14ac:dyDescent="0.2">
      <c r="A19" s="211" t="s">
        <v>71</v>
      </c>
      <c r="B19" s="212"/>
      <c r="C19" s="211" t="s">
        <v>71</v>
      </c>
      <c r="D19" s="213"/>
      <c r="E19" s="211" t="s">
        <v>71</v>
      </c>
      <c r="F19" s="103"/>
      <c r="G19" s="211" t="s">
        <v>71</v>
      </c>
      <c r="H19" s="20"/>
      <c r="I19" s="211" t="s">
        <v>71</v>
      </c>
      <c r="J19" s="20"/>
      <c r="K19" s="103"/>
    </row>
    <row r="20" spans="1:12" x14ac:dyDescent="0.2">
      <c r="A20" s="214"/>
      <c r="B20" s="208"/>
      <c r="C20" s="217"/>
      <c r="D20" s="208"/>
      <c r="E20" s="217"/>
      <c r="F20" s="208"/>
      <c r="G20" s="217"/>
      <c r="H20" s="208"/>
      <c r="I20" s="217"/>
      <c r="J20" s="208"/>
      <c r="K20" s="103"/>
    </row>
    <row r="21" spans="1:12" x14ac:dyDescent="0.2">
      <c r="A21" s="214"/>
      <c r="B21" s="208"/>
      <c r="C21" s="217"/>
      <c r="D21" s="208"/>
      <c r="E21" s="217"/>
      <c r="F21" s="208"/>
      <c r="G21" s="217"/>
      <c r="H21" s="208"/>
      <c r="I21" s="217"/>
      <c r="J21" s="208"/>
      <c r="K21" s="103"/>
    </row>
    <row r="22" spans="1:12" x14ac:dyDescent="0.2">
      <c r="A22" s="214"/>
      <c r="B22" s="208"/>
      <c r="C22" s="219"/>
      <c r="D22" s="208"/>
      <c r="E22" s="219"/>
      <c r="F22" s="208"/>
      <c r="G22" s="219"/>
      <c r="H22" s="208"/>
      <c r="I22" s="216"/>
      <c r="J22" s="208"/>
      <c r="K22" s="103"/>
    </row>
    <row r="23" spans="1:12" x14ac:dyDescent="0.2">
      <c r="A23" s="214"/>
      <c r="B23" s="208"/>
      <c r="C23" s="217"/>
      <c r="D23" s="208"/>
      <c r="E23" s="217"/>
      <c r="F23" s="208"/>
      <c r="G23" s="217"/>
      <c r="H23" s="208"/>
      <c r="I23" s="217"/>
      <c r="J23" s="208"/>
      <c r="K23" s="103"/>
    </row>
    <row r="24" spans="1:12" x14ac:dyDescent="0.2">
      <c r="A24" s="214"/>
      <c r="B24" s="208"/>
      <c r="C24" s="219"/>
      <c r="D24" s="208"/>
      <c r="E24" s="219"/>
      <c r="F24" s="208"/>
      <c r="G24" s="219"/>
      <c r="H24" s="208"/>
      <c r="I24" s="216"/>
      <c r="J24" s="208"/>
      <c r="K24" s="103"/>
    </row>
    <row r="25" spans="1:12" x14ac:dyDescent="0.2">
      <c r="A25" s="214"/>
      <c r="B25" s="208"/>
      <c r="C25" s="217"/>
      <c r="D25" s="208"/>
      <c r="E25" s="217"/>
      <c r="F25" s="208"/>
      <c r="G25" s="217"/>
      <c r="H25" s="208"/>
      <c r="I25" s="217"/>
      <c r="J25" s="208"/>
      <c r="K25" s="103"/>
    </row>
    <row r="26" spans="1:12" x14ac:dyDescent="0.2">
      <c r="A26" s="214"/>
      <c r="B26" s="208"/>
      <c r="C26" s="217"/>
      <c r="D26" s="208"/>
      <c r="E26" s="217"/>
      <c r="F26" s="208"/>
      <c r="G26" s="217"/>
      <c r="H26" s="208"/>
      <c r="I26" s="217"/>
      <c r="J26" s="208"/>
      <c r="K26" s="103"/>
    </row>
    <row r="27" spans="1:12" x14ac:dyDescent="0.2">
      <c r="A27" s="214"/>
      <c r="B27" s="208"/>
      <c r="C27" s="214"/>
      <c r="D27" s="208"/>
      <c r="E27" s="214"/>
      <c r="F27" s="208"/>
      <c r="G27" s="217"/>
      <c r="H27" s="208"/>
      <c r="I27" s="217"/>
      <c r="J27" s="208"/>
      <c r="K27" s="103"/>
    </row>
    <row r="28" spans="1:12" x14ac:dyDescent="0.2">
      <c r="A28" s="211" t="s">
        <v>75</v>
      </c>
      <c r="B28" s="210">
        <f>SUM(B20:B27)</f>
        <v>0</v>
      </c>
      <c r="C28" s="211" t="s">
        <v>75</v>
      </c>
      <c r="D28" s="210">
        <f>SUM(D20:D27)</f>
        <v>0</v>
      </c>
      <c r="E28" s="211" t="s">
        <v>75</v>
      </c>
      <c r="F28" s="251">
        <f>SUM(F20:F27)</f>
        <v>0</v>
      </c>
      <c r="G28" s="211" t="s">
        <v>75</v>
      </c>
      <c r="H28" s="251">
        <f>SUM(H20:H27)</f>
        <v>0</v>
      </c>
      <c r="I28" s="211" t="s">
        <v>75</v>
      </c>
      <c r="J28" s="210">
        <f>SUM(J20:J27)</f>
        <v>0</v>
      </c>
      <c r="K28" s="210">
        <f>SUM(B28+D28+F28+H28+J28)</f>
        <v>0</v>
      </c>
    </row>
    <row r="29" spans="1:12" x14ac:dyDescent="0.2">
      <c r="A29" s="211" t="s">
        <v>161</v>
      </c>
      <c r="B29" s="210">
        <f>SUM(B18-B28)</f>
        <v>0</v>
      </c>
      <c r="C29" s="211" t="s">
        <v>161</v>
      </c>
      <c r="D29" s="210">
        <f>SUM(D18-D28)</f>
        <v>0</v>
      </c>
      <c r="E29" s="211" t="s">
        <v>161</v>
      </c>
      <c r="F29" s="210">
        <f>SUM(F18-F28)</f>
        <v>0</v>
      </c>
      <c r="G29" s="211" t="s">
        <v>161</v>
      </c>
      <c r="H29" s="210">
        <f>SUM(H18-H28)</f>
        <v>0</v>
      </c>
      <c r="I29" s="211" t="s">
        <v>161</v>
      </c>
      <c r="J29" s="210">
        <f>SUM(J18-J28)</f>
        <v>0</v>
      </c>
      <c r="K29" s="220">
        <f>SUM(B29+D29+F29+H29+J29)</f>
        <v>0</v>
      </c>
      <c r="L29" s="16" t="s">
        <v>219</v>
      </c>
    </row>
    <row r="30" spans="1:12" x14ac:dyDescent="0.2">
      <c r="A30" s="211"/>
      <c r="B30" s="240" t="str">
        <f>IF(B29&lt;0,"See Tab B","")</f>
        <v/>
      </c>
      <c r="C30" s="211"/>
      <c r="D30" s="240" t="str">
        <f>IF(D29&lt;0,"See Tab B","")</f>
        <v/>
      </c>
      <c r="E30" s="211"/>
      <c r="F30" s="240" t="str">
        <f>IF(F29&lt;0,"See Tab B","")</f>
        <v/>
      </c>
      <c r="G30" s="20"/>
      <c r="H30" s="240" t="str">
        <f>IF(H29&lt;0,"See Tab B","")</f>
        <v/>
      </c>
      <c r="I30" s="20"/>
      <c r="J30" s="240" t="str">
        <f>IF(J29&lt;0,"See Tab B","")</f>
        <v/>
      </c>
      <c r="K30" s="220">
        <f>SUM(K7+K17-K28)</f>
        <v>0</v>
      </c>
      <c r="L30" s="16" t="s">
        <v>219</v>
      </c>
    </row>
    <row r="31" spans="1:12" x14ac:dyDescent="0.2">
      <c r="A31" s="20"/>
      <c r="B31" s="48"/>
      <c r="C31" s="20"/>
      <c r="D31" s="103"/>
      <c r="E31" s="20"/>
      <c r="F31" s="20"/>
      <c r="G31" s="898" t="s">
        <v>221</v>
      </c>
      <c r="H31" s="898"/>
      <c r="I31" s="898"/>
      <c r="J31" s="898"/>
      <c r="K31" s="898"/>
    </row>
    <row r="32" spans="1:12" x14ac:dyDescent="0.2">
      <c r="A32" s="20"/>
      <c r="B32" s="48"/>
      <c r="C32" s="20"/>
      <c r="D32" s="103"/>
      <c r="E32" s="20"/>
      <c r="F32" s="20"/>
      <c r="G32" s="20"/>
      <c r="H32" s="20"/>
      <c r="I32" s="20"/>
      <c r="J32" s="20"/>
      <c r="K32" s="20"/>
    </row>
    <row r="33" spans="1:11" x14ac:dyDescent="0.2">
      <c r="A33" s="198" t="s">
        <v>530</v>
      </c>
      <c r="B33" s="106"/>
      <c r="C33" s="61"/>
      <c r="D33" s="706"/>
      <c r="E33" s="61"/>
      <c r="F33" s="61"/>
      <c r="G33" s="61"/>
      <c r="H33" s="61"/>
      <c r="I33" s="61"/>
      <c r="J33" s="61"/>
      <c r="K33" s="677"/>
    </row>
    <row r="34" spans="1:11" x14ac:dyDescent="0.2">
      <c r="A34" s="707"/>
      <c r="B34" s="48"/>
      <c r="C34" s="20"/>
      <c r="D34" s="103"/>
      <c r="E34" s="20"/>
      <c r="F34" s="20"/>
      <c r="G34" s="20"/>
      <c r="H34" s="20"/>
      <c r="I34" s="20"/>
      <c r="J34" s="20"/>
      <c r="K34" s="708"/>
    </row>
    <row r="35" spans="1:11" x14ac:dyDescent="0.2">
      <c r="A35" s="498"/>
      <c r="B35" s="105"/>
      <c r="C35" s="35"/>
      <c r="D35" s="50"/>
      <c r="E35" s="35"/>
      <c r="F35" s="35"/>
      <c r="G35" s="35"/>
      <c r="H35" s="35"/>
      <c r="I35" s="35"/>
      <c r="J35" s="35"/>
      <c r="K35" s="41"/>
    </row>
    <row r="36" spans="1:11" x14ac:dyDescent="0.2">
      <c r="A36" s="20"/>
      <c r="B36" s="48"/>
      <c r="C36" s="20"/>
      <c r="D36" s="20"/>
      <c r="E36" s="20"/>
      <c r="F36" s="20"/>
      <c r="G36" s="20"/>
      <c r="H36" s="20"/>
      <c r="I36" s="20"/>
      <c r="J36" s="20"/>
      <c r="K36" s="20"/>
    </row>
    <row r="37" spans="1:11" x14ac:dyDescent="0.2">
      <c r="A37" s="20"/>
      <c r="B37" s="48"/>
      <c r="C37" s="20"/>
      <c r="D37" s="20"/>
      <c r="E37" s="73" t="s">
        <v>78</v>
      </c>
      <c r="F37" s="186"/>
      <c r="G37" s="20"/>
      <c r="H37" s="20"/>
      <c r="I37" s="20"/>
      <c r="J37" s="20"/>
      <c r="K37" s="20"/>
    </row>
    <row r="38" spans="1:11" x14ac:dyDescent="0.2">
      <c r="B38" s="221"/>
    </row>
    <row r="39" spans="1:11" x14ac:dyDescent="0.2">
      <c r="B39" s="221"/>
    </row>
    <row r="40" spans="1:11" x14ac:dyDescent="0.2">
      <c r="B40" s="221"/>
    </row>
    <row r="41" spans="1:11" x14ac:dyDescent="0.2">
      <c r="B41" s="221"/>
    </row>
    <row r="42" spans="1:11" x14ac:dyDescent="0.2">
      <c r="B42" s="221"/>
    </row>
    <row r="43" spans="1:11" x14ac:dyDescent="0.2">
      <c r="B43" s="221"/>
    </row>
    <row r="44" spans="1:11" x14ac:dyDescent="0.2">
      <c r="B44" s="221"/>
    </row>
    <row r="45" spans="1:11" x14ac:dyDescent="0.2">
      <c r="B45" s="221"/>
    </row>
  </sheetData>
  <sheetProtection sheet="1" objects="1" scenarios="1"/>
  <mergeCells count="7">
    <mergeCell ref="A2:K2"/>
    <mergeCell ref="G31:K31"/>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00B0F0"/>
    <pageSetUpPr fitToPage="1"/>
  </sheetPr>
  <dimension ref="A1:L45"/>
  <sheetViews>
    <sheetView workbookViewId="0">
      <selection activeCell="K28" sqref="K28"/>
    </sheetView>
  </sheetViews>
  <sheetFormatPr defaultColWidth="8.88671875" defaultRowHeight="15.75" x14ac:dyDescent="0.2"/>
  <cols>
    <col min="1" max="1" width="11.5546875" style="16" customWidth="1"/>
    <col min="2" max="2" width="7.44140625" style="16" customWidth="1"/>
    <col min="3" max="3" width="11.5546875" style="16" customWidth="1"/>
    <col min="4" max="4" width="7.44140625" style="16" customWidth="1"/>
    <col min="5" max="5" width="11.5546875" style="16" customWidth="1"/>
    <col min="6" max="6" width="7.44140625" style="16" customWidth="1"/>
    <col min="7" max="7" width="11.5546875" style="16" customWidth="1"/>
    <col min="8" max="8" width="7.44140625" style="16" customWidth="1"/>
    <col min="9" max="9" width="11.5546875" style="16" customWidth="1"/>
    <col min="10" max="16384" width="8.88671875" style="16"/>
  </cols>
  <sheetData>
    <row r="1" spans="1:11" x14ac:dyDescent="0.2">
      <c r="A1" s="39">
        <f>inputPrYr!$D$3</f>
        <v>0</v>
      </c>
      <c r="B1" s="103"/>
      <c r="C1" s="20"/>
      <c r="D1" s="20"/>
      <c r="E1" s="20"/>
      <c r="F1" s="104" t="s">
        <v>162</v>
      </c>
      <c r="G1" s="20"/>
      <c r="H1" s="20"/>
      <c r="I1" s="20"/>
      <c r="J1" s="20"/>
      <c r="K1" s="20">
        <f>inputPrYr!$C$6</f>
        <v>2025</v>
      </c>
    </row>
    <row r="2" spans="1:11" x14ac:dyDescent="0.2">
      <c r="A2" s="897" t="str">
        <f>CONCATENATE("(Only the actual budget year for ",K1-2," is reported)")</f>
        <v>(Only the actual budget year for 2023 is reported)</v>
      </c>
      <c r="B2" s="897"/>
      <c r="C2" s="897"/>
      <c r="D2" s="897"/>
      <c r="E2" s="897"/>
      <c r="F2" s="897"/>
      <c r="G2" s="897"/>
      <c r="H2" s="897"/>
      <c r="I2" s="897"/>
      <c r="J2" s="897"/>
      <c r="K2" s="897"/>
    </row>
    <row r="3" spans="1:11" x14ac:dyDescent="0.2">
      <c r="A3" s="20" t="s">
        <v>195</v>
      </c>
      <c r="B3" s="20"/>
      <c r="C3" s="20"/>
      <c r="D3" s="20"/>
      <c r="E3" s="20"/>
      <c r="F3" s="103"/>
      <c r="G3" s="20"/>
      <c r="H3" s="20"/>
      <c r="I3" s="20"/>
      <c r="J3" s="20"/>
      <c r="K3" s="20"/>
    </row>
    <row r="4" spans="1:11" x14ac:dyDescent="0.2">
      <c r="A4" s="20" t="s">
        <v>155</v>
      </c>
      <c r="B4" s="20"/>
      <c r="C4" s="20" t="s">
        <v>156</v>
      </c>
      <c r="D4" s="20"/>
      <c r="E4" s="20" t="s">
        <v>157</v>
      </c>
      <c r="F4" s="103"/>
      <c r="G4" s="20" t="s">
        <v>158</v>
      </c>
      <c r="H4" s="20"/>
      <c r="I4" s="20" t="s">
        <v>159</v>
      </c>
      <c r="J4" s="20"/>
      <c r="K4" s="20"/>
    </row>
    <row r="5" spans="1:11" x14ac:dyDescent="0.2">
      <c r="A5" s="899" t="str">
        <f>IF(inputPrYr!B66&gt;" ",(inputPrYr!B66)," ")</f>
        <v xml:space="preserve"> </v>
      </c>
      <c r="B5" s="900"/>
      <c r="C5" s="899" t="str">
        <f>IF(inputPrYr!B67&gt;" ",(inputPrYr!B67)," ")</f>
        <v xml:space="preserve"> </v>
      </c>
      <c r="D5" s="900"/>
      <c r="E5" s="899" t="str">
        <f>IF(inputPrYr!B68&gt;" ",(inputPrYr!B68)," ")</f>
        <v xml:space="preserve"> </v>
      </c>
      <c r="F5" s="900"/>
      <c r="G5" s="899" t="str">
        <f>IF(inputPrYr!B69&gt;" ",(inputPrYr!B69)," ")</f>
        <v xml:space="preserve"> </v>
      </c>
      <c r="H5" s="900"/>
      <c r="I5" s="899" t="str">
        <f>IF(inputPrYr!B70&gt;" ",(inputPrYr!B70)," ")</f>
        <v xml:space="preserve"> </v>
      </c>
      <c r="J5" s="900"/>
      <c r="K5" s="35"/>
    </row>
    <row r="6" spans="1:11" x14ac:dyDescent="0.2">
      <c r="A6" s="203" t="s">
        <v>160</v>
      </c>
      <c r="B6" s="204"/>
      <c r="C6" s="205" t="s">
        <v>160</v>
      </c>
      <c r="D6" s="206"/>
      <c r="E6" s="205" t="s">
        <v>160</v>
      </c>
      <c r="F6" s="97"/>
      <c r="G6" s="205" t="s">
        <v>160</v>
      </c>
      <c r="H6" s="46"/>
      <c r="I6" s="205" t="s">
        <v>160</v>
      </c>
      <c r="J6" s="20"/>
      <c r="K6" s="93" t="s">
        <v>35</v>
      </c>
    </row>
    <row r="7" spans="1:11" x14ac:dyDescent="0.2">
      <c r="A7" s="207" t="s">
        <v>10</v>
      </c>
      <c r="B7" s="208"/>
      <c r="C7" s="209" t="s">
        <v>10</v>
      </c>
      <c r="D7" s="208"/>
      <c r="E7" s="209" t="s">
        <v>10</v>
      </c>
      <c r="F7" s="208"/>
      <c r="G7" s="209" t="s">
        <v>10</v>
      </c>
      <c r="H7" s="208"/>
      <c r="I7" s="209" t="s">
        <v>10</v>
      </c>
      <c r="J7" s="208"/>
      <c r="K7" s="210">
        <f>SUM(B7+D7+F7+H7+J7)</f>
        <v>0</v>
      </c>
    </row>
    <row r="8" spans="1:11" x14ac:dyDescent="0.2">
      <c r="A8" s="211" t="s">
        <v>142</v>
      </c>
      <c r="B8" s="212"/>
      <c r="C8" s="211" t="s">
        <v>142</v>
      </c>
      <c r="D8" s="213"/>
      <c r="E8" s="211" t="s">
        <v>142</v>
      </c>
      <c r="F8" s="103"/>
      <c r="G8" s="211" t="s">
        <v>142</v>
      </c>
      <c r="H8" s="20"/>
      <c r="I8" s="211" t="s">
        <v>142</v>
      </c>
      <c r="J8" s="20"/>
      <c r="K8" s="103"/>
    </row>
    <row r="9" spans="1:11" x14ac:dyDescent="0.2">
      <c r="A9" s="214"/>
      <c r="B9" s="208"/>
      <c r="C9" s="214"/>
      <c r="D9" s="208"/>
      <c r="E9" s="214"/>
      <c r="F9" s="208"/>
      <c r="G9" s="214"/>
      <c r="H9" s="208"/>
      <c r="I9" s="214"/>
      <c r="J9" s="208"/>
      <c r="K9" s="103"/>
    </row>
    <row r="10" spans="1:11" x14ac:dyDescent="0.2">
      <c r="A10" s="214"/>
      <c r="B10" s="208"/>
      <c r="C10" s="214"/>
      <c r="D10" s="208"/>
      <c r="E10" s="214"/>
      <c r="F10" s="208"/>
      <c r="G10" s="214"/>
      <c r="H10" s="208"/>
      <c r="I10" s="214"/>
      <c r="J10" s="208"/>
      <c r="K10" s="103"/>
    </row>
    <row r="11" spans="1:11" x14ac:dyDescent="0.2">
      <c r="A11" s="214"/>
      <c r="B11" s="208"/>
      <c r="C11" s="215"/>
      <c r="D11" s="208"/>
      <c r="E11" s="215"/>
      <c r="F11" s="208"/>
      <c r="G11" s="215"/>
      <c r="H11" s="208"/>
      <c r="I11" s="216"/>
      <c r="J11" s="208"/>
      <c r="K11" s="103"/>
    </row>
    <row r="12" spans="1:11" x14ac:dyDescent="0.2">
      <c r="A12" s="214"/>
      <c r="B12" s="208"/>
      <c r="C12" s="214"/>
      <c r="D12" s="208"/>
      <c r="E12" s="217"/>
      <c r="F12" s="208"/>
      <c r="G12" s="217"/>
      <c r="H12" s="208"/>
      <c r="I12" s="217"/>
      <c r="J12" s="208"/>
      <c r="K12" s="103"/>
    </row>
    <row r="13" spans="1:11" x14ac:dyDescent="0.2">
      <c r="A13" s="218"/>
      <c r="B13" s="208"/>
      <c r="C13" s="219"/>
      <c r="D13" s="208"/>
      <c r="E13" s="219"/>
      <c r="F13" s="208"/>
      <c r="G13" s="219"/>
      <c r="H13" s="208"/>
      <c r="I13" s="216"/>
      <c r="J13" s="208"/>
      <c r="K13" s="103"/>
    </row>
    <row r="14" spans="1:11" x14ac:dyDescent="0.2">
      <c r="A14" s="214"/>
      <c r="B14" s="208"/>
      <c r="C14" s="217"/>
      <c r="D14" s="208"/>
      <c r="E14" s="217"/>
      <c r="F14" s="208"/>
      <c r="G14" s="217"/>
      <c r="H14" s="208"/>
      <c r="I14" s="217"/>
      <c r="J14" s="208"/>
      <c r="K14" s="103"/>
    </row>
    <row r="15" spans="1:11" x14ac:dyDescent="0.2">
      <c r="A15" s="214"/>
      <c r="B15" s="208"/>
      <c r="C15" s="217"/>
      <c r="D15" s="208"/>
      <c r="E15" s="217"/>
      <c r="F15" s="208"/>
      <c r="G15" s="217"/>
      <c r="H15" s="208"/>
      <c r="I15" s="217"/>
      <c r="J15" s="208"/>
      <c r="K15" s="103"/>
    </row>
    <row r="16" spans="1:11" x14ac:dyDescent="0.2">
      <c r="A16" s="214"/>
      <c r="B16" s="208"/>
      <c r="C16" s="214"/>
      <c r="D16" s="208"/>
      <c r="E16" s="214"/>
      <c r="F16" s="208"/>
      <c r="G16" s="217"/>
      <c r="H16" s="208"/>
      <c r="I16" s="214"/>
      <c r="J16" s="208"/>
      <c r="K16" s="103"/>
    </row>
    <row r="17" spans="1:12" x14ac:dyDescent="0.2">
      <c r="A17" s="211" t="s">
        <v>68</v>
      </c>
      <c r="B17" s="210">
        <f>SUM(B9:B16)</f>
        <v>0</v>
      </c>
      <c r="C17" s="211" t="s">
        <v>68</v>
      </c>
      <c r="D17" s="210">
        <f>SUM(D9:D16)</f>
        <v>0</v>
      </c>
      <c r="E17" s="211" t="s">
        <v>68</v>
      </c>
      <c r="F17" s="251">
        <f>SUM(F9:F16)</f>
        <v>0</v>
      </c>
      <c r="G17" s="211" t="s">
        <v>68</v>
      </c>
      <c r="H17" s="210">
        <f>SUM(H9:H16)</f>
        <v>0</v>
      </c>
      <c r="I17" s="211" t="s">
        <v>68</v>
      </c>
      <c r="J17" s="210">
        <f>SUM(J9:J16)</f>
        <v>0</v>
      </c>
      <c r="K17" s="210">
        <f>SUM(B17+D17+F17+H17+J17)</f>
        <v>0</v>
      </c>
    </row>
    <row r="18" spans="1:12" x14ac:dyDescent="0.2">
      <c r="A18" s="211" t="s">
        <v>69</v>
      </c>
      <c r="B18" s="210">
        <f>SUM(B7+B17)</f>
        <v>0</v>
      </c>
      <c r="C18" s="211" t="s">
        <v>69</v>
      </c>
      <c r="D18" s="210">
        <f>SUM(D7+D17)</f>
        <v>0</v>
      </c>
      <c r="E18" s="211" t="s">
        <v>69</v>
      </c>
      <c r="F18" s="210">
        <f>SUM(F7+F17)</f>
        <v>0</v>
      </c>
      <c r="G18" s="211" t="s">
        <v>69</v>
      </c>
      <c r="H18" s="210">
        <f>SUM(H7+H17)</f>
        <v>0</v>
      </c>
      <c r="I18" s="211" t="s">
        <v>69</v>
      </c>
      <c r="J18" s="210">
        <f>SUM(J7+J17)</f>
        <v>0</v>
      </c>
      <c r="K18" s="210">
        <f>SUM(B18+D18+F18+H18+J18)</f>
        <v>0</v>
      </c>
    </row>
    <row r="19" spans="1:12" x14ac:dyDescent="0.2">
      <c r="A19" s="211" t="s">
        <v>71</v>
      </c>
      <c r="B19" s="212"/>
      <c r="C19" s="211" t="s">
        <v>71</v>
      </c>
      <c r="D19" s="213"/>
      <c r="E19" s="211" t="s">
        <v>71</v>
      </c>
      <c r="F19" s="103"/>
      <c r="G19" s="211" t="s">
        <v>71</v>
      </c>
      <c r="H19" s="20"/>
      <c r="I19" s="211" t="s">
        <v>71</v>
      </c>
      <c r="J19" s="20"/>
      <c r="K19" s="103"/>
    </row>
    <row r="20" spans="1:12" x14ac:dyDescent="0.2">
      <c r="A20" s="214"/>
      <c r="B20" s="208"/>
      <c r="C20" s="217"/>
      <c r="D20" s="208"/>
      <c r="E20" s="217"/>
      <c r="F20" s="208"/>
      <c r="G20" s="217"/>
      <c r="H20" s="208"/>
      <c r="I20" s="217"/>
      <c r="J20" s="208"/>
      <c r="K20" s="103"/>
    </row>
    <row r="21" spans="1:12" x14ac:dyDescent="0.2">
      <c r="A21" s="214"/>
      <c r="B21" s="208"/>
      <c r="C21" s="217"/>
      <c r="D21" s="208"/>
      <c r="E21" s="217"/>
      <c r="F21" s="208"/>
      <c r="G21" s="217"/>
      <c r="H21" s="208"/>
      <c r="I21" s="217"/>
      <c r="J21" s="208"/>
      <c r="K21" s="103"/>
    </row>
    <row r="22" spans="1:12" x14ac:dyDescent="0.2">
      <c r="A22" s="214"/>
      <c r="B22" s="208"/>
      <c r="C22" s="219"/>
      <c r="D22" s="208"/>
      <c r="E22" s="219"/>
      <c r="F22" s="208"/>
      <c r="G22" s="219"/>
      <c r="H22" s="208"/>
      <c r="I22" s="216"/>
      <c r="J22" s="208"/>
      <c r="K22" s="103"/>
    </row>
    <row r="23" spans="1:12" x14ac:dyDescent="0.2">
      <c r="A23" s="214"/>
      <c r="B23" s="208"/>
      <c r="C23" s="217"/>
      <c r="D23" s="208"/>
      <c r="E23" s="217"/>
      <c r="F23" s="208"/>
      <c r="G23" s="217"/>
      <c r="H23" s="208"/>
      <c r="I23" s="217"/>
      <c r="J23" s="208"/>
      <c r="K23" s="103"/>
    </row>
    <row r="24" spans="1:12" x14ac:dyDescent="0.2">
      <c r="A24" s="214"/>
      <c r="B24" s="208"/>
      <c r="C24" s="219"/>
      <c r="D24" s="208"/>
      <c r="E24" s="219"/>
      <c r="F24" s="208"/>
      <c r="G24" s="219"/>
      <c r="H24" s="208"/>
      <c r="I24" s="216"/>
      <c r="J24" s="208"/>
      <c r="K24" s="103"/>
    </row>
    <row r="25" spans="1:12" x14ac:dyDescent="0.2">
      <c r="A25" s="214"/>
      <c r="B25" s="208"/>
      <c r="C25" s="217"/>
      <c r="D25" s="208"/>
      <c r="E25" s="217"/>
      <c r="F25" s="208"/>
      <c r="G25" s="217"/>
      <c r="H25" s="208"/>
      <c r="I25" s="217"/>
      <c r="J25" s="208"/>
      <c r="K25" s="103"/>
    </row>
    <row r="26" spans="1:12" x14ac:dyDescent="0.2">
      <c r="A26" s="214"/>
      <c r="B26" s="208"/>
      <c r="C26" s="217"/>
      <c r="D26" s="208"/>
      <c r="E26" s="217"/>
      <c r="F26" s="208"/>
      <c r="G26" s="217"/>
      <c r="H26" s="208"/>
      <c r="I26" s="217"/>
      <c r="J26" s="208"/>
      <c r="K26" s="103"/>
    </row>
    <row r="27" spans="1:12" x14ac:dyDescent="0.2">
      <c r="A27" s="214"/>
      <c r="B27" s="208"/>
      <c r="C27" s="214"/>
      <c r="D27" s="208"/>
      <c r="E27" s="214"/>
      <c r="F27" s="208"/>
      <c r="G27" s="217"/>
      <c r="H27" s="208"/>
      <c r="I27" s="217"/>
      <c r="J27" s="208"/>
      <c r="K27" s="103"/>
    </row>
    <row r="28" spans="1:12" x14ac:dyDescent="0.2">
      <c r="A28" s="211" t="s">
        <v>75</v>
      </c>
      <c r="B28" s="210">
        <f>SUM(B20:B27)</f>
        <v>0</v>
      </c>
      <c r="C28" s="211" t="s">
        <v>75</v>
      </c>
      <c r="D28" s="210">
        <f>SUM(D20:D27)</f>
        <v>0</v>
      </c>
      <c r="E28" s="211" t="s">
        <v>75</v>
      </c>
      <c r="F28" s="251">
        <f>SUM(F20:F27)</f>
        <v>0</v>
      </c>
      <c r="G28" s="211" t="s">
        <v>75</v>
      </c>
      <c r="H28" s="251">
        <f>SUM(H20:H27)</f>
        <v>0</v>
      </c>
      <c r="I28" s="211" t="s">
        <v>75</v>
      </c>
      <c r="J28" s="210">
        <f>SUM(J20:J27)</f>
        <v>0</v>
      </c>
      <c r="K28" s="210">
        <f>SUM(B28+D28+F28+H28+J28)</f>
        <v>0</v>
      </c>
    </row>
    <row r="29" spans="1:12" x14ac:dyDescent="0.2">
      <c r="A29" s="211" t="s">
        <v>161</v>
      </c>
      <c r="B29" s="210">
        <f>SUM(B18-B28)</f>
        <v>0</v>
      </c>
      <c r="C29" s="211" t="s">
        <v>161</v>
      </c>
      <c r="D29" s="210">
        <f>SUM(D18-D28)</f>
        <v>0</v>
      </c>
      <c r="E29" s="211" t="s">
        <v>161</v>
      </c>
      <c r="F29" s="210">
        <f>SUM(F18-F28)</f>
        <v>0</v>
      </c>
      <c r="G29" s="211" t="s">
        <v>161</v>
      </c>
      <c r="H29" s="210">
        <f>SUM(H18-H28)</f>
        <v>0</v>
      </c>
      <c r="I29" s="211" t="s">
        <v>161</v>
      </c>
      <c r="J29" s="210">
        <f>SUM(J18-J28)</f>
        <v>0</v>
      </c>
      <c r="K29" s="220">
        <f>SUM(B29+D29+F29+H29+J29)</f>
        <v>0</v>
      </c>
      <c r="L29" s="16" t="s">
        <v>219</v>
      </c>
    </row>
    <row r="30" spans="1:12" x14ac:dyDescent="0.2">
      <c r="A30" s="211"/>
      <c r="B30" s="240" t="str">
        <f>IF(B29&lt;0,"See Tab B","")</f>
        <v/>
      </c>
      <c r="C30" s="211"/>
      <c r="D30" s="240" t="str">
        <f>IF(D29&lt;0,"See Tab B","")</f>
        <v/>
      </c>
      <c r="E30" s="211"/>
      <c r="F30" s="240" t="str">
        <f>IF(F29&lt;0,"See Tab B","")</f>
        <v/>
      </c>
      <c r="G30" s="20"/>
      <c r="H30" s="240" t="str">
        <f>IF(H29&lt;0,"See Tab B","")</f>
        <v/>
      </c>
      <c r="I30" s="20"/>
      <c r="J30" s="240" t="str">
        <f>IF(J29&lt;0,"See Tab B","")</f>
        <v/>
      </c>
      <c r="K30" s="220">
        <f>SUM(K7+K17-K28)</f>
        <v>0</v>
      </c>
      <c r="L30" s="16" t="s">
        <v>219</v>
      </c>
    </row>
    <row r="31" spans="1:12" x14ac:dyDescent="0.2">
      <c r="A31" s="20"/>
      <c r="B31" s="48"/>
      <c r="C31" s="20"/>
      <c r="D31" s="103"/>
      <c r="E31" s="20"/>
      <c r="F31" s="20"/>
      <c r="G31" s="898" t="s">
        <v>221</v>
      </c>
      <c r="H31" s="898"/>
      <c r="I31" s="898"/>
      <c r="J31" s="898"/>
      <c r="K31" s="898"/>
    </row>
    <row r="32" spans="1:12" x14ac:dyDescent="0.2">
      <c r="A32" s="20"/>
      <c r="B32" s="48"/>
      <c r="C32" s="20"/>
      <c r="D32" s="103"/>
      <c r="E32" s="20"/>
      <c r="F32" s="20"/>
      <c r="G32" s="20"/>
      <c r="H32" s="20"/>
      <c r="I32" s="20"/>
      <c r="J32" s="20"/>
      <c r="K32" s="20"/>
    </row>
    <row r="33" spans="1:11" x14ac:dyDescent="0.2">
      <c r="A33" s="198" t="s">
        <v>530</v>
      </c>
      <c r="B33" s="106"/>
      <c r="C33" s="61"/>
      <c r="D33" s="706"/>
      <c r="E33" s="61"/>
      <c r="F33" s="61"/>
      <c r="G33" s="61"/>
      <c r="H33" s="61"/>
      <c r="I33" s="61"/>
      <c r="J33" s="61"/>
      <c r="K33" s="677"/>
    </row>
    <row r="34" spans="1:11" x14ac:dyDescent="0.2">
      <c r="A34" s="707"/>
      <c r="B34" s="48"/>
      <c r="C34" s="20"/>
      <c r="D34" s="103"/>
      <c r="E34" s="20"/>
      <c r="F34" s="20"/>
      <c r="G34" s="20"/>
      <c r="H34" s="20"/>
      <c r="I34" s="20"/>
      <c r="J34" s="20"/>
      <c r="K34" s="708"/>
    </row>
    <row r="35" spans="1:11" x14ac:dyDescent="0.2">
      <c r="A35" s="498"/>
      <c r="B35" s="105"/>
      <c r="C35" s="35"/>
      <c r="D35" s="50"/>
      <c r="E35" s="35"/>
      <c r="F35" s="35"/>
      <c r="G35" s="35"/>
      <c r="H35" s="35"/>
      <c r="I35" s="35"/>
      <c r="J35" s="35"/>
      <c r="K35" s="41"/>
    </row>
    <row r="36" spans="1:11" x14ac:dyDescent="0.2">
      <c r="A36" s="20"/>
      <c r="B36" s="48"/>
      <c r="C36" s="20"/>
      <c r="D36" s="20"/>
      <c r="E36" s="20"/>
      <c r="F36" s="20"/>
      <c r="G36" s="20"/>
      <c r="H36" s="20"/>
      <c r="I36" s="20"/>
      <c r="J36" s="20"/>
      <c r="K36" s="20"/>
    </row>
    <row r="37" spans="1:11" x14ac:dyDescent="0.2">
      <c r="A37" s="20"/>
      <c r="B37" s="48"/>
      <c r="C37" s="20"/>
      <c r="D37" s="20"/>
      <c r="E37" s="73" t="s">
        <v>78</v>
      </c>
      <c r="F37" s="186"/>
      <c r="G37" s="20"/>
      <c r="H37" s="20"/>
      <c r="I37" s="20"/>
      <c r="J37" s="20"/>
      <c r="K37" s="20"/>
    </row>
    <row r="38" spans="1:11" x14ac:dyDescent="0.2">
      <c r="B38" s="221"/>
    </row>
    <row r="39" spans="1:11" x14ac:dyDescent="0.2">
      <c r="B39" s="221"/>
    </row>
    <row r="40" spans="1:11" x14ac:dyDescent="0.2">
      <c r="B40" s="221"/>
    </row>
    <row r="41" spans="1:11" x14ac:dyDescent="0.2">
      <c r="B41" s="221"/>
    </row>
    <row r="42" spans="1:11" x14ac:dyDescent="0.2">
      <c r="B42" s="221"/>
    </row>
    <row r="43" spans="1:11" x14ac:dyDescent="0.2">
      <c r="B43" s="221"/>
    </row>
    <row r="44" spans="1:11" x14ac:dyDescent="0.2">
      <c r="B44" s="221"/>
    </row>
    <row r="45" spans="1:11" x14ac:dyDescent="0.2">
      <c r="B45" s="221"/>
    </row>
  </sheetData>
  <sheetProtection sheet="1" objects="1" scenarios="1"/>
  <mergeCells count="7">
    <mergeCell ref="A2:K2"/>
    <mergeCell ref="G31:K31"/>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00B0F0"/>
    <pageSetUpPr fitToPage="1"/>
  </sheetPr>
  <dimension ref="A1:L45"/>
  <sheetViews>
    <sheetView workbookViewId="0">
      <selection activeCell="L17" sqref="L17"/>
    </sheetView>
  </sheetViews>
  <sheetFormatPr defaultColWidth="8.88671875" defaultRowHeight="15.75" x14ac:dyDescent="0.2"/>
  <cols>
    <col min="1" max="1" width="11.5546875" style="16" customWidth="1"/>
    <col min="2" max="2" width="7.44140625" style="16" customWidth="1"/>
    <col min="3" max="3" width="11.5546875" style="16" customWidth="1"/>
    <col min="4" max="4" width="7.44140625" style="16" customWidth="1"/>
    <col min="5" max="5" width="11.5546875" style="16" customWidth="1"/>
    <col min="6" max="6" width="7.44140625" style="16" customWidth="1"/>
    <col min="7" max="7" width="11.5546875" style="16" customWidth="1"/>
    <col min="8" max="8" width="7.44140625" style="16" customWidth="1"/>
    <col min="9" max="9" width="11.5546875" style="16" customWidth="1"/>
    <col min="10" max="16384" width="8.88671875" style="16"/>
  </cols>
  <sheetData>
    <row r="1" spans="1:11" x14ac:dyDescent="0.2">
      <c r="A1" s="39">
        <f>inputPrYr!$D$3</f>
        <v>0</v>
      </c>
      <c r="B1" s="103"/>
      <c r="C1" s="20"/>
      <c r="D1" s="20"/>
      <c r="E1" s="20"/>
      <c r="F1" s="104" t="s">
        <v>163</v>
      </c>
      <c r="G1" s="20"/>
      <c r="H1" s="20"/>
      <c r="I1" s="20"/>
      <c r="J1" s="20"/>
      <c r="K1" s="20">
        <f>inputPrYr!$C$6</f>
        <v>2025</v>
      </c>
    </row>
    <row r="2" spans="1:11" x14ac:dyDescent="0.2">
      <c r="A2" s="897" t="str">
        <f>CONCATENATE("(Only the actual budget year for ",K1-2," is reported)")</f>
        <v>(Only the actual budget year for 2023 is reported)</v>
      </c>
      <c r="B2" s="897"/>
      <c r="C2" s="897"/>
      <c r="D2" s="897"/>
      <c r="E2" s="897"/>
      <c r="F2" s="897"/>
      <c r="G2" s="897"/>
      <c r="H2" s="897"/>
      <c r="I2" s="897"/>
      <c r="J2" s="897"/>
      <c r="K2" s="897"/>
    </row>
    <row r="3" spans="1:11" x14ac:dyDescent="0.2">
      <c r="A3" s="20" t="s">
        <v>193</v>
      </c>
      <c r="B3" s="20"/>
      <c r="C3" s="20"/>
      <c r="D3" s="20"/>
      <c r="E3" s="20"/>
      <c r="F3" s="103"/>
      <c r="G3" s="20"/>
      <c r="H3" s="20"/>
      <c r="I3" s="20"/>
      <c r="J3" s="20"/>
      <c r="K3" s="20"/>
    </row>
    <row r="4" spans="1:11" x14ac:dyDescent="0.2">
      <c r="A4" s="20" t="s">
        <v>155</v>
      </c>
      <c r="B4" s="20"/>
      <c r="C4" s="20" t="s">
        <v>156</v>
      </c>
      <c r="D4" s="20"/>
      <c r="E4" s="20" t="s">
        <v>157</v>
      </c>
      <c r="F4" s="103"/>
      <c r="G4" s="20" t="s">
        <v>158</v>
      </c>
      <c r="H4" s="20"/>
      <c r="I4" s="20" t="s">
        <v>159</v>
      </c>
      <c r="J4" s="20"/>
      <c r="K4" s="20"/>
    </row>
    <row r="5" spans="1:11" x14ac:dyDescent="0.2">
      <c r="A5" s="899" t="str">
        <f>IF(inputPrYr!B72&gt;" ",(inputPrYr!B72)," ")</f>
        <v xml:space="preserve"> </v>
      </c>
      <c r="B5" s="900"/>
      <c r="C5" s="899" t="str">
        <f>IF(inputPrYr!B73&gt;" ",(inputPrYr!B73)," ")</f>
        <v xml:space="preserve"> </v>
      </c>
      <c r="D5" s="900"/>
      <c r="E5" s="899" t="str">
        <f>IF(inputPrYr!B74&gt;" ",(inputPrYr!B74)," ")</f>
        <v xml:space="preserve"> </v>
      </c>
      <c r="F5" s="900"/>
      <c r="G5" s="899" t="str">
        <f>IF(inputPrYr!B75&gt;" ",(inputPrYr!B75)," ")</f>
        <v xml:space="preserve"> </v>
      </c>
      <c r="H5" s="900"/>
      <c r="I5" s="899" t="str">
        <f>IF(inputPrYr!B76&gt;" ",(inputPrYr!B76)," ")</f>
        <v xml:space="preserve"> </v>
      </c>
      <c r="J5" s="900"/>
      <c r="K5" s="35"/>
    </row>
    <row r="6" spans="1:11" x14ac:dyDescent="0.2">
      <c r="A6" s="203" t="s">
        <v>160</v>
      </c>
      <c r="B6" s="204"/>
      <c r="C6" s="205" t="s">
        <v>160</v>
      </c>
      <c r="D6" s="206"/>
      <c r="E6" s="205" t="s">
        <v>160</v>
      </c>
      <c r="F6" s="97"/>
      <c r="G6" s="205" t="s">
        <v>160</v>
      </c>
      <c r="H6" s="46"/>
      <c r="I6" s="205" t="s">
        <v>160</v>
      </c>
      <c r="J6" s="20"/>
      <c r="K6" s="93" t="s">
        <v>35</v>
      </c>
    </row>
    <row r="7" spans="1:11" x14ac:dyDescent="0.2">
      <c r="A7" s="207" t="s">
        <v>10</v>
      </c>
      <c r="B7" s="208"/>
      <c r="C7" s="209" t="s">
        <v>10</v>
      </c>
      <c r="D7" s="208"/>
      <c r="E7" s="209" t="s">
        <v>10</v>
      </c>
      <c r="F7" s="208"/>
      <c r="G7" s="209" t="s">
        <v>10</v>
      </c>
      <c r="H7" s="208"/>
      <c r="I7" s="209" t="s">
        <v>10</v>
      </c>
      <c r="J7" s="208"/>
      <c r="K7" s="210">
        <f>SUM(B7+D7+F7+H7+J7)</f>
        <v>0</v>
      </c>
    </row>
    <row r="8" spans="1:11" x14ac:dyDescent="0.2">
      <c r="A8" s="211" t="s">
        <v>142</v>
      </c>
      <c r="B8" s="212"/>
      <c r="C8" s="211" t="s">
        <v>142</v>
      </c>
      <c r="D8" s="213"/>
      <c r="E8" s="211" t="s">
        <v>142</v>
      </c>
      <c r="F8" s="103"/>
      <c r="G8" s="211" t="s">
        <v>142</v>
      </c>
      <c r="H8" s="20"/>
      <c r="I8" s="211" t="s">
        <v>142</v>
      </c>
      <c r="J8" s="20"/>
      <c r="K8" s="103"/>
    </row>
    <row r="9" spans="1:11" x14ac:dyDescent="0.2">
      <c r="A9" s="214"/>
      <c r="B9" s="208"/>
      <c r="C9" s="214"/>
      <c r="D9" s="208"/>
      <c r="E9" s="214"/>
      <c r="F9" s="208"/>
      <c r="G9" s="214"/>
      <c r="H9" s="208"/>
      <c r="I9" s="214"/>
      <c r="J9" s="208"/>
      <c r="K9" s="103"/>
    </row>
    <row r="10" spans="1:11" x14ac:dyDescent="0.2">
      <c r="A10" s="214"/>
      <c r="B10" s="208"/>
      <c r="C10" s="214"/>
      <c r="D10" s="208"/>
      <c r="E10" s="214"/>
      <c r="F10" s="208"/>
      <c r="G10" s="214"/>
      <c r="H10" s="208"/>
      <c r="I10" s="214"/>
      <c r="J10" s="208"/>
      <c r="K10" s="103"/>
    </row>
    <row r="11" spans="1:11" x14ac:dyDescent="0.2">
      <c r="A11" s="214"/>
      <c r="B11" s="208"/>
      <c r="C11" s="215"/>
      <c r="D11" s="208"/>
      <c r="E11" s="215"/>
      <c r="F11" s="208"/>
      <c r="G11" s="215"/>
      <c r="H11" s="208"/>
      <c r="I11" s="216"/>
      <c r="J11" s="208"/>
      <c r="K11" s="103"/>
    </row>
    <row r="12" spans="1:11" x14ac:dyDescent="0.2">
      <c r="A12" s="214"/>
      <c r="B12" s="208"/>
      <c r="C12" s="214"/>
      <c r="D12" s="208"/>
      <c r="E12" s="217"/>
      <c r="F12" s="208"/>
      <c r="G12" s="217"/>
      <c r="H12" s="208"/>
      <c r="I12" s="217"/>
      <c r="J12" s="208"/>
      <c r="K12" s="103"/>
    </row>
    <row r="13" spans="1:11" x14ac:dyDescent="0.2">
      <c r="A13" s="218"/>
      <c r="B13" s="208"/>
      <c r="C13" s="219"/>
      <c r="D13" s="208"/>
      <c r="E13" s="219"/>
      <c r="F13" s="208"/>
      <c r="G13" s="219"/>
      <c r="H13" s="208"/>
      <c r="I13" s="216"/>
      <c r="J13" s="208"/>
      <c r="K13" s="103"/>
    </row>
    <row r="14" spans="1:11" x14ac:dyDescent="0.2">
      <c r="A14" s="214"/>
      <c r="B14" s="208"/>
      <c r="C14" s="217"/>
      <c r="D14" s="208"/>
      <c r="E14" s="217"/>
      <c r="F14" s="208"/>
      <c r="G14" s="217"/>
      <c r="H14" s="208"/>
      <c r="I14" s="217"/>
      <c r="J14" s="208"/>
      <c r="K14" s="103"/>
    </row>
    <row r="15" spans="1:11" x14ac:dyDescent="0.2">
      <c r="A15" s="214"/>
      <c r="B15" s="208"/>
      <c r="C15" s="217"/>
      <c r="D15" s="208"/>
      <c r="E15" s="217"/>
      <c r="F15" s="208"/>
      <c r="G15" s="217"/>
      <c r="H15" s="208"/>
      <c r="I15" s="217"/>
      <c r="J15" s="208"/>
      <c r="K15" s="103"/>
    </row>
    <row r="16" spans="1:11" x14ac:dyDescent="0.2">
      <c r="A16" s="214"/>
      <c r="B16" s="208"/>
      <c r="C16" s="214"/>
      <c r="D16" s="208"/>
      <c r="E16" s="214"/>
      <c r="F16" s="208"/>
      <c r="G16" s="217"/>
      <c r="H16" s="208"/>
      <c r="I16" s="214"/>
      <c r="J16" s="208"/>
      <c r="K16" s="103"/>
    </row>
    <row r="17" spans="1:12" x14ac:dyDescent="0.2">
      <c r="A17" s="211" t="s">
        <v>68</v>
      </c>
      <c r="B17" s="210">
        <f>SUM(B9:B16)</f>
        <v>0</v>
      </c>
      <c r="C17" s="211" t="s">
        <v>68</v>
      </c>
      <c r="D17" s="210">
        <f>SUM(D9:D16)</f>
        <v>0</v>
      </c>
      <c r="E17" s="211" t="s">
        <v>68</v>
      </c>
      <c r="F17" s="251">
        <f>SUM(F9:F16)</f>
        <v>0</v>
      </c>
      <c r="G17" s="211" t="s">
        <v>68</v>
      </c>
      <c r="H17" s="210">
        <f>SUM(H9:H16)</f>
        <v>0</v>
      </c>
      <c r="I17" s="211" t="s">
        <v>68</v>
      </c>
      <c r="J17" s="210">
        <f>SUM(J9:J16)</f>
        <v>0</v>
      </c>
      <c r="K17" s="210">
        <f>SUM(B17+D17+F17+H17+J17)</f>
        <v>0</v>
      </c>
    </row>
    <row r="18" spans="1:12" x14ac:dyDescent="0.2">
      <c r="A18" s="211" t="s">
        <v>69</v>
      </c>
      <c r="B18" s="210">
        <f>SUM(B7+B17)</f>
        <v>0</v>
      </c>
      <c r="C18" s="211" t="s">
        <v>69</v>
      </c>
      <c r="D18" s="210">
        <f>SUM(D7+D17)</f>
        <v>0</v>
      </c>
      <c r="E18" s="211" t="s">
        <v>69</v>
      </c>
      <c r="F18" s="210">
        <f>SUM(F7+F17)</f>
        <v>0</v>
      </c>
      <c r="G18" s="211" t="s">
        <v>69</v>
      </c>
      <c r="H18" s="210">
        <f>SUM(H7+H17)</f>
        <v>0</v>
      </c>
      <c r="I18" s="211" t="s">
        <v>69</v>
      </c>
      <c r="J18" s="210">
        <f>SUM(J7+J17)</f>
        <v>0</v>
      </c>
      <c r="K18" s="210">
        <f>SUM(B18+D18+F18+H18+J18)</f>
        <v>0</v>
      </c>
    </row>
    <row r="19" spans="1:12" x14ac:dyDescent="0.2">
      <c r="A19" s="211" t="s">
        <v>71</v>
      </c>
      <c r="B19" s="212"/>
      <c r="C19" s="211" t="s">
        <v>71</v>
      </c>
      <c r="D19" s="213"/>
      <c r="E19" s="211" t="s">
        <v>71</v>
      </c>
      <c r="F19" s="103"/>
      <c r="G19" s="211" t="s">
        <v>71</v>
      </c>
      <c r="H19" s="20"/>
      <c r="I19" s="211" t="s">
        <v>71</v>
      </c>
      <c r="J19" s="20"/>
      <c r="K19" s="103"/>
    </row>
    <row r="20" spans="1:12" x14ac:dyDescent="0.2">
      <c r="A20" s="214"/>
      <c r="B20" s="208"/>
      <c r="C20" s="217"/>
      <c r="D20" s="208"/>
      <c r="E20" s="217"/>
      <c r="F20" s="208"/>
      <c r="G20" s="217"/>
      <c r="H20" s="208"/>
      <c r="I20" s="217"/>
      <c r="J20" s="208"/>
      <c r="K20" s="103"/>
    </row>
    <row r="21" spans="1:12" x14ac:dyDescent="0.2">
      <c r="A21" s="214"/>
      <c r="B21" s="208"/>
      <c r="C21" s="217"/>
      <c r="D21" s="208"/>
      <c r="E21" s="217"/>
      <c r="F21" s="208"/>
      <c r="G21" s="217"/>
      <c r="H21" s="208"/>
      <c r="I21" s="217"/>
      <c r="J21" s="208"/>
      <c r="K21" s="103"/>
    </row>
    <row r="22" spans="1:12" x14ac:dyDescent="0.2">
      <c r="A22" s="214"/>
      <c r="B22" s="208"/>
      <c r="C22" s="219"/>
      <c r="D22" s="208"/>
      <c r="E22" s="219"/>
      <c r="F22" s="208"/>
      <c r="G22" s="219"/>
      <c r="H22" s="208"/>
      <c r="I22" s="216"/>
      <c r="J22" s="208"/>
      <c r="K22" s="103"/>
    </row>
    <row r="23" spans="1:12" x14ac:dyDescent="0.2">
      <c r="A23" s="214"/>
      <c r="B23" s="208"/>
      <c r="C23" s="217"/>
      <c r="D23" s="208"/>
      <c r="E23" s="217"/>
      <c r="F23" s="208"/>
      <c r="G23" s="217"/>
      <c r="H23" s="208"/>
      <c r="I23" s="217"/>
      <c r="J23" s="208"/>
      <c r="K23" s="103"/>
    </row>
    <row r="24" spans="1:12" x14ac:dyDescent="0.2">
      <c r="A24" s="214"/>
      <c r="B24" s="208"/>
      <c r="C24" s="219"/>
      <c r="D24" s="208"/>
      <c r="E24" s="219"/>
      <c r="F24" s="208"/>
      <c r="G24" s="219"/>
      <c r="H24" s="208"/>
      <c r="I24" s="216"/>
      <c r="J24" s="208"/>
      <c r="K24" s="103"/>
    </row>
    <row r="25" spans="1:12" x14ac:dyDescent="0.2">
      <c r="A25" s="214"/>
      <c r="B25" s="208"/>
      <c r="C25" s="217"/>
      <c r="D25" s="208"/>
      <c r="E25" s="217"/>
      <c r="F25" s="208"/>
      <c r="G25" s="217"/>
      <c r="H25" s="208"/>
      <c r="I25" s="217"/>
      <c r="J25" s="208"/>
      <c r="K25" s="103"/>
    </row>
    <row r="26" spans="1:12" x14ac:dyDescent="0.2">
      <c r="A26" s="214"/>
      <c r="B26" s="208"/>
      <c r="C26" s="217"/>
      <c r="D26" s="208"/>
      <c r="E26" s="217"/>
      <c r="F26" s="208"/>
      <c r="G26" s="217"/>
      <c r="H26" s="208"/>
      <c r="I26" s="217"/>
      <c r="J26" s="208"/>
      <c r="K26" s="103"/>
    </row>
    <row r="27" spans="1:12" x14ac:dyDescent="0.2">
      <c r="A27" s="214"/>
      <c r="B27" s="208"/>
      <c r="C27" s="214"/>
      <c r="D27" s="208"/>
      <c r="E27" s="214"/>
      <c r="F27" s="208"/>
      <c r="G27" s="217"/>
      <c r="H27" s="208"/>
      <c r="I27" s="217"/>
      <c r="J27" s="208"/>
      <c r="K27" s="103"/>
    </row>
    <row r="28" spans="1:12" x14ac:dyDescent="0.2">
      <c r="A28" s="211" t="s">
        <v>75</v>
      </c>
      <c r="B28" s="210">
        <f>SUM(B20:B27)</f>
        <v>0</v>
      </c>
      <c r="C28" s="211" t="s">
        <v>75</v>
      </c>
      <c r="D28" s="210">
        <f>SUM(D20:D27)</f>
        <v>0</v>
      </c>
      <c r="E28" s="211" t="s">
        <v>75</v>
      </c>
      <c r="F28" s="251">
        <f>SUM(F20:F27)</f>
        <v>0</v>
      </c>
      <c r="G28" s="211" t="s">
        <v>75</v>
      </c>
      <c r="H28" s="251">
        <f>SUM(H20:H27)</f>
        <v>0</v>
      </c>
      <c r="I28" s="211" t="s">
        <v>75</v>
      </c>
      <c r="J28" s="210">
        <f>SUM(J20:J27)</f>
        <v>0</v>
      </c>
      <c r="K28" s="210">
        <f>SUM(B28+D28+F28+H28+J28)</f>
        <v>0</v>
      </c>
    </row>
    <row r="29" spans="1:12" x14ac:dyDescent="0.2">
      <c r="A29" s="211" t="s">
        <v>161</v>
      </c>
      <c r="B29" s="210">
        <f>SUM(B18-B28)</f>
        <v>0</v>
      </c>
      <c r="C29" s="211" t="s">
        <v>161</v>
      </c>
      <c r="D29" s="210">
        <f>SUM(D18-D28)</f>
        <v>0</v>
      </c>
      <c r="E29" s="211" t="s">
        <v>161</v>
      </c>
      <c r="F29" s="210">
        <f>SUM(F18-F28)</f>
        <v>0</v>
      </c>
      <c r="G29" s="211" t="s">
        <v>161</v>
      </c>
      <c r="H29" s="210">
        <f>SUM(H18-H28)</f>
        <v>0</v>
      </c>
      <c r="I29" s="211" t="s">
        <v>161</v>
      </c>
      <c r="J29" s="210">
        <f>SUM(J18-J28)</f>
        <v>0</v>
      </c>
      <c r="K29" s="220">
        <f>SUM(B29+D29+F29+H29+J29)</f>
        <v>0</v>
      </c>
      <c r="L29" s="16" t="s">
        <v>219</v>
      </c>
    </row>
    <row r="30" spans="1:12" x14ac:dyDescent="0.2">
      <c r="A30" s="211"/>
      <c r="B30" s="240" t="str">
        <f>IF(B29&lt;0,"See Tab B","")</f>
        <v/>
      </c>
      <c r="C30" s="211"/>
      <c r="D30" s="240" t="str">
        <f>IF(D29&lt;0,"See Tab B","")</f>
        <v/>
      </c>
      <c r="E30" s="211"/>
      <c r="F30" s="240" t="str">
        <f>IF(F29&lt;0,"See Tab B","")</f>
        <v/>
      </c>
      <c r="G30" s="20"/>
      <c r="H30" s="240" t="str">
        <f>IF(H29&lt;0,"See Tab B","")</f>
        <v/>
      </c>
      <c r="I30" s="20"/>
      <c r="J30" s="240" t="str">
        <f>IF(J29&lt;0,"See Tab B","")</f>
        <v/>
      </c>
      <c r="K30" s="220">
        <f>SUM(K7+K17-K28)</f>
        <v>0</v>
      </c>
      <c r="L30" s="16" t="s">
        <v>219</v>
      </c>
    </row>
    <row r="31" spans="1:12" x14ac:dyDescent="0.2">
      <c r="A31" s="20"/>
      <c r="B31" s="48"/>
      <c r="C31" s="20"/>
      <c r="D31" s="103"/>
      <c r="E31" s="20"/>
      <c r="F31" s="20"/>
      <c r="G31" s="898" t="s">
        <v>221</v>
      </c>
      <c r="H31" s="898"/>
      <c r="I31" s="898"/>
      <c r="J31" s="898"/>
      <c r="K31" s="898"/>
    </row>
    <row r="32" spans="1:12" x14ac:dyDescent="0.2">
      <c r="A32" s="20"/>
      <c r="B32" s="48"/>
      <c r="C32" s="20"/>
      <c r="D32" s="20"/>
      <c r="E32" s="20"/>
      <c r="F32" s="20"/>
      <c r="G32" s="20"/>
      <c r="H32" s="20"/>
      <c r="I32" s="20"/>
      <c r="J32" s="20"/>
      <c r="K32" s="20"/>
    </row>
    <row r="33" spans="1:11" x14ac:dyDescent="0.2">
      <c r="A33" s="198" t="s">
        <v>530</v>
      </c>
      <c r="B33" s="106"/>
      <c r="C33" s="61"/>
      <c r="D33" s="61"/>
      <c r="E33" s="61"/>
      <c r="F33" s="61"/>
      <c r="G33" s="61"/>
      <c r="H33" s="61"/>
      <c r="I33" s="61"/>
      <c r="J33" s="61"/>
      <c r="K33" s="677"/>
    </row>
    <row r="34" spans="1:11" x14ac:dyDescent="0.2">
      <c r="A34" s="707"/>
      <c r="B34" s="48"/>
      <c r="C34" s="20"/>
      <c r="D34" s="20"/>
      <c r="E34" s="20"/>
      <c r="F34" s="20"/>
      <c r="G34" s="20"/>
      <c r="H34" s="20"/>
      <c r="I34" s="20"/>
      <c r="J34" s="20"/>
      <c r="K34" s="708"/>
    </row>
    <row r="35" spans="1:11" x14ac:dyDescent="0.2">
      <c r="A35" s="498"/>
      <c r="B35" s="105"/>
      <c r="C35" s="35"/>
      <c r="D35" s="35"/>
      <c r="E35" s="35"/>
      <c r="F35" s="35"/>
      <c r="G35" s="35"/>
      <c r="H35" s="35"/>
      <c r="I35" s="35"/>
      <c r="J35" s="35"/>
      <c r="K35" s="41"/>
    </row>
    <row r="36" spans="1:11" x14ac:dyDescent="0.2">
      <c r="A36" s="20"/>
      <c r="B36" s="48"/>
      <c r="C36" s="20"/>
      <c r="D36" s="20"/>
      <c r="E36" s="20"/>
      <c r="F36" s="20"/>
      <c r="G36" s="20"/>
      <c r="H36" s="20"/>
      <c r="I36" s="20"/>
      <c r="J36" s="20"/>
      <c r="K36" s="20"/>
    </row>
    <row r="37" spans="1:11" x14ac:dyDescent="0.2">
      <c r="A37" s="20"/>
      <c r="B37" s="48"/>
      <c r="C37" s="20"/>
      <c r="D37" s="20"/>
      <c r="E37" s="73" t="s">
        <v>78</v>
      </c>
      <c r="F37" s="186"/>
      <c r="G37" s="20"/>
      <c r="H37" s="20"/>
      <c r="I37" s="20"/>
      <c r="J37" s="20"/>
      <c r="K37" s="20"/>
    </row>
    <row r="38" spans="1:11" x14ac:dyDescent="0.2">
      <c r="B38" s="221"/>
    </row>
    <row r="39" spans="1:11" x14ac:dyDescent="0.2">
      <c r="B39" s="221"/>
    </row>
    <row r="40" spans="1:11" x14ac:dyDescent="0.2">
      <c r="B40" s="221"/>
    </row>
    <row r="41" spans="1:11" x14ac:dyDescent="0.2">
      <c r="B41" s="221"/>
    </row>
    <row r="42" spans="1:11" x14ac:dyDescent="0.2">
      <c r="B42" s="221"/>
    </row>
    <row r="43" spans="1:11" x14ac:dyDescent="0.2">
      <c r="B43" s="221"/>
    </row>
    <row r="44" spans="1:11" x14ac:dyDescent="0.2">
      <c r="B44" s="221"/>
    </row>
    <row r="45" spans="1:11" x14ac:dyDescent="0.2">
      <c r="B45" s="221"/>
    </row>
  </sheetData>
  <sheetProtection sheet="1" objects="1" scenarios="1"/>
  <mergeCells count="7">
    <mergeCell ref="A2:K2"/>
    <mergeCell ref="G31:K31"/>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00B0F0"/>
    <pageSetUpPr fitToPage="1"/>
  </sheetPr>
  <dimension ref="A1:L45"/>
  <sheetViews>
    <sheetView workbookViewId="0">
      <selection activeCell="L17" sqref="L17"/>
    </sheetView>
  </sheetViews>
  <sheetFormatPr defaultColWidth="8.88671875" defaultRowHeight="15.75" x14ac:dyDescent="0.2"/>
  <cols>
    <col min="1" max="1" width="11.5546875" style="16" customWidth="1"/>
    <col min="2" max="2" width="7.44140625" style="16" customWidth="1"/>
    <col min="3" max="3" width="11.5546875" style="16" customWidth="1"/>
    <col min="4" max="4" width="7.44140625" style="16" customWidth="1"/>
    <col min="5" max="5" width="11.5546875" style="16" customWidth="1"/>
    <col min="6" max="6" width="7.44140625" style="16" customWidth="1"/>
    <col min="7" max="7" width="11.5546875" style="16" customWidth="1"/>
    <col min="8" max="8" width="7.44140625" style="16" customWidth="1"/>
    <col min="9" max="9" width="11.5546875" style="16" customWidth="1"/>
    <col min="10" max="16384" width="8.88671875" style="16"/>
  </cols>
  <sheetData>
    <row r="1" spans="1:11" x14ac:dyDescent="0.2">
      <c r="A1" s="39">
        <f>inputPrYr!$D$3</f>
        <v>0</v>
      </c>
      <c r="B1" s="103"/>
      <c r="C1" s="20"/>
      <c r="D1" s="20"/>
      <c r="E1" s="20"/>
      <c r="F1" s="104" t="s">
        <v>164</v>
      </c>
      <c r="G1" s="20"/>
      <c r="H1" s="20"/>
      <c r="I1" s="20"/>
      <c r="J1" s="20"/>
      <c r="K1" s="20">
        <f>inputPrYr!$C$6</f>
        <v>2025</v>
      </c>
    </row>
    <row r="2" spans="1:11" x14ac:dyDescent="0.2">
      <c r="A2" s="897" t="str">
        <f>CONCATENATE("(Only the actual budget year for ",K1-2," is reported)")</f>
        <v>(Only the actual budget year for 2023 is reported)</v>
      </c>
      <c r="B2" s="897"/>
      <c r="C2" s="897"/>
      <c r="D2" s="897"/>
      <c r="E2" s="897"/>
      <c r="F2" s="897"/>
      <c r="G2" s="897"/>
      <c r="H2" s="897"/>
      <c r="I2" s="897"/>
      <c r="J2" s="897"/>
      <c r="K2" s="897"/>
    </row>
    <row r="3" spans="1:11" x14ac:dyDescent="0.2">
      <c r="A3" s="20" t="s">
        <v>194</v>
      </c>
      <c r="B3" s="20"/>
      <c r="C3" s="20"/>
      <c r="D3" s="20"/>
      <c r="E3" s="20"/>
      <c r="F3" s="103"/>
      <c r="G3" s="20"/>
      <c r="H3" s="20"/>
      <c r="I3" s="20"/>
      <c r="J3" s="20"/>
      <c r="K3" s="20"/>
    </row>
    <row r="4" spans="1:11" x14ac:dyDescent="0.2">
      <c r="A4" s="20" t="s">
        <v>155</v>
      </c>
      <c r="B4" s="20"/>
      <c r="C4" s="20" t="s">
        <v>156</v>
      </c>
      <c r="D4" s="20"/>
      <c r="E4" s="20" t="s">
        <v>157</v>
      </c>
      <c r="F4" s="103"/>
      <c r="G4" s="20" t="s">
        <v>158</v>
      </c>
      <c r="H4" s="20"/>
      <c r="I4" s="20" t="s">
        <v>159</v>
      </c>
      <c r="J4" s="20"/>
      <c r="K4" s="20"/>
    </row>
    <row r="5" spans="1:11" x14ac:dyDescent="0.2">
      <c r="A5" s="899" t="str">
        <f>IF(inputPrYr!B78&gt;" ",(inputPrYr!B78)," ")</f>
        <v xml:space="preserve"> </v>
      </c>
      <c r="B5" s="900"/>
      <c r="C5" s="899" t="str">
        <f>IF(inputPrYr!B79&gt;" ",(inputPrYr!B79)," ")</f>
        <v xml:space="preserve"> </v>
      </c>
      <c r="D5" s="900"/>
      <c r="E5" s="899" t="str">
        <f>IF(inputPrYr!B80&gt;" ",(inputPrYr!B80)," ")</f>
        <v xml:space="preserve"> </v>
      </c>
      <c r="F5" s="900"/>
      <c r="G5" s="899" t="str">
        <f>IF(inputPrYr!B81&gt;" ",(inputPrYr!B81)," ")</f>
        <v xml:space="preserve"> </v>
      </c>
      <c r="H5" s="900"/>
      <c r="I5" s="899" t="str">
        <f>IF(inputPrYr!B82&gt;" ",(inputPrYr!B82)," ")</f>
        <v xml:space="preserve"> </v>
      </c>
      <c r="J5" s="900"/>
      <c r="K5" s="35"/>
    </row>
    <row r="6" spans="1:11" x14ac:dyDescent="0.2">
      <c r="A6" s="203" t="s">
        <v>160</v>
      </c>
      <c r="B6" s="204"/>
      <c r="C6" s="205" t="s">
        <v>160</v>
      </c>
      <c r="D6" s="206"/>
      <c r="E6" s="205" t="s">
        <v>160</v>
      </c>
      <c r="F6" s="97"/>
      <c r="G6" s="205" t="s">
        <v>160</v>
      </c>
      <c r="H6" s="46"/>
      <c r="I6" s="205" t="s">
        <v>160</v>
      </c>
      <c r="J6" s="20"/>
      <c r="K6" s="93" t="s">
        <v>35</v>
      </c>
    </row>
    <row r="7" spans="1:11" x14ac:dyDescent="0.2">
      <c r="A7" s="207" t="s">
        <v>10</v>
      </c>
      <c r="B7" s="208"/>
      <c r="C7" s="209" t="s">
        <v>10</v>
      </c>
      <c r="D7" s="208"/>
      <c r="E7" s="209" t="s">
        <v>10</v>
      </c>
      <c r="F7" s="208"/>
      <c r="G7" s="209" t="s">
        <v>10</v>
      </c>
      <c r="H7" s="208"/>
      <c r="I7" s="209" t="s">
        <v>10</v>
      </c>
      <c r="J7" s="208"/>
      <c r="K7" s="210">
        <f>SUM(B7+D7+F7+H7+J7)</f>
        <v>0</v>
      </c>
    </row>
    <row r="8" spans="1:11" x14ac:dyDescent="0.2">
      <c r="A8" s="211" t="s">
        <v>142</v>
      </c>
      <c r="B8" s="212"/>
      <c r="C8" s="211" t="s">
        <v>142</v>
      </c>
      <c r="D8" s="213"/>
      <c r="E8" s="211" t="s">
        <v>142</v>
      </c>
      <c r="F8" s="103"/>
      <c r="G8" s="211" t="s">
        <v>142</v>
      </c>
      <c r="H8" s="20"/>
      <c r="I8" s="211" t="s">
        <v>142</v>
      </c>
      <c r="J8" s="20"/>
      <c r="K8" s="103"/>
    </row>
    <row r="9" spans="1:11" x14ac:dyDescent="0.2">
      <c r="A9" s="214"/>
      <c r="B9" s="208"/>
      <c r="C9" s="214"/>
      <c r="D9" s="208"/>
      <c r="E9" s="214"/>
      <c r="F9" s="208"/>
      <c r="G9" s="214"/>
      <c r="H9" s="208"/>
      <c r="I9" s="214"/>
      <c r="J9" s="208"/>
      <c r="K9" s="103"/>
    </row>
    <row r="10" spans="1:11" x14ac:dyDescent="0.2">
      <c r="A10" s="214"/>
      <c r="B10" s="208"/>
      <c r="C10" s="214"/>
      <c r="D10" s="208"/>
      <c r="E10" s="214"/>
      <c r="F10" s="208"/>
      <c r="G10" s="214"/>
      <c r="H10" s="208"/>
      <c r="I10" s="214"/>
      <c r="J10" s="208"/>
      <c r="K10" s="103"/>
    </row>
    <row r="11" spans="1:11" x14ac:dyDescent="0.2">
      <c r="A11" s="214"/>
      <c r="B11" s="208"/>
      <c r="C11" s="215"/>
      <c r="D11" s="208"/>
      <c r="E11" s="215"/>
      <c r="F11" s="208"/>
      <c r="G11" s="215"/>
      <c r="H11" s="208"/>
      <c r="I11" s="216"/>
      <c r="J11" s="208"/>
      <c r="K11" s="103"/>
    </row>
    <row r="12" spans="1:11" x14ac:dyDescent="0.2">
      <c r="A12" s="214"/>
      <c r="B12" s="208"/>
      <c r="C12" s="214"/>
      <c r="D12" s="208"/>
      <c r="E12" s="217"/>
      <c r="F12" s="208"/>
      <c r="G12" s="217"/>
      <c r="H12" s="208"/>
      <c r="I12" s="217"/>
      <c r="J12" s="208"/>
      <c r="K12" s="103"/>
    </row>
    <row r="13" spans="1:11" x14ac:dyDescent="0.2">
      <c r="A13" s="218"/>
      <c r="B13" s="208"/>
      <c r="C13" s="219"/>
      <c r="D13" s="208"/>
      <c r="E13" s="219"/>
      <c r="F13" s="208"/>
      <c r="G13" s="219"/>
      <c r="H13" s="208"/>
      <c r="I13" s="216"/>
      <c r="J13" s="208"/>
      <c r="K13" s="103"/>
    </row>
    <row r="14" spans="1:11" x14ac:dyDescent="0.2">
      <c r="A14" s="214"/>
      <c r="B14" s="208"/>
      <c r="C14" s="217"/>
      <c r="D14" s="208"/>
      <c r="E14" s="217"/>
      <c r="F14" s="208"/>
      <c r="G14" s="217"/>
      <c r="H14" s="208"/>
      <c r="I14" s="217"/>
      <c r="J14" s="208"/>
      <c r="K14" s="103"/>
    </row>
    <row r="15" spans="1:11" x14ac:dyDescent="0.2">
      <c r="A15" s="214"/>
      <c r="B15" s="208"/>
      <c r="C15" s="217"/>
      <c r="D15" s="208"/>
      <c r="E15" s="217"/>
      <c r="F15" s="208"/>
      <c r="G15" s="217"/>
      <c r="H15" s="208"/>
      <c r="I15" s="217"/>
      <c r="J15" s="208"/>
      <c r="K15" s="103"/>
    </row>
    <row r="16" spans="1:11" x14ac:dyDescent="0.2">
      <c r="A16" s="214"/>
      <c r="B16" s="208"/>
      <c r="C16" s="214"/>
      <c r="D16" s="208"/>
      <c r="E16" s="214"/>
      <c r="F16" s="208"/>
      <c r="G16" s="217"/>
      <c r="H16" s="208"/>
      <c r="I16" s="214"/>
      <c r="J16" s="208"/>
      <c r="K16" s="103"/>
    </row>
    <row r="17" spans="1:12" x14ac:dyDescent="0.2">
      <c r="A17" s="211" t="s">
        <v>68</v>
      </c>
      <c r="B17" s="210">
        <f>SUM(B9:B16)</f>
        <v>0</v>
      </c>
      <c r="C17" s="211" t="s">
        <v>68</v>
      </c>
      <c r="D17" s="210">
        <f>SUM(D9:D16)</f>
        <v>0</v>
      </c>
      <c r="E17" s="211" t="s">
        <v>68</v>
      </c>
      <c r="F17" s="251">
        <f>SUM(F9:F16)</f>
        <v>0</v>
      </c>
      <c r="G17" s="211" t="s">
        <v>68</v>
      </c>
      <c r="H17" s="210">
        <f>SUM(H9:H16)</f>
        <v>0</v>
      </c>
      <c r="I17" s="211" t="s">
        <v>68</v>
      </c>
      <c r="J17" s="210">
        <f>SUM(J9:J16)</f>
        <v>0</v>
      </c>
      <c r="K17" s="210">
        <f>SUM(B17+D17+F17+H17+J17)</f>
        <v>0</v>
      </c>
    </row>
    <row r="18" spans="1:12" x14ac:dyDescent="0.2">
      <c r="A18" s="211" t="s">
        <v>69</v>
      </c>
      <c r="B18" s="210">
        <f>SUM(B7+B17)</f>
        <v>0</v>
      </c>
      <c r="C18" s="211" t="s">
        <v>69</v>
      </c>
      <c r="D18" s="210">
        <f>SUM(D7+D17)</f>
        <v>0</v>
      </c>
      <c r="E18" s="211" t="s">
        <v>69</v>
      </c>
      <c r="F18" s="210">
        <f>SUM(F7+F17)</f>
        <v>0</v>
      </c>
      <c r="G18" s="211" t="s">
        <v>69</v>
      </c>
      <c r="H18" s="210">
        <f>SUM(H7+H17)</f>
        <v>0</v>
      </c>
      <c r="I18" s="211" t="s">
        <v>69</v>
      </c>
      <c r="J18" s="210">
        <f>SUM(J7+J17)</f>
        <v>0</v>
      </c>
      <c r="K18" s="210">
        <f>SUM(B18+D18+F18+H18+J18)</f>
        <v>0</v>
      </c>
    </row>
    <row r="19" spans="1:12" x14ac:dyDescent="0.2">
      <c r="A19" s="211" t="s">
        <v>71</v>
      </c>
      <c r="B19" s="212"/>
      <c r="C19" s="211" t="s">
        <v>71</v>
      </c>
      <c r="D19" s="213"/>
      <c r="E19" s="211" t="s">
        <v>71</v>
      </c>
      <c r="F19" s="103"/>
      <c r="G19" s="211" t="s">
        <v>71</v>
      </c>
      <c r="H19" s="20"/>
      <c r="I19" s="211" t="s">
        <v>71</v>
      </c>
      <c r="J19" s="20"/>
      <c r="K19" s="103"/>
    </row>
    <row r="20" spans="1:12" x14ac:dyDescent="0.2">
      <c r="A20" s="214"/>
      <c r="B20" s="208"/>
      <c r="C20" s="217"/>
      <c r="D20" s="208"/>
      <c r="E20" s="217"/>
      <c r="F20" s="208"/>
      <c r="G20" s="217"/>
      <c r="H20" s="208"/>
      <c r="I20" s="217"/>
      <c r="J20" s="208"/>
      <c r="K20" s="103"/>
    </row>
    <row r="21" spans="1:12" x14ac:dyDescent="0.2">
      <c r="A21" s="214"/>
      <c r="B21" s="208"/>
      <c r="C21" s="217"/>
      <c r="D21" s="208"/>
      <c r="E21" s="217"/>
      <c r="F21" s="208"/>
      <c r="G21" s="217"/>
      <c r="H21" s="208"/>
      <c r="I21" s="217"/>
      <c r="J21" s="208"/>
      <c r="K21" s="103"/>
    </row>
    <row r="22" spans="1:12" x14ac:dyDescent="0.2">
      <c r="A22" s="214"/>
      <c r="B22" s="208"/>
      <c r="C22" s="219"/>
      <c r="D22" s="208"/>
      <c r="E22" s="219"/>
      <c r="F22" s="208"/>
      <c r="G22" s="219"/>
      <c r="H22" s="208"/>
      <c r="I22" s="216"/>
      <c r="J22" s="208"/>
      <c r="K22" s="103"/>
    </row>
    <row r="23" spans="1:12" x14ac:dyDescent="0.2">
      <c r="A23" s="214"/>
      <c r="B23" s="208"/>
      <c r="C23" s="217"/>
      <c r="D23" s="208"/>
      <c r="E23" s="217"/>
      <c r="F23" s="208"/>
      <c r="G23" s="217"/>
      <c r="H23" s="208"/>
      <c r="I23" s="217"/>
      <c r="J23" s="208"/>
      <c r="K23" s="103"/>
    </row>
    <row r="24" spans="1:12" x14ac:dyDescent="0.2">
      <c r="A24" s="214"/>
      <c r="B24" s="208"/>
      <c r="C24" s="219"/>
      <c r="D24" s="208"/>
      <c r="E24" s="219"/>
      <c r="F24" s="208"/>
      <c r="G24" s="219"/>
      <c r="H24" s="208"/>
      <c r="I24" s="216"/>
      <c r="J24" s="208"/>
      <c r="K24" s="103"/>
    </row>
    <row r="25" spans="1:12" x14ac:dyDescent="0.2">
      <c r="A25" s="214"/>
      <c r="B25" s="208"/>
      <c r="C25" s="217"/>
      <c r="D25" s="208"/>
      <c r="E25" s="217"/>
      <c r="F25" s="208"/>
      <c r="G25" s="217"/>
      <c r="H25" s="208"/>
      <c r="I25" s="217"/>
      <c r="J25" s="208"/>
      <c r="K25" s="103"/>
    </row>
    <row r="26" spans="1:12" x14ac:dyDescent="0.2">
      <c r="A26" s="214"/>
      <c r="B26" s="208"/>
      <c r="C26" s="217"/>
      <c r="D26" s="208"/>
      <c r="E26" s="217"/>
      <c r="F26" s="208"/>
      <c r="G26" s="217"/>
      <c r="H26" s="208"/>
      <c r="I26" s="217"/>
      <c r="J26" s="208"/>
      <c r="K26" s="103"/>
    </row>
    <row r="27" spans="1:12" x14ac:dyDescent="0.2">
      <c r="A27" s="214"/>
      <c r="B27" s="208"/>
      <c r="C27" s="214"/>
      <c r="D27" s="208"/>
      <c r="E27" s="214"/>
      <c r="F27" s="208"/>
      <c r="G27" s="217"/>
      <c r="H27" s="208"/>
      <c r="I27" s="217"/>
      <c r="J27" s="208"/>
      <c r="K27" s="103"/>
    </row>
    <row r="28" spans="1:12" x14ac:dyDescent="0.2">
      <c r="A28" s="211" t="s">
        <v>75</v>
      </c>
      <c r="B28" s="210">
        <f>SUM(B20:B27)</f>
        <v>0</v>
      </c>
      <c r="C28" s="211" t="s">
        <v>75</v>
      </c>
      <c r="D28" s="210">
        <f>SUM(D20:D27)</f>
        <v>0</v>
      </c>
      <c r="E28" s="211" t="s">
        <v>75</v>
      </c>
      <c r="F28" s="251">
        <f>SUM(F20:F27)</f>
        <v>0</v>
      </c>
      <c r="G28" s="211" t="s">
        <v>75</v>
      </c>
      <c r="H28" s="251">
        <f>SUM(H20:H27)</f>
        <v>0</v>
      </c>
      <c r="I28" s="211" t="s">
        <v>75</v>
      </c>
      <c r="J28" s="210">
        <f>SUM(J20:J27)</f>
        <v>0</v>
      </c>
      <c r="K28" s="210">
        <f>SUM(B28+D28+F28+H28+J28)</f>
        <v>0</v>
      </c>
    </row>
    <row r="29" spans="1:12" x14ac:dyDescent="0.2">
      <c r="A29" s="211" t="s">
        <v>161</v>
      </c>
      <c r="B29" s="210">
        <f>SUM(B18-B28)</f>
        <v>0</v>
      </c>
      <c r="C29" s="211" t="s">
        <v>161</v>
      </c>
      <c r="D29" s="210">
        <f>SUM(D18-D28)</f>
        <v>0</v>
      </c>
      <c r="E29" s="211" t="s">
        <v>161</v>
      </c>
      <c r="F29" s="210">
        <f>SUM(F18-F28)</f>
        <v>0</v>
      </c>
      <c r="G29" s="211" t="s">
        <v>161</v>
      </c>
      <c r="H29" s="210">
        <f>SUM(H18-H28)</f>
        <v>0</v>
      </c>
      <c r="I29" s="211" t="s">
        <v>161</v>
      </c>
      <c r="J29" s="210">
        <f>SUM(J18-J28)</f>
        <v>0</v>
      </c>
      <c r="K29" s="220">
        <f>SUM(B29+D29+F29+H29+J29)</f>
        <v>0</v>
      </c>
      <c r="L29" s="16" t="s">
        <v>219</v>
      </c>
    </row>
    <row r="30" spans="1:12" x14ac:dyDescent="0.2">
      <c r="A30" s="211"/>
      <c r="B30" s="240" t="str">
        <f>IF(B29&lt;0,"See Tab B","")</f>
        <v/>
      </c>
      <c r="C30" s="211"/>
      <c r="D30" s="240" t="str">
        <f>IF(D29&lt;0,"See Tab B","")</f>
        <v/>
      </c>
      <c r="E30" s="211"/>
      <c r="F30" s="240" t="str">
        <f>IF(F29&lt;0,"See Tab B","")</f>
        <v/>
      </c>
      <c r="G30" s="20"/>
      <c r="H30" s="240" t="str">
        <f>IF(H29&lt;0,"See Tab B","")</f>
        <v/>
      </c>
      <c r="I30" s="20"/>
      <c r="J30" s="240" t="str">
        <f>IF(J29&lt;0,"See Tab B","")</f>
        <v/>
      </c>
      <c r="K30" s="220">
        <f>SUM(K7+K17-K28)</f>
        <v>0</v>
      </c>
      <c r="L30" s="16" t="s">
        <v>219</v>
      </c>
    </row>
    <row r="31" spans="1:12" x14ac:dyDescent="0.2">
      <c r="A31" s="20"/>
      <c r="B31" s="48"/>
      <c r="C31" s="20"/>
      <c r="D31" s="103"/>
      <c r="E31" s="20"/>
      <c r="F31" s="20"/>
      <c r="G31" s="898" t="s">
        <v>220</v>
      </c>
      <c r="H31" s="898"/>
      <c r="I31" s="898"/>
      <c r="J31" s="898"/>
      <c r="K31" s="898"/>
    </row>
    <row r="32" spans="1:12" x14ac:dyDescent="0.2">
      <c r="A32" s="20"/>
      <c r="B32" s="48"/>
      <c r="C32" s="20"/>
      <c r="D32" s="20"/>
      <c r="E32" s="20"/>
      <c r="F32" s="20"/>
      <c r="G32" s="20"/>
      <c r="H32" s="20"/>
      <c r="I32" s="20"/>
      <c r="J32" s="20"/>
      <c r="K32" s="20"/>
    </row>
    <row r="33" spans="1:11" x14ac:dyDescent="0.2">
      <c r="A33" s="198" t="s">
        <v>530</v>
      </c>
      <c r="B33" s="106"/>
      <c r="C33" s="61"/>
      <c r="D33" s="61"/>
      <c r="E33" s="61"/>
      <c r="F33" s="61"/>
      <c r="G33" s="61"/>
      <c r="H33" s="61"/>
      <c r="I33" s="61"/>
      <c r="J33" s="61"/>
      <c r="K33" s="677"/>
    </row>
    <row r="34" spans="1:11" x14ac:dyDescent="0.2">
      <c r="A34" s="707"/>
      <c r="B34" s="48"/>
      <c r="C34" s="20"/>
      <c r="D34" s="20"/>
      <c r="E34" s="20"/>
      <c r="F34" s="20"/>
      <c r="G34" s="20"/>
      <c r="H34" s="20"/>
      <c r="I34" s="20"/>
      <c r="J34" s="20"/>
      <c r="K34" s="708"/>
    </row>
    <row r="35" spans="1:11" x14ac:dyDescent="0.2">
      <c r="A35" s="498"/>
      <c r="B35" s="105"/>
      <c r="C35" s="35"/>
      <c r="D35" s="35"/>
      <c r="E35" s="35"/>
      <c r="F35" s="35"/>
      <c r="G35" s="35"/>
      <c r="H35" s="35"/>
      <c r="I35" s="35"/>
      <c r="J35" s="35"/>
      <c r="K35" s="41"/>
    </row>
    <row r="36" spans="1:11" x14ac:dyDescent="0.2">
      <c r="A36" s="20"/>
      <c r="B36" s="48"/>
      <c r="C36" s="20"/>
      <c r="D36" s="20"/>
      <c r="E36" s="20"/>
      <c r="F36" s="20"/>
      <c r="G36" s="20"/>
      <c r="H36" s="20"/>
      <c r="I36" s="20"/>
      <c r="J36" s="20"/>
      <c r="K36" s="20"/>
    </row>
    <row r="37" spans="1:11" x14ac:dyDescent="0.2">
      <c r="A37" s="20"/>
      <c r="B37" s="48"/>
      <c r="C37" s="20"/>
      <c r="D37" s="20"/>
      <c r="E37" s="73" t="s">
        <v>78</v>
      </c>
      <c r="F37" s="186"/>
      <c r="G37" s="20"/>
      <c r="H37" s="20"/>
      <c r="I37" s="20"/>
      <c r="J37" s="20"/>
      <c r="K37" s="20"/>
    </row>
    <row r="38" spans="1:11" x14ac:dyDescent="0.2">
      <c r="B38" s="221"/>
    </row>
    <row r="39" spans="1:11" x14ac:dyDescent="0.2">
      <c r="B39" s="221"/>
    </row>
    <row r="40" spans="1:11" x14ac:dyDescent="0.2">
      <c r="B40" s="221"/>
    </row>
    <row r="41" spans="1:11" x14ac:dyDescent="0.2">
      <c r="B41" s="221"/>
    </row>
    <row r="42" spans="1:11" x14ac:dyDescent="0.2">
      <c r="B42" s="221"/>
    </row>
    <row r="43" spans="1:11" x14ac:dyDescent="0.2">
      <c r="B43" s="221"/>
    </row>
    <row r="44" spans="1:11" x14ac:dyDescent="0.2">
      <c r="B44" s="221"/>
    </row>
    <row r="45" spans="1:11" x14ac:dyDescent="0.2">
      <c r="B45" s="221"/>
    </row>
  </sheetData>
  <sheetProtection sheet="1" objects="1" scenarios="1"/>
  <mergeCells count="7">
    <mergeCell ref="A2:K2"/>
    <mergeCell ref="G31:K31"/>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A66"/>
  <sheetViews>
    <sheetView workbookViewId="0">
      <selection activeCell="L17" sqref="L17"/>
    </sheetView>
  </sheetViews>
  <sheetFormatPr defaultColWidth="8.88671875" defaultRowHeight="15" x14ac:dyDescent="0.2"/>
  <cols>
    <col min="1" max="1" width="70.5546875" style="56" customWidth="1"/>
    <col min="2" max="16384" width="8.88671875" style="56"/>
  </cols>
  <sheetData>
    <row r="1" spans="1:1" ht="18.75" x14ac:dyDescent="0.3">
      <c r="A1" s="325" t="s">
        <v>231</v>
      </c>
    </row>
    <row r="2" spans="1:1" ht="15.75" x14ac:dyDescent="0.25">
      <c r="A2" s="1"/>
    </row>
    <row r="3" spans="1:1" ht="57" customHeight="1" x14ac:dyDescent="0.25">
      <c r="A3" s="326" t="s">
        <v>232</v>
      </c>
    </row>
    <row r="4" spans="1:1" ht="15.75" x14ac:dyDescent="0.25">
      <c r="A4" s="324"/>
    </row>
    <row r="5" spans="1:1" ht="15.75" x14ac:dyDescent="0.25">
      <c r="A5" s="1"/>
    </row>
    <row r="6" spans="1:1" ht="44.25" customHeight="1" x14ac:dyDescent="0.25">
      <c r="A6" s="326" t="s">
        <v>233</v>
      </c>
    </row>
    <row r="7" spans="1:1" ht="15.75" x14ac:dyDescent="0.25">
      <c r="A7" s="1"/>
    </row>
    <row r="8" spans="1:1" ht="15.75" x14ac:dyDescent="0.25">
      <c r="A8" s="324"/>
    </row>
    <row r="9" spans="1:1" ht="46.5" customHeight="1" x14ac:dyDescent="0.25">
      <c r="A9" s="326" t="s">
        <v>234</v>
      </c>
    </row>
    <row r="10" spans="1:1" ht="15.75" x14ac:dyDescent="0.25">
      <c r="A10" s="1"/>
    </row>
    <row r="11" spans="1:1" ht="15.75" x14ac:dyDescent="0.25">
      <c r="A11" s="324"/>
    </row>
    <row r="12" spans="1:1" ht="60" customHeight="1" x14ac:dyDescent="0.25">
      <c r="A12" s="326" t="s">
        <v>235</v>
      </c>
    </row>
    <row r="13" spans="1:1" ht="15.75" x14ac:dyDescent="0.25">
      <c r="A13" s="1"/>
    </row>
    <row r="14" spans="1:1" ht="15.75" x14ac:dyDescent="0.25">
      <c r="A14" s="1"/>
    </row>
    <row r="15" spans="1:1" ht="61.5" customHeight="1" x14ac:dyDescent="0.25">
      <c r="A15" s="326" t="s">
        <v>236</v>
      </c>
    </row>
    <row r="16" spans="1:1" ht="15.75" x14ac:dyDescent="0.25">
      <c r="A16" s="1"/>
    </row>
    <row r="17" spans="1:1" ht="15.75" x14ac:dyDescent="0.25">
      <c r="A17" s="1"/>
    </row>
    <row r="18" spans="1:1" ht="59.25" customHeight="1" x14ac:dyDescent="0.25">
      <c r="A18" s="326" t="s">
        <v>237</v>
      </c>
    </row>
    <row r="19" spans="1:1" ht="15.75" x14ac:dyDescent="0.25">
      <c r="A19" s="1"/>
    </row>
    <row r="20" spans="1:1" ht="15.75" x14ac:dyDescent="0.25">
      <c r="A20" s="1"/>
    </row>
    <row r="21" spans="1:1" ht="61.5" customHeight="1" x14ac:dyDescent="0.25">
      <c r="A21" s="326" t="s">
        <v>238</v>
      </c>
    </row>
    <row r="22" spans="1:1" ht="15.75" x14ac:dyDescent="0.25">
      <c r="A22" s="324"/>
    </row>
    <row r="23" spans="1:1" ht="15.75" x14ac:dyDescent="0.25">
      <c r="A23" s="324"/>
    </row>
    <row r="24" spans="1:1" ht="63" customHeight="1" x14ac:dyDescent="0.25">
      <c r="A24" s="326" t="s">
        <v>239</v>
      </c>
    </row>
    <row r="25" spans="1:1" ht="15.75" x14ac:dyDescent="0.25">
      <c r="A25" s="1"/>
    </row>
    <row r="26" spans="1:1" ht="15.75" x14ac:dyDescent="0.25">
      <c r="A26" s="1"/>
    </row>
    <row r="27" spans="1:1" ht="52.5" customHeight="1" x14ac:dyDescent="0.25">
      <c r="A27" s="334" t="s">
        <v>358</v>
      </c>
    </row>
    <row r="28" spans="1:1" ht="15.75" x14ac:dyDescent="0.25">
      <c r="A28" s="1"/>
    </row>
    <row r="29" spans="1:1" ht="15.75" x14ac:dyDescent="0.25">
      <c r="A29" s="1"/>
    </row>
    <row r="30" spans="1:1" ht="44.25" customHeight="1" x14ac:dyDescent="0.25">
      <c r="A30" s="326" t="s">
        <v>240</v>
      </c>
    </row>
    <row r="31" spans="1:1" ht="15.75" x14ac:dyDescent="0.25">
      <c r="A31" s="1"/>
    </row>
    <row r="32" spans="1:1" ht="15.75" x14ac:dyDescent="0.25">
      <c r="A32" s="1"/>
    </row>
    <row r="33" spans="1:1" ht="42.75" customHeight="1" x14ac:dyDescent="0.25">
      <c r="A33" s="326" t="s">
        <v>241</v>
      </c>
    </row>
    <row r="34" spans="1:1" ht="15.75" x14ac:dyDescent="0.25">
      <c r="A34" s="324"/>
    </row>
    <row r="35" spans="1:1" ht="15.75" x14ac:dyDescent="0.25">
      <c r="A35" s="324"/>
    </row>
    <row r="36" spans="1:1" ht="38.25" customHeight="1" x14ac:dyDescent="0.25">
      <c r="A36" s="326" t="s">
        <v>242</v>
      </c>
    </row>
    <row r="37" spans="1:1" ht="15.75" x14ac:dyDescent="0.25">
      <c r="A37" s="324"/>
    </row>
    <row r="38" spans="1:1" ht="15.75" x14ac:dyDescent="0.25">
      <c r="A38" s="1"/>
    </row>
    <row r="39" spans="1:1" ht="75.75" customHeight="1" x14ac:dyDescent="0.25">
      <c r="A39" s="326" t="s">
        <v>243</v>
      </c>
    </row>
    <row r="40" spans="1:1" ht="15.75" x14ac:dyDescent="0.25">
      <c r="A40" s="1"/>
    </row>
    <row r="41" spans="1:1" ht="15.75" x14ac:dyDescent="0.25">
      <c r="A41" s="1"/>
    </row>
    <row r="42" spans="1:1" ht="57.75" customHeight="1" x14ac:dyDescent="0.25">
      <c r="A42" s="326" t="s">
        <v>244</v>
      </c>
    </row>
    <row r="43" spans="1:1" ht="15.75" x14ac:dyDescent="0.25">
      <c r="A43" s="324"/>
    </row>
    <row r="44" spans="1:1" ht="15.75" x14ac:dyDescent="0.25">
      <c r="A44" s="1"/>
    </row>
    <row r="45" spans="1:1" ht="57.75" customHeight="1" x14ac:dyDescent="0.25">
      <c r="A45" s="326" t="s">
        <v>245</v>
      </c>
    </row>
    <row r="46" spans="1:1" ht="15.75" x14ac:dyDescent="0.25">
      <c r="A46" s="1"/>
    </row>
    <row r="47" spans="1:1" ht="15.75" x14ac:dyDescent="0.25">
      <c r="A47" s="1"/>
    </row>
    <row r="48" spans="1:1" ht="41.25" customHeight="1" x14ac:dyDescent="0.25">
      <c r="A48" s="326" t="s">
        <v>246</v>
      </c>
    </row>
    <row r="49" spans="1:1" ht="15.75" x14ac:dyDescent="0.25">
      <c r="A49" s="1"/>
    </row>
    <row r="50" spans="1:1" ht="15.75" x14ac:dyDescent="0.25">
      <c r="A50" s="1"/>
    </row>
    <row r="51" spans="1:1" ht="75" customHeight="1" x14ac:dyDescent="0.25">
      <c r="A51" s="326" t="s">
        <v>247</v>
      </c>
    </row>
    <row r="52" spans="1:1" ht="15.75" x14ac:dyDescent="0.25">
      <c r="A52" s="324"/>
    </row>
    <row r="53" spans="1:1" ht="15.75" x14ac:dyDescent="0.25">
      <c r="A53" s="324"/>
    </row>
    <row r="54" spans="1:1" ht="57.75" customHeight="1" x14ac:dyDescent="0.25">
      <c r="A54" s="326" t="s">
        <v>248</v>
      </c>
    </row>
    <row r="55" spans="1:1" ht="15.75" x14ac:dyDescent="0.25">
      <c r="A55" s="1"/>
    </row>
    <row r="56" spans="1:1" ht="15.75" x14ac:dyDescent="0.25">
      <c r="A56" s="1"/>
    </row>
    <row r="57" spans="1:1" ht="44.25" customHeight="1" x14ac:dyDescent="0.25">
      <c r="A57" s="326" t="s">
        <v>249</v>
      </c>
    </row>
    <row r="58" spans="1:1" ht="15.75" x14ac:dyDescent="0.25">
      <c r="A58" s="1"/>
    </row>
    <row r="59" spans="1:1" ht="15.75" x14ac:dyDescent="0.25">
      <c r="A59" s="1"/>
    </row>
    <row r="60" spans="1:1" ht="60" customHeight="1" x14ac:dyDescent="0.25">
      <c r="A60" s="326" t="s">
        <v>250</v>
      </c>
    </row>
    <row r="61" spans="1:1" ht="15.75" x14ac:dyDescent="0.25">
      <c r="A61" s="324"/>
    </row>
    <row r="62" spans="1:1" ht="15.75" x14ac:dyDescent="0.25">
      <c r="A62" s="324"/>
    </row>
    <row r="63" spans="1:1" ht="57.75" customHeight="1" x14ac:dyDescent="0.25">
      <c r="A63" s="326" t="s">
        <v>251</v>
      </c>
    </row>
    <row r="64" spans="1:1" ht="15.75" x14ac:dyDescent="0.25">
      <c r="A64" s="1"/>
    </row>
    <row r="65" spans="1:1" ht="15.75" x14ac:dyDescent="0.25">
      <c r="A65" s="1"/>
    </row>
    <row r="66" spans="1:1" ht="60" customHeight="1" x14ac:dyDescent="0.25">
      <c r="A66" s="326" t="s">
        <v>252</v>
      </c>
    </row>
  </sheetData>
  <sheetProtection sheet="1" objects="1" scenarios="1"/>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00B0F0"/>
    <pageSetUpPr fitToPage="1"/>
  </sheetPr>
  <dimension ref="A1:M75"/>
  <sheetViews>
    <sheetView zoomScale="85" zoomScaleNormal="85" workbookViewId="0">
      <selection activeCell="I1" sqref="I1"/>
    </sheetView>
  </sheetViews>
  <sheetFormatPr defaultColWidth="8.88671875" defaultRowHeight="15.75" x14ac:dyDescent="0.2"/>
  <cols>
    <col min="1" max="1" width="20.77734375" style="16" customWidth="1"/>
    <col min="2" max="2" width="15.77734375" style="16" customWidth="1"/>
    <col min="3" max="3" width="10.77734375" style="16" customWidth="1"/>
    <col min="4" max="4" width="15.77734375" style="16" customWidth="1"/>
    <col min="5" max="5" width="10.77734375" style="16" customWidth="1"/>
    <col min="6" max="6" width="15.77734375" style="16" customWidth="1"/>
    <col min="7" max="7" width="12.77734375" style="16" customWidth="1"/>
    <col min="8" max="8" width="10.77734375" style="16" customWidth="1"/>
    <col min="9" max="9" width="8.88671875" style="16"/>
    <col min="10" max="10" width="12.44140625" style="16" customWidth="1"/>
    <col min="11" max="11" width="12.33203125" style="16" customWidth="1"/>
    <col min="12" max="12" width="10.5546875" style="16" customWidth="1"/>
    <col min="13" max="13" width="12.109375" style="16" customWidth="1"/>
    <col min="14" max="16384" width="8.88671875" style="16"/>
  </cols>
  <sheetData>
    <row r="1" spans="1:9" x14ac:dyDescent="0.2">
      <c r="A1" s="901" t="s">
        <v>122</v>
      </c>
      <c r="B1" s="901"/>
      <c r="C1" s="901"/>
      <c r="D1" s="901"/>
      <c r="E1" s="901"/>
      <c r="F1" s="901"/>
      <c r="G1" s="901"/>
      <c r="H1" s="901"/>
      <c r="I1" s="222"/>
    </row>
    <row r="2" spans="1:9" ht="18" customHeight="1" x14ac:dyDescent="0.2">
      <c r="A2" s="20"/>
      <c r="B2" s="20"/>
      <c r="C2" s="20"/>
      <c r="D2" s="20"/>
      <c r="E2" s="20"/>
      <c r="F2" s="20"/>
      <c r="G2" s="20"/>
      <c r="H2" s="20">
        <f>inputPrYr!$C$6</f>
        <v>2025</v>
      </c>
    </row>
    <row r="3" spans="1:9" ht="18" customHeight="1" x14ac:dyDescent="0.2">
      <c r="A3" s="829" t="s">
        <v>80</v>
      </c>
      <c r="B3" s="829"/>
      <c r="C3" s="829"/>
      <c r="D3" s="829"/>
      <c r="E3" s="829"/>
      <c r="F3" s="829"/>
      <c r="G3" s="829"/>
      <c r="H3" s="829"/>
    </row>
    <row r="4" spans="1:9" x14ac:dyDescent="0.2">
      <c r="A4" s="794">
        <f>inputPrYr!D3</f>
        <v>0</v>
      </c>
      <c r="B4" s="794"/>
      <c r="C4" s="794"/>
      <c r="D4" s="794"/>
      <c r="E4" s="794"/>
      <c r="F4" s="794"/>
      <c r="G4" s="794"/>
      <c r="H4" s="794"/>
    </row>
    <row r="5" spans="1:9" ht="18" customHeight="1" x14ac:dyDescent="0.25">
      <c r="A5" s="906" t="str">
        <f>CONCATENATE("will meet on ",inputHearing!B18," at ",inputHearing!B20," at ",inputHearing!B22," for the purpose of hearing and")</f>
        <v>will meet on  at  at  for the purpose of hearing and</v>
      </c>
      <c r="B5" s="906"/>
      <c r="C5" s="906"/>
      <c r="D5" s="906"/>
      <c r="E5" s="906"/>
      <c r="F5" s="906"/>
      <c r="G5" s="906"/>
      <c r="H5" s="906"/>
    </row>
    <row r="6" spans="1:9" ht="16.5" customHeight="1" x14ac:dyDescent="0.2">
      <c r="A6" s="829" t="s">
        <v>315</v>
      </c>
      <c r="B6" s="829"/>
      <c r="C6" s="829"/>
      <c r="D6" s="829"/>
      <c r="E6" s="829"/>
      <c r="F6" s="829"/>
      <c r="G6" s="829"/>
      <c r="H6" s="829"/>
    </row>
    <row r="7" spans="1:9" ht="16.5" customHeight="1" x14ac:dyDescent="0.2">
      <c r="A7" s="902" t="str">
        <f>CONCATENATE("Detailed budget information is available at ",inputHearing!B24," and will be available at this hearing.")</f>
        <v>Detailed budget information is available at  and will be available at this hearing.</v>
      </c>
      <c r="B7" s="902"/>
      <c r="C7" s="902"/>
      <c r="D7" s="902"/>
      <c r="E7" s="902"/>
      <c r="F7" s="902"/>
      <c r="G7" s="902"/>
      <c r="H7" s="902"/>
    </row>
    <row r="8" spans="1:9" x14ac:dyDescent="0.2">
      <c r="A8" s="24" t="s">
        <v>123</v>
      </c>
      <c r="B8" s="25"/>
      <c r="C8" s="25"/>
      <c r="D8" s="25"/>
      <c r="E8" s="25"/>
      <c r="F8" s="25"/>
      <c r="G8" s="25"/>
      <c r="H8" s="25"/>
    </row>
    <row r="9" spans="1:9" x14ac:dyDescent="0.2">
      <c r="A9" s="75" t="str">
        <f>CONCATENATE("Proposed Budget ",H2," Expenditures and Amount of ",H2-1," Ad Valorem Tax establish the maximum limits of the ",H2," budget.")</f>
        <v>Proposed Budget 2025 Expenditures and Amount of 2024 Ad Valorem Tax establish the maximum limits of the 2025 budget.</v>
      </c>
      <c r="B9" s="25"/>
      <c r="C9" s="25"/>
      <c r="D9" s="25"/>
      <c r="E9" s="25"/>
      <c r="F9" s="25"/>
      <c r="G9" s="25"/>
      <c r="H9" s="25"/>
    </row>
    <row r="10" spans="1:9" x14ac:dyDescent="0.2">
      <c r="A10" s="75" t="s">
        <v>146</v>
      </c>
      <c r="B10" s="25"/>
      <c r="C10" s="25"/>
      <c r="D10" s="25"/>
      <c r="E10" s="25"/>
      <c r="F10" s="25"/>
      <c r="G10" s="25"/>
      <c r="H10" s="25"/>
    </row>
    <row r="11" spans="1:9" x14ac:dyDescent="0.2">
      <c r="A11" s="20"/>
      <c r="B11" s="191"/>
      <c r="C11" s="191"/>
      <c r="D11" s="191"/>
      <c r="E11" s="191"/>
      <c r="F11" s="191"/>
      <c r="G11" s="191"/>
      <c r="H11" s="191"/>
    </row>
    <row r="12" spans="1:9" x14ac:dyDescent="0.2">
      <c r="A12" s="20"/>
      <c r="B12" s="223" t="str">
        <f>CONCATENATE("Prior Year Actual for ",H2-2,"")</f>
        <v>Prior Year Actual for 2023</v>
      </c>
      <c r="C12" s="78"/>
      <c r="D12" s="223" t="str">
        <f>CONCATENATE("Current Year Estimate for ",H2-1,"")</f>
        <v>Current Year Estimate for 2024</v>
      </c>
      <c r="E12" s="78"/>
      <c r="F12" s="76" t="str">
        <f>CONCATENATE("Proposed Budget for ",H2,"")</f>
        <v>Proposed Budget for 2025</v>
      </c>
      <c r="G12" s="77"/>
      <c r="H12" s="78"/>
    </row>
    <row r="13" spans="1:9" ht="27.75" customHeight="1" x14ac:dyDescent="0.25">
      <c r="A13" s="20"/>
      <c r="B13" s="183"/>
      <c r="C13" s="81" t="s">
        <v>82</v>
      </c>
      <c r="D13" s="81"/>
      <c r="E13" s="81" t="s">
        <v>82</v>
      </c>
      <c r="F13" s="360" t="s">
        <v>5</v>
      </c>
      <c r="G13" s="736" t="str">
        <f>CONCATENATE("Amount of ",H2-1,"")</f>
        <v>Amount of 2024</v>
      </c>
      <c r="H13" s="832" t="s">
        <v>653</v>
      </c>
    </row>
    <row r="14" spans="1:9" x14ac:dyDescent="0.25">
      <c r="A14" s="29" t="s">
        <v>83</v>
      </c>
      <c r="B14" s="85" t="s">
        <v>84</v>
      </c>
      <c r="C14" s="85" t="s">
        <v>85</v>
      </c>
      <c r="D14" s="85" t="s">
        <v>84</v>
      </c>
      <c r="E14" s="85" t="s">
        <v>85</v>
      </c>
      <c r="F14" s="361" t="s">
        <v>341</v>
      </c>
      <c r="G14" s="86" t="s">
        <v>60</v>
      </c>
      <c r="H14" s="834"/>
    </row>
    <row r="15" spans="1:9" x14ac:dyDescent="0.2">
      <c r="A15" s="44" t="str">
        <f>inputPrYr!B18</f>
        <v>General</v>
      </c>
      <c r="B15" s="44" t="str">
        <f>IF(General!$C$108&lt;&gt;0,General!$C$108,"  ")</f>
        <v xml:space="preserve">  </v>
      </c>
      <c r="C15" s="224" t="str">
        <f>IF(inputPrYr!D87&gt;0,inputPrYr!D87,"  ")</f>
        <v xml:space="preserve">  </v>
      </c>
      <c r="D15" s="44" t="str">
        <f>IF(General!$D$108&lt;&gt;0,General!$D$108,"  ")</f>
        <v xml:space="preserve">  </v>
      </c>
      <c r="E15" s="224" t="str">
        <f>IF(inputOth!D26&gt;0,inputOth!D26,"  ")</f>
        <v xml:space="preserve">  </v>
      </c>
      <c r="F15" s="44" t="str">
        <f>IF(General!$E$108&lt;&gt;0,General!$E$108,"  ")</f>
        <v xml:space="preserve">  </v>
      </c>
      <c r="G15" s="44" t="str">
        <f>IF(General!$E$115&lt;&gt;0,General!$E$115,"  ")</f>
        <v xml:space="preserve">  </v>
      </c>
      <c r="H15" s="224" t="str">
        <f>IF(General!E115&gt;0,ROUND(G15/$F$60*1000,3),"  ")</f>
        <v xml:space="preserve">  </v>
      </c>
    </row>
    <row r="16" spans="1:9" x14ac:dyDescent="0.2">
      <c r="A16" s="44" t="str">
        <f>inputPrYr!B19</f>
        <v>Debt Service</v>
      </c>
      <c r="B16" s="44" t="str">
        <f>IF('Debt Service'!C53&lt;&gt;0,'Debt Service'!C53,"  ")</f>
        <v xml:space="preserve">  </v>
      </c>
      <c r="C16" s="224" t="str">
        <f>IF(inputPrYr!D88&gt;0,inputPrYr!D88,"  ")</f>
        <v xml:space="preserve">  </v>
      </c>
      <c r="D16" s="44" t="str">
        <f>IF('Debt Service'!D53&lt;&gt;0,'Debt Service'!D53,"  ")</f>
        <v xml:space="preserve">  </v>
      </c>
      <c r="E16" s="224" t="str">
        <f>IF(inputOth!D27&gt;0,inputOth!D27,"  ")</f>
        <v xml:space="preserve">  </v>
      </c>
      <c r="F16" s="44" t="str">
        <f>IF('Debt Service'!E53&lt;&gt;0,'Debt Service'!E53,"  ")</f>
        <v xml:space="preserve">  </v>
      </c>
      <c r="G16" s="44" t="str">
        <f>IF('Debt Service'!E60&lt;&gt;0,'Debt Service'!E60,"  ")</f>
        <v xml:space="preserve">  </v>
      </c>
      <c r="H16" s="224" t="str">
        <f>IF('Debt Service'!E60&gt;0,ROUND(G16/$F$60*1000,3),"  ")</f>
        <v xml:space="preserve">  </v>
      </c>
    </row>
    <row r="17" spans="1:8" x14ac:dyDescent="0.25">
      <c r="A17" s="44" t="str">
        <f>inputPrYr!B20</f>
        <v>Library</v>
      </c>
      <c r="B17" s="587" t="str">
        <f>IF(('Library-Rec'!C33)&lt;&gt;0,('Library-Rec'!C33),"  ")</f>
        <v xml:space="preserve">  </v>
      </c>
      <c r="C17" s="224" t="str">
        <f>IF(inputPrYr!D89&gt;0,inputPrYr!D89,"  ")</f>
        <v xml:space="preserve">  </v>
      </c>
      <c r="D17" s="587" t="str">
        <f>IF(('Library-Rec'!D33)&lt;&gt;0,('Library-Rec'!D33),"  ")</f>
        <v xml:space="preserve">  </v>
      </c>
      <c r="E17" s="224" t="str">
        <f>IF(inputOth!D28&gt;0,inputOth!D28,"  ")</f>
        <v xml:space="preserve">  </v>
      </c>
      <c r="F17" s="587" t="str">
        <f>IF(('Library-Rec'!E33)&lt;&gt;0,('Library-Rec'!E33),"  ")</f>
        <v xml:space="preserve">  </v>
      </c>
      <c r="G17" s="588" t="str">
        <f>IF('Library-Rec'!E40&lt;&gt;0,'Library-Rec'!E40,"  ")</f>
        <v xml:space="preserve">  </v>
      </c>
      <c r="H17" s="589" t="str">
        <f>IF('Library-Rec'!E40&gt;0,ROUND(G17/$F$60*1000,3),"")</f>
        <v/>
      </c>
    </row>
    <row r="18" spans="1:8" x14ac:dyDescent="0.2">
      <c r="A18" s="44" t="str">
        <f>IF(inputPrYr!$B22&gt;"  ",(inputPrYr!$B22),"  ")</f>
        <v xml:space="preserve">  </v>
      </c>
      <c r="B18" s="44" t="str">
        <f>IF('Levy Page 9'!$C$31&gt;0,'Levy Page 9'!$C$31,"  ")</f>
        <v xml:space="preserve">  </v>
      </c>
      <c r="C18" s="224" t="str">
        <f>IF(inputPrYr!D90&gt;0,inputPrYr!D90,"  ")</f>
        <v xml:space="preserve">  </v>
      </c>
      <c r="D18" s="44" t="str">
        <f>IF('Levy Page 9'!$D$31&gt;0,'Levy Page 9'!$D$31,"  ")</f>
        <v xml:space="preserve">  </v>
      </c>
      <c r="E18" s="224" t="str">
        <f>IF(inputOth!D29&gt;0,inputOth!D29,"  ")</f>
        <v xml:space="preserve">  </v>
      </c>
      <c r="F18" s="44" t="str">
        <f>IF('Levy Page 9'!$E$31&gt;0,'Levy Page 9'!$E$31,"  ")</f>
        <v xml:space="preserve">  </v>
      </c>
      <c r="G18" s="44" t="str">
        <f>IF('Levy Page 9'!$E$38&lt;&gt;0,'Levy Page 9'!$E$38,"  ")</f>
        <v xml:space="preserve">  </v>
      </c>
      <c r="H18" s="224" t="str">
        <f>IF('Levy Page 9'!E38&lt;&gt;0,ROUND(G18/$F$60*1000,3),"  ")</f>
        <v xml:space="preserve">  </v>
      </c>
    </row>
    <row r="19" spans="1:8" x14ac:dyDescent="0.2">
      <c r="A19" s="44" t="str">
        <f>IF(inputPrYr!$B23&gt;"  ",(inputPrYr!$B23),"  ")</f>
        <v xml:space="preserve">  </v>
      </c>
      <c r="B19" s="44" t="str">
        <f>IF('Levy Page 9'!$C$70&gt;0,'Levy Page 9'!$C$70,"  ")</f>
        <v xml:space="preserve">  </v>
      </c>
      <c r="C19" s="224" t="str">
        <f>IF(inputPrYr!D91&gt;0,inputPrYr!D91,"  ")</f>
        <v xml:space="preserve">  </v>
      </c>
      <c r="D19" s="44" t="str">
        <f>IF('Levy Page 9'!$D$70&gt;0,'Levy Page 9'!$D$70,"  ")</f>
        <v xml:space="preserve">  </v>
      </c>
      <c r="E19" s="224" t="str">
        <f>IF(inputOth!D30&gt;0,inputOth!D30,"  ")</f>
        <v xml:space="preserve">  </v>
      </c>
      <c r="F19" s="44" t="str">
        <f>IF('Levy Page 9'!$E$70&gt;0,'Levy Page 9'!$E$70,"  ")</f>
        <v xml:space="preserve">  </v>
      </c>
      <c r="G19" s="44" t="str">
        <f>IF('Levy Page 9'!$E$77&lt;&gt;0,'Levy Page 9'!$E$77,"  ")</f>
        <v xml:space="preserve">  </v>
      </c>
      <c r="H19" s="224" t="str">
        <f>IF('Levy Page 9'!E77&lt;&gt;0,ROUND(G19/$F$60*1000,3),"  ")</f>
        <v xml:space="preserve">  </v>
      </c>
    </row>
    <row r="20" spans="1:8" x14ac:dyDescent="0.2">
      <c r="A20" s="44" t="str">
        <f>IF(inputPrYr!$B24&gt;"  ",(inputPrYr!$B24),"  ")</f>
        <v xml:space="preserve">  </v>
      </c>
      <c r="B20" s="44" t="str">
        <f>IF('Levy Page 10'!$C$32&gt;0,'Levy Page 10'!$C$32,"  ")</f>
        <v xml:space="preserve">  </v>
      </c>
      <c r="C20" s="224" t="str">
        <f>IF(inputPrYr!D92&gt;0,inputPrYr!D92,"  ")</f>
        <v xml:space="preserve">  </v>
      </c>
      <c r="D20" s="44" t="str">
        <f>IF('Levy Page 10'!$D$32&gt;0,'Levy Page 10'!$D$32,"  ")</f>
        <v xml:space="preserve">  </v>
      </c>
      <c r="E20" s="224" t="str">
        <f>IF(inputOth!D31&gt;0,inputOth!D31,"  ")</f>
        <v xml:space="preserve">  </v>
      </c>
      <c r="F20" s="44" t="str">
        <f>IF('Levy Page 10'!$E$32&gt;0,'Levy Page 10'!$E$32,"  ")</f>
        <v xml:space="preserve">  </v>
      </c>
      <c r="G20" s="44" t="str">
        <f>IF('Levy Page 10'!$E$39&lt;&gt;0,'Levy Page 10'!$E$39,"  ")</f>
        <v xml:space="preserve">  </v>
      </c>
      <c r="H20" s="224" t="str">
        <f>IF('Levy Page 10'!E39&lt;&gt;0,ROUND(G20/$F$60*1000,3),"  ")</f>
        <v xml:space="preserve">  </v>
      </c>
    </row>
    <row r="21" spans="1:8" x14ac:dyDescent="0.2">
      <c r="A21" s="44" t="str">
        <f>IF(inputPrYr!$B25&gt;"  ",(inputPrYr!$B25),"  ")</f>
        <v xml:space="preserve">  </v>
      </c>
      <c r="B21" s="44" t="str">
        <f>IF('Levy Page 10'!$C$73&gt;0,'Levy Page 10'!$C$73,"  ")</f>
        <v xml:space="preserve">  </v>
      </c>
      <c r="C21" s="224" t="str">
        <f>IF(inputPrYr!D93&gt;0,inputPrYr!D93,"  ")</f>
        <v xml:space="preserve">  </v>
      </c>
      <c r="D21" s="44" t="str">
        <f>IF('Levy Page 10'!$D$73&gt;0,'Levy Page 10'!$D$73,"  ")</f>
        <v xml:space="preserve">  </v>
      </c>
      <c r="E21" s="224" t="str">
        <f>IF(inputOth!D32&gt;0,inputOth!D32,"  ")</f>
        <v xml:space="preserve">  </v>
      </c>
      <c r="F21" s="44" t="str">
        <f>IF('Levy Page 10'!$E$73&gt;0,'Levy Page 10'!$E$73,"  ")</f>
        <v xml:space="preserve">  </v>
      </c>
      <c r="G21" s="44" t="str">
        <f>IF('Levy Page 10'!$E$80&lt;&gt;0,'Levy Page 10'!$E$80,"  ")</f>
        <v xml:space="preserve">  </v>
      </c>
      <c r="H21" s="224" t="str">
        <f>IF('Levy Page 10'!E80&lt;&gt;0,ROUND(G21/$F$60*1000,3),"  ")</f>
        <v xml:space="preserve">  </v>
      </c>
    </row>
    <row r="22" spans="1:8" x14ac:dyDescent="0.2">
      <c r="A22" s="44" t="str">
        <f>IF(inputPrYr!$B26&gt;"  ",(inputPrYr!$B26),"  ")</f>
        <v xml:space="preserve">  </v>
      </c>
      <c r="B22" s="44" t="str">
        <f>IF('Levy Page 11'!$C$32&gt;0,'Levy Page 11'!$C$32,"  ")</f>
        <v xml:space="preserve">  </v>
      </c>
      <c r="C22" s="224" t="str">
        <f>IF(inputPrYr!D94&gt;0,inputPrYr!D94,"  ")</f>
        <v xml:space="preserve">  </v>
      </c>
      <c r="D22" s="44" t="str">
        <f>IF('Levy Page 11'!$D$32&gt;0,'Levy Page 11'!$D$32,"  ")</f>
        <v xml:space="preserve">  </v>
      </c>
      <c r="E22" s="224" t="str">
        <f>IF(inputOth!D33&gt;0,inputOth!D33,"  ")</f>
        <v xml:space="preserve">  </v>
      </c>
      <c r="F22" s="44" t="str">
        <f>IF('Levy Page 11'!$E$32&gt;0,'Levy Page 11'!$E$32,"  ")</f>
        <v xml:space="preserve">  </v>
      </c>
      <c r="G22" s="44" t="str">
        <f>IF('Levy Page 11'!$E$39&lt;&gt;0,'Levy Page 11'!$E$39,"  ")</f>
        <v xml:space="preserve">  </v>
      </c>
      <c r="H22" s="224" t="str">
        <f>IF('Levy Page 11'!E39&lt;&gt;0,ROUND(G22/$F$60*1000,3),"  ")</f>
        <v xml:space="preserve">  </v>
      </c>
    </row>
    <row r="23" spans="1:8" x14ac:dyDescent="0.2">
      <c r="A23" s="44" t="str">
        <f>IF(inputPrYr!$B27&gt;"  ",(inputPrYr!$B27),"  ")</f>
        <v xml:space="preserve">  </v>
      </c>
      <c r="B23" s="44" t="str">
        <f>IF('Levy Page 11'!$C$70&gt;0,'Levy Page 11'!$C$70,"  ")</f>
        <v xml:space="preserve">  </v>
      </c>
      <c r="C23" s="224" t="str">
        <f>IF(inputPrYr!D95&gt;0,inputPrYr!D95,"  ")</f>
        <v xml:space="preserve">  </v>
      </c>
      <c r="D23" s="44" t="str">
        <f>IF('Levy Page 11'!$D$70&gt;0,'Levy Page 11'!$D$70,"  ")</f>
        <v xml:space="preserve">  </v>
      </c>
      <c r="E23" s="224" t="str">
        <f>IF(inputOth!D34&gt;0,inputOth!D34,"  ")</f>
        <v xml:space="preserve">  </v>
      </c>
      <c r="F23" s="44" t="str">
        <f>IF('Levy Page 11'!$E$70&gt;0,'Levy Page 11'!$E$70,"  ")</f>
        <v xml:space="preserve">  </v>
      </c>
      <c r="G23" s="44" t="str">
        <f>IF('Levy Page 11'!$E$77&lt;&gt;0,'Levy Page 11'!$E$77,"  ")</f>
        <v xml:space="preserve">  </v>
      </c>
      <c r="H23" s="224" t="str">
        <f>IF('Levy Page 11'!E77&lt;&gt;0,ROUND(G23/$F$60*1000,3),"  ")</f>
        <v xml:space="preserve">  </v>
      </c>
    </row>
    <row r="24" spans="1:8" x14ac:dyDescent="0.2">
      <c r="A24" s="44" t="str">
        <f>IF(inputPrYr!$B28&gt;"  ",(inputPrYr!$B28),"  ")</f>
        <v xml:space="preserve">  </v>
      </c>
      <c r="B24" s="44" t="str">
        <f>IF('Levy Page 12'!$C$32&gt;0,'Levy Page 12'!$C$32,"  ")</f>
        <v xml:space="preserve">  </v>
      </c>
      <c r="C24" s="224" t="str">
        <f>IF(inputPrYr!D96&gt;0,inputPrYr!D96,"  ")</f>
        <v xml:space="preserve">  </v>
      </c>
      <c r="D24" s="44" t="str">
        <f>IF('Levy Page 12'!$D$32&gt;0,'Levy Page 12'!$D$32,"  ")</f>
        <v xml:space="preserve">  </v>
      </c>
      <c r="E24" s="224" t="str">
        <f>IF(inputOth!D35&gt;0,inputOth!D35,"  ")</f>
        <v xml:space="preserve">  </v>
      </c>
      <c r="F24" s="44" t="str">
        <f>IF('Levy Page 12'!$E$32&gt;0,'Levy Page 12'!$E$32,"  ")</f>
        <v xml:space="preserve">  </v>
      </c>
      <c r="G24" s="44" t="str">
        <f>IF('Levy Page 12'!$E$39&lt;&gt;0,'Levy Page 12'!$E$39,"  ")</f>
        <v xml:space="preserve">  </v>
      </c>
      <c r="H24" s="224" t="str">
        <f>IF('Levy Page 12'!E39&lt;&gt;0,ROUND(G24/$F$60*1000,3),"  ")</f>
        <v xml:space="preserve">  </v>
      </c>
    </row>
    <row r="25" spans="1:8" x14ac:dyDescent="0.2">
      <c r="A25" s="44" t="str">
        <f>IF(inputPrYr!$B29&gt;"  ",(inputPrYr!$B29),"  ")</f>
        <v xml:space="preserve">  </v>
      </c>
      <c r="B25" s="44" t="str">
        <f>IF('Levy Page 12'!$C$71&gt;0,'Levy Page 12'!$C$71,"  ")</f>
        <v xml:space="preserve">  </v>
      </c>
      <c r="C25" s="224" t="str">
        <f>IF(inputPrYr!D97&gt;0,inputPrYr!D97,"  ")</f>
        <v xml:space="preserve">  </v>
      </c>
      <c r="D25" s="44" t="str">
        <f>IF('Levy Page 12'!$D$71&gt;0,'Levy Page 12'!$D$71,"  ")</f>
        <v xml:space="preserve">  </v>
      </c>
      <c r="E25" s="224" t="str">
        <f>IF(inputOth!D36&gt;0,inputOth!D36,"  ")</f>
        <v xml:space="preserve">  </v>
      </c>
      <c r="F25" s="44" t="str">
        <f>IF('Levy Page 12'!$E$71&gt;0,'Levy Page 12'!$E$71,"  ")</f>
        <v xml:space="preserve">  </v>
      </c>
      <c r="G25" s="44" t="str">
        <f>IF('Levy Page 12'!$E$78&lt;&gt;0,'Levy Page 12'!$E$78,"  ")</f>
        <v xml:space="preserve">  </v>
      </c>
      <c r="H25" s="224" t="str">
        <f>IF('Levy Page 12'!E78&lt;&gt;0,ROUND(G25/$F$60*1000,3),"  ")</f>
        <v xml:space="preserve">  </v>
      </c>
    </row>
    <row r="26" spans="1:8" x14ac:dyDescent="0.2">
      <c r="A26" s="44" t="str">
        <f>IF(inputPrYr!$B30&gt;"  ",(inputPrYr!$B30),"  ")</f>
        <v xml:space="preserve">  </v>
      </c>
      <c r="B26" s="44" t="str">
        <f>IF('Levy Page 13'!$C$33&gt;0,'Levy Page 13'!$C$33,"  ")</f>
        <v xml:space="preserve">  </v>
      </c>
      <c r="C26" s="224" t="str">
        <f>IF(inputPrYr!D98&gt;0,inputPrYr!D98,"  ")</f>
        <v xml:space="preserve">  </v>
      </c>
      <c r="D26" s="44" t="str">
        <f>IF('Levy Page 13'!$D$33&gt;0,'Levy Page 13'!$D$33,"  ")</f>
        <v xml:space="preserve">  </v>
      </c>
      <c r="E26" s="224" t="str">
        <f>IF(inputOth!D37&gt;0,inputOth!D37,"  ")</f>
        <v xml:space="preserve">  </v>
      </c>
      <c r="F26" s="44" t="str">
        <f>IF('Levy Page 13'!$E$33&gt;0,'Levy Page 13'!$E$33,"  ")</f>
        <v xml:space="preserve">  </v>
      </c>
      <c r="G26" s="44" t="str">
        <f>IF('Levy Page 13'!$E$40&lt;&gt;0,'Levy Page 13'!$E$40,"  ")</f>
        <v xml:space="preserve">  </v>
      </c>
      <c r="H26" s="224" t="str">
        <f>IF('Levy Page 13'!E40&lt;&gt;0,ROUND(G26/$F$60*1000,3),"  ")</f>
        <v xml:space="preserve">  </v>
      </c>
    </row>
    <row r="27" spans="1:8" x14ac:dyDescent="0.2">
      <c r="A27" s="44" t="str">
        <f>IF(inputPrYr!$B31&gt;"  ",(inputPrYr!$B31),"  ")</f>
        <v xml:space="preserve">  </v>
      </c>
      <c r="B27" s="44" t="str">
        <f>IF('Levy Page 13'!$C$72&gt;0,'Levy Page 13'!$C$72,"  ")</f>
        <v xml:space="preserve">  </v>
      </c>
      <c r="C27" s="224" t="str">
        <f>IF(inputPrYr!D99&gt;0,inputPrYr!D99,"  ")</f>
        <v xml:space="preserve">  </v>
      </c>
      <c r="D27" s="44" t="str">
        <f>IF('Levy Page 13'!$D$72&gt;0,'Levy Page 13'!$D$72,"  ")</f>
        <v xml:space="preserve">  </v>
      </c>
      <c r="E27" s="224" t="str">
        <f>IF(inputOth!D38&gt;0,inputOth!D38,"  ")</f>
        <v xml:space="preserve">  </v>
      </c>
      <c r="F27" s="44" t="str">
        <f>IF('Levy Page 13'!$E$72&gt;0,'Levy Page 13'!$E$72,"  ")</f>
        <v xml:space="preserve">  </v>
      </c>
      <c r="G27" s="44" t="str">
        <f>IF('Levy Page 13'!$E$79&lt;&gt;0,'Levy Page 13'!$E$79,"  ")</f>
        <v xml:space="preserve">  </v>
      </c>
      <c r="H27" s="224" t="str">
        <f>IF('Levy Page 13'!E79&lt;&gt;0,ROUND(G27/$F$60*1000,3),"  ")</f>
        <v xml:space="preserve">  </v>
      </c>
    </row>
    <row r="28" spans="1:8" x14ac:dyDescent="0.2">
      <c r="A28" s="44" t="str">
        <f>IF(inputPrYr!$B37&gt;"  ",(inputPrYr!$B37),"  ")</f>
        <v>Special Highway</v>
      </c>
      <c r="B28" s="44" t="str">
        <f>IF('Spec Hwy'!$C$26&gt;0,'Spec Hwy'!$C$26,"  ")</f>
        <v xml:space="preserve">  </v>
      </c>
      <c r="C28" s="30"/>
      <c r="D28" s="44" t="str">
        <f>IF('Spec Hwy'!$D$26&gt;0,'Spec Hwy'!$D$26,"  ")</f>
        <v xml:space="preserve">  </v>
      </c>
      <c r="E28" s="30"/>
      <c r="F28" s="44" t="str">
        <f>IF('Spec Hwy'!$E$26&gt;0,'Spec Hwy'!$E$26,"  ")</f>
        <v xml:space="preserve">  </v>
      </c>
      <c r="G28" s="44"/>
      <c r="H28" s="224"/>
    </row>
    <row r="29" spans="1:8" x14ac:dyDescent="0.2">
      <c r="A29" s="44" t="str">
        <f>IF(inputPrYr!$B38&gt;"  ",(inputPrYr!$B38),"  ")</f>
        <v xml:space="preserve">  </v>
      </c>
      <c r="B29" s="44" t="str">
        <f>IF('Spec Hwy'!$C$57&gt;0,'Spec Hwy'!$C$57,"  ")</f>
        <v xml:space="preserve">  </v>
      </c>
      <c r="C29" s="30"/>
      <c r="D29" s="44" t="str">
        <f>IF('Spec Hwy'!$D$57&gt;0,'Spec Hwy'!$D$57,"  ")</f>
        <v xml:space="preserve">  </v>
      </c>
      <c r="E29" s="30"/>
      <c r="F29" s="44" t="str">
        <f>IF('Spec Hwy'!$E$57&gt;0,'Spec Hwy'!$E$57,"  ")</f>
        <v xml:space="preserve">  </v>
      </c>
      <c r="G29" s="44"/>
      <c r="H29" s="224"/>
    </row>
    <row r="30" spans="1:8" x14ac:dyDescent="0.2">
      <c r="A30" s="44" t="str">
        <f>IF(inputPrYr!$B39&gt;"  ",(inputPrYr!$B39),"  ")</f>
        <v xml:space="preserve">  </v>
      </c>
      <c r="B30" s="44" t="str">
        <f>IF('No Levy Page 15'!$C$26&gt;0,'No Levy Page 15'!$C$26,"  ")</f>
        <v xml:space="preserve">  </v>
      </c>
      <c r="C30" s="30"/>
      <c r="D30" s="44" t="str">
        <f>IF('No Levy Page 15'!$D$26&gt;0,'No Levy Page 15'!$D$26,"  ")</f>
        <v xml:space="preserve">  </v>
      </c>
      <c r="E30" s="30"/>
      <c r="F30" s="44" t="str">
        <f>IF('No Levy Page 15'!$E$26&gt;0,'No Levy Page 15'!$E$26,"  ")</f>
        <v xml:space="preserve">  </v>
      </c>
      <c r="G30" s="44"/>
      <c r="H30" s="224"/>
    </row>
    <row r="31" spans="1:8" x14ac:dyDescent="0.2">
      <c r="A31" s="44" t="str">
        <f>IF(inputPrYr!$B40&gt;"  ",(inputPrYr!$B40),"  ")</f>
        <v xml:space="preserve">  </v>
      </c>
      <c r="B31" s="44" t="str">
        <f>IF('No Levy Page 15'!$C$56&gt;0,'No Levy Page 15'!$C$56,"  ")</f>
        <v xml:space="preserve">  </v>
      </c>
      <c r="C31" s="30"/>
      <c r="D31" s="44" t="str">
        <f>IF('No Levy Page 15'!$D$56&gt;0,'No Levy Page 15'!$D$56,"  ")</f>
        <v xml:space="preserve">  </v>
      </c>
      <c r="E31" s="30"/>
      <c r="F31" s="44" t="str">
        <f>IF('No Levy Page 15'!$E$56&gt;0,'No Levy Page 15'!$E$56,"  ")</f>
        <v xml:space="preserve">  </v>
      </c>
      <c r="G31" s="44"/>
      <c r="H31" s="224"/>
    </row>
    <row r="32" spans="1:8" x14ac:dyDescent="0.2">
      <c r="A32" s="44" t="str">
        <f>IF(inputPrYr!$B41&gt;"  ",(inputPrYr!$B41),"  ")</f>
        <v xml:space="preserve">  </v>
      </c>
      <c r="B32" s="44" t="str">
        <f>IF('No Levy Page 16'!$C$26&gt;0,'No Levy Page 16'!$C$26,"  ")</f>
        <v xml:space="preserve">  </v>
      </c>
      <c r="C32" s="30"/>
      <c r="D32" s="44" t="str">
        <f>IF('No Levy Page 16'!$D$26&gt;0,'No Levy Page 16'!$D$26,"  ")</f>
        <v xml:space="preserve">  </v>
      </c>
      <c r="E32" s="30"/>
      <c r="F32" s="44" t="str">
        <f>IF('No Levy Page 16'!$E$26&gt;0,'No Levy Page 16'!$E$26,"  ")</f>
        <v xml:space="preserve">  </v>
      </c>
      <c r="G32" s="30"/>
      <c r="H32" s="30"/>
    </row>
    <row r="33" spans="1:13" x14ac:dyDescent="0.2">
      <c r="A33" s="44" t="str">
        <f>IF(inputPrYr!$B42&gt;"  ",(inputPrYr!$B42),"  ")</f>
        <v xml:space="preserve">  </v>
      </c>
      <c r="B33" s="44" t="str">
        <f>IF('No Levy Page 16'!$C$57&gt;0,'No Levy Page 16'!$C$57,"  ")</f>
        <v xml:space="preserve">  </v>
      </c>
      <c r="C33" s="30"/>
      <c r="D33" s="44" t="str">
        <f>IF('No Levy Page 16'!$D$57&gt;0,'No Levy Page 16'!$D$57,"  ")</f>
        <v xml:space="preserve">  </v>
      </c>
      <c r="E33" s="30"/>
      <c r="F33" s="44" t="str">
        <f>IF('No Levy Page 16'!$E$57&gt;0,'No Levy Page 16'!$E$57,"  ")</f>
        <v xml:space="preserve">  </v>
      </c>
      <c r="G33" s="30"/>
      <c r="H33" s="30"/>
    </row>
    <row r="34" spans="1:13" x14ac:dyDescent="0.2">
      <c r="A34" s="44" t="str">
        <f>IF(inputPrYr!$B43&gt;"  ",(inputPrYr!$B43),"  ")</f>
        <v xml:space="preserve">  </v>
      </c>
      <c r="B34" s="44" t="str">
        <f>IF('No Levy Page 17'!$C$26&gt;0,'No Levy Page 17'!$C$26,"  ")</f>
        <v xml:space="preserve">  </v>
      </c>
      <c r="C34" s="30"/>
      <c r="D34" s="44" t="str">
        <f>IF('No Levy Page 17'!$D$26&gt;0,'No Levy Page 17'!$D$26,"  ")</f>
        <v xml:space="preserve">  </v>
      </c>
      <c r="E34" s="30"/>
      <c r="F34" s="44" t="str">
        <f>IF('No Levy Page 17'!$E$26&gt;0,'No Levy Page 17'!$E$26,"  ")</f>
        <v xml:space="preserve">  </v>
      </c>
      <c r="G34" s="30"/>
      <c r="H34" s="30"/>
    </row>
    <row r="35" spans="1:13" x14ac:dyDescent="0.2">
      <c r="A35" s="44" t="str">
        <f>IF(inputPrYr!$B44&gt;"  ",(inputPrYr!$B44),"  ")</f>
        <v xml:space="preserve">  </v>
      </c>
      <c r="B35" s="44" t="str">
        <f>IF('No Levy Page 17'!$C$57&gt;0,'No Levy Page 17'!$C$57,"  ")</f>
        <v xml:space="preserve">  </v>
      </c>
      <c r="C35" s="30"/>
      <c r="D35" s="44" t="str">
        <f>IF('No Levy Page 17'!$D$57&gt;0,'No Levy Page 17'!$D$57,"  ")</f>
        <v xml:space="preserve">  </v>
      </c>
      <c r="E35" s="30"/>
      <c r="F35" s="44" t="str">
        <f>IF('No Levy Page 17'!$E$57&gt;0,'No Levy Page 17'!$E$57,"  ")</f>
        <v xml:space="preserve">  </v>
      </c>
      <c r="G35" s="30"/>
      <c r="H35" s="30"/>
    </row>
    <row r="36" spans="1:13" x14ac:dyDescent="0.2">
      <c r="A36" s="44" t="str">
        <f>IF(inputPrYr!$B45&gt;"  ",(inputPrYr!$B45),"  ")</f>
        <v xml:space="preserve">  </v>
      </c>
      <c r="B36" s="44" t="str">
        <f>IF('No Levy Page 18'!$C$28&gt;0,'No Levy Page 18'!$C$28,"  ")</f>
        <v xml:space="preserve">  </v>
      </c>
      <c r="C36" s="30"/>
      <c r="D36" s="44" t="str">
        <f>IF('No Levy Page 18'!$D$28&gt;0,'No Levy Page 18'!$D$28,"  ")</f>
        <v xml:space="preserve">  </v>
      </c>
      <c r="E36" s="30"/>
      <c r="F36" s="44" t="str">
        <f>IF('No Levy Page 18'!$E$28&gt;0,'No Levy Page 18'!$E$28,"  ")</f>
        <v xml:space="preserve">  </v>
      </c>
      <c r="G36" s="30"/>
      <c r="H36" s="30"/>
    </row>
    <row r="37" spans="1:13" x14ac:dyDescent="0.2">
      <c r="A37" s="44" t="str">
        <f>IF(inputPrYr!$B46&gt;"  ",(inputPrYr!$B46),"  ")</f>
        <v xml:space="preserve">  </v>
      </c>
      <c r="B37" s="44" t="str">
        <f>IF('No Levy Page 18'!$C$58&gt;0,'No Levy Page 18'!$C$58,"  ")</f>
        <v xml:space="preserve">  </v>
      </c>
      <c r="C37" s="30"/>
      <c r="D37" s="44" t="str">
        <f>IF('No Levy Page 18'!$D$58&gt;0,'No Levy Page 18'!$D$58,"  ")</f>
        <v xml:space="preserve">  </v>
      </c>
      <c r="E37" s="30"/>
      <c r="F37" s="44" t="str">
        <f>IF('No Levy Page 18'!$E$58&gt;0,'No Levy Page 18'!$E$58,"  ")</f>
        <v xml:space="preserve">  </v>
      </c>
      <c r="G37" s="30"/>
      <c r="H37" s="30"/>
    </row>
    <row r="38" spans="1:13" x14ac:dyDescent="0.2">
      <c r="A38" s="44" t="str">
        <f>IF(inputPrYr!$B47&gt;"  ",(inputPrYr!$B47),"  ")</f>
        <v xml:space="preserve">  </v>
      </c>
      <c r="B38" s="44" t="str">
        <f>IF('No Levy Page 19'!$C$28&gt;0,'No Levy Page 19'!$C$28,"  ")</f>
        <v xml:space="preserve">  </v>
      </c>
      <c r="C38" s="30"/>
      <c r="D38" s="44" t="str">
        <f>IF('No Levy Page 19'!$D$28&gt;0,'No Levy Page 19'!$D$28,"  ")</f>
        <v xml:space="preserve">  </v>
      </c>
      <c r="E38" s="30"/>
      <c r="F38" s="44" t="str">
        <f>IF('No Levy Page 19'!$E$28&gt;0,'No Levy Page 19'!$E$28,"  ")</f>
        <v xml:space="preserve">  </v>
      </c>
      <c r="G38" s="30"/>
      <c r="H38" s="30"/>
    </row>
    <row r="39" spans="1:13" x14ac:dyDescent="0.2">
      <c r="A39" s="44" t="str">
        <f>IF(inputPrYr!$B48&gt;"  ",(inputPrYr!$B48),"  ")</f>
        <v xml:space="preserve">  </v>
      </c>
      <c r="B39" s="44" t="str">
        <f>IF('No Levy Page 19'!$C$58&gt;0,'No Levy Page 19'!$C$58,"  ")</f>
        <v xml:space="preserve">  </v>
      </c>
      <c r="C39" s="30"/>
      <c r="D39" s="44" t="str">
        <f>IF('No Levy Page 19'!$D$58&gt;0,'No Levy Page 19'!$D$58,"  ")</f>
        <v xml:space="preserve">  </v>
      </c>
      <c r="E39" s="30"/>
      <c r="F39" s="44" t="str">
        <f>IF('No Levy Page 19'!$E$58&gt;0,'No Levy Page 19'!$E$58,"  ")</f>
        <v xml:space="preserve">  </v>
      </c>
      <c r="G39" s="30"/>
      <c r="H39" s="30"/>
    </row>
    <row r="40" spans="1:13" x14ac:dyDescent="0.2">
      <c r="A40" s="44" t="str">
        <f>IF(inputPrYr!$B49&gt;"  ",(inputPrYr!$B49),"  ")</f>
        <v xml:space="preserve">  </v>
      </c>
      <c r="B40" s="44" t="str">
        <f>IF('No Levy Page 20'!$C$28&gt;0,'No Levy Page 20'!$C$28,"  ")</f>
        <v xml:space="preserve">  </v>
      </c>
      <c r="C40" s="30"/>
      <c r="D40" s="44" t="str">
        <f>IF('No Levy Page 20'!$D$28&gt;0,'No Levy Page 20'!$D$28,"  ")</f>
        <v xml:space="preserve">  </v>
      </c>
      <c r="E40" s="30"/>
      <c r="F40" s="44" t="str">
        <f>IF('No Levy Page 20'!$E$28&gt;0,'No Levy Page 20'!$E$28,"  ")</f>
        <v xml:space="preserve">  </v>
      </c>
      <c r="G40" s="30"/>
      <c r="H40" s="30"/>
    </row>
    <row r="41" spans="1:13" x14ac:dyDescent="0.25">
      <c r="A41" s="44" t="str">
        <f>IF(inputPrYr!$B50&gt;"  ",(inputPrYr!$B50),"  ")</f>
        <v xml:space="preserve">  </v>
      </c>
      <c r="B41" s="44" t="str">
        <f>IF('No Levy Page 20'!$C$58&gt;0,'No Levy Page 20'!$C$58,"  ")</f>
        <v xml:space="preserve">  </v>
      </c>
      <c r="C41" s="30"/>
      <c r="D41" s="44" t="str">
        <f>IF('No Levy Page 20'!$D$58&gt;0,'No Levy Page 20'!$D$58,"  ")</f>
        <v xml:space="preserve">  </v>
      </c>
      <c r="E41" s="30"/>
      <c r="F41" s="44" t="str">
        <f>IF('No Levy Page 20'!$E$58&gt;0,'No Levy Page 20'!$E$58,"  ")</f>
        <v xml:space="preserve">  </v>
      </c>
      <c r="G41" s="30"/>
      <c r="H41" s="30"/>
      <c r="J41" s="915" t="str">
        <f>CONCATENATE("Estimated Value Of One Mill For ",H2,"")</f>
        <v>Estimated Value Of One Mill For 2025</v>
      </c>
      <c r="K41" s="920"/>
      <c r="L41" s="920"/>
      <c r="M41" s="921"/>
    </row>
    <row r="42" spans="1:13" x14ac:dyDescent="0.25">
      <c r="A42" s="44" t="str">
        <f>IF(inputPrYr!$B51&gt;"  ",(inputPrYr!$B51),"  ")</f>
        <v xml:space="preserve">  </v>
      </c>
      <c r="B42" s="44" t="str">
        <f>IF('No Levy Page 21'!$C$28&gt;0,'No Levy Page 21'!$C$28,"  ")</f>
        <v xml:space="preserve">  </v>
      </c>
      <c r="C42" s="30"/>
      <c r="D42" s="44" t="str">
        <f>IF('No Levy Page 21'!$D$28&gt;0,'No Levy Page 21'!$D$28,"  ")</f>
        <v xml:space="preserve">  </v>
      </c>
      <c r="E42" s="30"/>
      <c r="F42" s="44" t="str">
        <f>IF('No Levy Page 21'!$E$28&gt;0,'No Levy Page 21'!$E$28,"  ")</f>
        <v xml:space="preserve">  </v>
      </c>
      <c r="G42" s="30"/>
      <c r="H42" s="30"/>
      <c r="J42" s="337"/>
      <c r="K42" s="338"/>
      <c r="L42" s="338"/>
      <c r="M42" s="339"/>
    </row>
    <row r="43" spans="1:13" x14ac:dyDescent="0.25">
      <c r="A43" s="44" t="str">
        <f>IF(inputPrYr!$B52&gt;"  ",(inputPrYr!$B52),"  ")</f>
        <v xml:space="preserve">  </v>
      </c>
      <c r="B43" s="44" t="str">
        <f>IF('No Levy Page 21'!$C$58&gt;0,'No Levy Page 21'!$C$58,"  ")</f>
        <v xml:space="preserve">  </v>
      </c>
      <c r="C43" s="30"/>
      <c r="D43" s="44" t="str">
        <f>IF('No Levy Page 21'!$D$58&gt;0,'No Levy Page 21'!$D$58,"  ")</f>
        <v xml:space="preserve">  </v>
      </c>
      <c r="E43" s="30"/>
      <c r="F43" s="44" t="str">
        <f>IF('No Levy Page 21'!$E$58&gt;0,'No Levy Page 21'!$E$58,"  ")</f>
        <v xml:space="preserve">  </v>
      </c>
      <c r="G43" s="30"/>
      <c r="H43" s="30"/>
      <c r="J43" s="340" t="s">
        <v>359</v>
      </c>
      <c r="K43" s="341"/>
      <c r="L43" s="341"/>
      <c r="M43" s="638">
        <f>ROUND(F60/1000,0)</f>
        <v>0</v>
      </c>
    </row>
    <row r="44" spans="1:13" x14ac:dyDescent="0.2">
      <c r="A44" s="44" t="str">
        <f>IF(inputPrYr!$B54&gt;"  ",(inputPrYr!$B54),"  ")</f>
        <v xml:space="preserve">  </v>
      </c>
      <c r="B44" s="44" t="str">
        <f>IF('Single No Levy Page 22'!$C$44&gt;0,'Single No Levy Page 22'!$C$44,"  ")</f>
        <v xml:space="preserve">  </v>
      </c>
      <c r="C44" s="30"/>
      <c r="D44" s="44" t="str">
        <f>IF('Single No Levy Page 22'!$D$44&gt;0,'Single No Levy Page 22'!$D$44,"  ")</f>
        <v xml:space="preserve">  </v>
      </c>
      <c r="E44" s="30"/>
      <c r="F44" s="44" t="str">
        <f>IF('Single No Levy Page 22'!$E$44&gt;0,'Single No Levy Page 22'!$E$44,"  ")</f>
        <v xml:space="preserve">  </v>
      </c>
      <c r="G44" s="30"/>
      <c r="H44" s="30"/>
    </row>
    <row r="45" spans="1:13" x14ac:dyDescent="0.25">
      <c r="A45" s="44" t="str">
        <f>IF(inputPrYr!$B55&gt;"  ",(inputPrYr!$B55),"  ")</f>
        <v xml:space="preserve">  </v>
      </c>
      <c r="B45" s="44" t="str">
        <f>IF('Single No Levy Page 23'!$C$40&gt;0,'Single No Levy Page 23'!$C$40,"  ")</f>
        <v xml:space="preserve">  </v>
      </c>
      <c r="C45" s="30"/>
      <c r="D45" s="44" t="str">
        <f>IF('Single No Levy Page 23'!$D$40&gt;0,'Single No Levy Page 23'!$D$40,"  ")</f>
        <v xml:space="preserve">  </v>
      </c>
      <c r="E45" s="30"/>
      <c r="F45" s="44" t="str">
        <f>IF('Single No Levy Page 23'!$E$40&gt;0,'Single No Levy Page 23'!$E$40,"  ")</f>
        <v xml:space="preserve">  </v>
      </c>
      <c r="G45" s="30"/>
      <c r="H45" s="30"/>
      <c r="J45" s="915" t="str">
        <f>CONCATENATE("Want The Mill Rate The Same As For ",H2-1,"?")</f>
        <v>Want The Mill Rate The Same As For 2024?</v>
      </c>
      <c r="K45" s="920"/>
      <c r="L45" s="920"/>
      <c r="M45" s="921"/>
    </row>
    <row r="46" spans="1:13" x14ac:dyDescent="0.25">
      <c r="A46" s="44" t="str">
        <f>IF(inputPrYr!$B56&gt;"  ",(inputPrYr!$B56),"  ")</f>
        <v xml:space="preserve">  </v>
      </c>
      <c r="B46" s="44" t="str">
        <f>IF('Single No Levy Page 24'!$C$44&gt;0,'Single No Levy Page 24'!$C$44,"  ")</f>
        <v xml:space="preserve">  </v>
      </c>
      <c r="C46" s="30"/>
      <c r="D46" s="44" t="str">
        <f>IF('Single No Levy Page 24'!$D$44&gt;0,'Single No Levy Page 24'!$D$44,"  ")</f>
        <v xml:space="preserve">  </v>
      </c>
      <c r="E46" s="30"/>
      <c r="F46" s="44" t="str">
        <f>IF('Single No Levy Page 24'!$E$44&gt;0,'Single No Levy Page 24'!$E$44,"  ")</f>
        <v xml:space="preserve">  </v>
      </c>
      <c r="G46" s="30"/>
      <c r="H46" s="30"/>
      <c r="J46" s="344"/>
      <c r="K46" s="338"/>
      <c r="L46" s="338"/>
      <c r="M46" s="345"/>
    </row>
    <row r="47" spans="1:13" x14ac:dyDescent="0.25">
      <c r="A47" s="44" t="str">
        <f>IF(inputPrYr!$B57&gt;"  ",(inputPrYr!$B57),"  ")</f>
        <v xml:space="preserve">  </v>
      </c>
      <c r="B47" s="44" t="str">
        <f>IF('Single No Levy Page 25'!$C$44&gt;0,'Single No Levy Page 25'!$C$44,"  ")</f>
        <v xml:space="preserve">  </v>
      </c>
      <c r="C47" s="30"/>
      <c r="D47" s="44" t="str">
        <f>IF('Single No Levy Page 25'!$D$44&gt;0,'Single No Levy Page 25'!$D$44,"  ")</f>
        <v xml:space="preserve">  </v>
      </c>
      <c r="E47" s="30"/>
      <c r="F47" s="44" t="str">
        <f>IF('Single No Levy Page 25'!$E$44&gt;0,'Single No Levy Page 25'!$E$44,"  ")</f>
        <v xml:space="preserve">  </v>
      </c>
      <c r="G47" s="30"/>
      <c r="H47" s="30"/>
      <c r="J47" s="344" t="str">
        <f>CONCATENATE("",H2-1," Mill Rate Was:")</f>
        <v>2024 Mill Rate Was:</v>
      </c>
      <c r="K47" s="338"/>
      <c r="L47" s="338"/>
      <c r="M47" s="346">
        <f>E52</f>
        <v>0</v>
      </c>
    </row>
    <row r="48" spans="1:13" x14ac:dyDescent="0.25">
      <c r="A48" s="44" t="str">
        <f>IF(inputPrYr!$B60&gt;"  ",('Non-Budgeted Funds A'!$A3),"  ")</f>
        <v xml:space="preserve">  </v>
      </c>
      <c r="B48" s="44" t="str">
        <f>IF('Non-Budgeted Funds A'!$K$28&gt;0,'Non-Budgeted Funds A'!$K$28,"  ")</f>
        <v xml:space="preserve">  </v>
      </c>
      <c r="C48" s="30"/>
      <c r="D48" s="44"/>
      <c r="E48" s="30"/>
      <c r="F48" s="44"/>
      <c r="G48" s="30"/>
      <c r="H48" s="30"/>
      <c r="J48" s="347" t="str">
        <f>CONCATENATE("",H2," Tax Levy Fund Expenditures Must Be")</f>
        <v>2025 Tax Levy Fund Expenditures Must Be</v>
      </c>
      <c r="K48" s="348"/>
      <c r="L48" s="348"/>
      <c r="M48" s="345"/>
    </row>
    <row r="49" spans="1:13" x14ac:dyDescent="0.25">
      <c r="A49" s="44" t="str">
        <f>IF(inputPrYr!$B66&gt;"  ",('Non-Budgeted Funds B'!$A3),"  ")</f>
        <v xml:space="preserve">  </v>
      </c>
      <c r="B49" s="44" t="str">
        <f>IF('Non-Budgeted Funds B'!$K$28&gt;0,'Non-Budgeted Funds B'!$K$28,"  ")</f>
        <v xml:space="preserve">  </v>
      </c>
      <c r="C49" s="30"/>
      <c r="D49" s="44"/>
      <c r="E49" s="30"/>
      <c r="F49" s="44"/>
      <c r="G49" s="30"/>
      <c r="H49" s="30"/>
      <c r="J49" s="347" t="str">
        <f>IF(M49&gt;0,"Increased By:","")</f>
        <v/>
      </c>
      <c r="K49" s="348"/>
      <c r="L49" s="348"/>
      <c r="M49" s="362">
        <f>IF(M56&lt;0,M56*-1,0)</f>
        <v>0</v>
      </c>
    </row>
    <row r="50" spans="1:13" x14ac:dyDescent="0.2">
      <c r="A50" s="44" t="str">
        <f>IF(inputPrYr!$B72&gt;"  ",('Non-Budgeted Funds C'!$A3),"  ")</f>
        <v xml:space="preserve">  </v>
      </c>
      <c r="B50" s="44" t="str">
        <f>IF('Non-Budgeted Funds C'!$K$28&gt;0,'Non-Budgeted Funds C'!$K$28,"  ")</f>
        <v xml:space="preserve">  </v>
      </c>
      <c r="C50" s="30"/>
      <c r="D50" s="44"/>
      <c r="E50" s="30"/>
      <c r="F50" s="44"/>
      <c r="G50" s="30"/>
      <c r="H50" s="30"/>
      <c r="J50" s="363" t="str">
        <f>IF(M50&lt;0,"Reduced By:","")</f>
        <v/>
      </c>
      <c r="K50" s="364"/>
      <c r="L50" s="364"/>
      <c r="M50" s="365">
        <f>IF(M56&gt;0,M56*-1,0)</f>
        <v>0</v>
      </c>
    </row>
    <row r="51" spans="1:13" ht="16.5" thickBot="1" x14ac:dyDescent="0.3">
      <c r="A51" s="44" t="str">
        <f>IF(inputPrYr!$B78&gt;"  ",('Non-Budgeted Funds D'!$A3),"  ")</f>
        <v xml:space="preserve">  </v>
      </c>
      <c r="B51" s="355" t="str">
        <f>IF('Non-Budgeted Funds D'!$K$28&gt;0,'Non-Budgeted Funds D'!$K$28,"  ")</f>
        <v xml:space="preserve">  </v>
      </c>
      <c r="C51" s="356"/>
      <c r="D51" s="355"/>
      <c r="E51" s="356"/>
      <c r="F51" s="355"/>
      <c r="G51" s="356"/>
      <c r="H51" s="356"/>
      <c r="J51" s="343"/>
      <c r="K51" s="343"/>
      <c r="L51" s="343"/>
      <c r="M51" s="343"/>
    </row>
    <row r="52" spans="1:13" ht="16.5" thickBot="1" x14ac:dyDescent="0.3">
      <c r="A52" s="733" t="s">
        <v>336</v>
      </c>
      <c r="B52" s="734">
        <f>SUM(B15:B51)</f>
        <v>0</v>
      </c>
      <c r="C52" s="735">
        <f>SUM(C15:C27)</f>
        <v>0</v>
      </c>
      <c r="D52" s="734">
        <f>SUM(D15:D51)</f>
        <v>0</v>
      </c>
      <c r="E52" s="735">
        <f>SUM(E15:E27)</f>
        <v>0</v>
      </c>
      <c r="F52" s="734">
        <f>SUM(F15:F51)</f>
        <v>0</v>
      </c>
      <c r="G52" s="734">
        <f>SUM(G15:G51)</f>
        <v>0</v>
      </c>
      <c r="H52" s="735">
        <f>SUM(H15:H27)</f>
        <v>0</v>
      </c>
      <c r="J52" s="915" t="str">
        <f>CONCATENATE("Impact On Keeping The Same Mill Rate As For ",H2-1,"")</f>
        <v>Impact On Keeping The Same Mill Rate As For 2024</v>
      </c>
      <c r="K52" s="918"/>
      <c r="L52" s="918"/>
      <c r="M52" s="919"/>
    </row>
    <row r="53" spans="1:13" ht="16.5" thickTop="1" x14ac:dyDescent="0.25">
      <c r="A53" s="908" t="s">
        <v>651</v>
      </c>
      <c r="B53" s="909"/>
      <c r="C53" s="909"/>
      <c r="D53" s="909"/>
      <c r="E53" s="909"/>
      <c r="F53" s="909"/>
      <c r="G53" s="910"/>
      <c r="H53" s="709">
        <f>inputOth!D22</f>
        <v>0</v>
      </c>
      <c r="I53" s="352" t="str">
        <f>IF(H54&gt;inputOth!E6,"Exceed Limit","")</f>
        <v/>
      </c>
      <c r="J53" s="344"/>
      <c r="K53" s="338"/>
      <c r="L53" s="338"/>
      <c r="M53" s="345"/>
    </row>
    <row r="54" spans="1:13" x14ac:dyDescent="0.25">
      <c r="A54" s="323" t="str">
        <f>IF((inputPrYr!B34&gt;""),(inputPrYr!B34),"")</f>
        <v>Recreation</v>
      </c>
      <c r="B54" s="583" t="str">
        <f>IF(('Library-Rec'!C73)&lt;&gt;0,('Library-Rec'!C73),"  ")</f>
        <v xml:space="preserve">  </v>
      </c>
      <c r="C54" s="586" t="str">
        <f>IF(inputPrYr!D100&gt;0,inputPrYr!D100,"  ")</f>
        <v xml:space="preserve">  </v>
      </c>
      <c r="D54" s="583" t="str">
        <f>IF(('Library-Rec'!D73)&lt;&gt;0,('Library-Rec'!D73),"  ")</f>
        <v xml:space="preserve">  </v>
      </c>
      <c r="E54" s="585" t="str">
        <f>IF(inputOth!D39&gt;0,inputOth!D39,"  ")</f>
        <v xml:space="preserve">  </v>
      </c>
      <c r="F54" s="583" t="str">
        <f>IF(('Library-Rec'!E73)&lt;&gt;0,('Library-Rec'!E73),"  ")</f>
        <v xml:space="preserve">  </v>
      </c>
      <c r="G54" s="584" t="str">
        <f>IF('Library-Rec'!E80&lt;&gt;0,'Library-Rec'!E80,"  ")</f>
        <v xml:space="preserve">  </v>
      </c>
      <c r="H54" s="585">
        <f>IF('Library-Rec'!E80&gt;0,ROUND(G54/$F$60*1000,3),0)</f>
        <v>0</v>
      </c>
      <c r="J54" s="344" t="str">
        <f>CONCATENATE("",H2," Ad Valorem Tax Revenue:")</f>
        <v>2025 Ad Valorem Tax Revenue:</v>
      </c>
      <c r="K54" s="338"/>
      <c r="L54" s="338"/>
      <c r="M54" s="339">
        <f>G52</f>
        <v>0</v>
      </c>
    </row>
    <row r="55" spans="1:13" x14ac:dyDescent="0.25">
      <c r="A55" s="322" t="s">
        <v>352</v>
      </c>
      <c r="B55" s="591">
        <f t="shared" ref="B55:G55" si="0">SUM(B52:B54)</f>
        <v>0</v>
      </c>
      <c r="C55" s="592">
        <f t="shared" si="0"/>
        <v>0</v>
      </c>
      <c r="D55" s="591">
        <f t="shared" si="0"/>
        <v>0</v>
      </c>
      <c r="E55" s="592">
        <f t="shared" si="0"/>
        <v>0</v>
      </c>
      <c r="F55" s="591">
        <f t="shared" si="0"/>
        <v>0</v>
      </c>
      <c r="G55" s="591">
        <f t="shared" si="0"/>
        <v>0</v>
      </c>
      <c r="H55" s="592">
        <f>SUM(H52,H54)</f>
        <v>0</v>
      </c>
      <c r="J55" s="344" t="str">
        <f>CONCATENATE("",H2-1," Ad Valorem Tax Revenue:")</f>
        <v>2024 Ad Valorem Tax Revenue:</v>
      </c>
      <c r="K55" s="338"/>
      <c r="L55" s="338"/>
      <c r="M55" s="351">
        <f>ROUND(F60*M47/1000,0)</f>
        <v>0</v>
      </c>
    </row>
    <row r="56" spans="1:13" x14ac:dyDescent="0.25">
      <c r="A56" s="21" t="s">
        <v>86</v>
      </c>
      <c r="B56" s="590">
        <f>Transfers!C28</f>
        <v>0</v>
      </c>
      <c r="C56" s="39"/>
      <c r="D56" s="590">
        <f>Transfers!D28</f>
        <v>0</v>
      </c>
      <c r="E56" s="39"/>
      <c r="F56" s="590">
        <f>Transfers!E28</f>
        <v>0</v>
      </c>
      <c r="G56" s="20"/>
      <c r="H56" s="20"/>
      <c r="J56" s="349" t="s">
        <v>360</v>
      </c>
      <c r="K56" s="350"/>
      <c r="L56" s="350"/>
      <c r="M56" s="342">
        <f>SUM(M54-M55)</f>
        <v>0</v>
      </c>
    </row>
    <row r="57" spans="1:13" ht="16.5" thickBot="1" x14ac:dyDescent="0.3">
      <c r="A57" s="21" t="s">
        <v>87</v>
      </c>
      <c r="B57" s="593">
        <f>B55-B56</f>
        <v>0</v>
      </c>
      <c r="C57" s="20"/>
      <c r="D57" s="593">
        <f>D55-D56</f>
        <v>0</v>
      </c>
      <c r="E57" s="110"/>
      <c r="F57" s="593">
        <f>F55-F56</f>
        <v>0</v>
      </c>
      <c r="G57" s="20"/>
      <c r="H57" s="20"/>
      <c r="J57" s="343"/>
      <c r="K57" s="343"/>
      <c r="L57" s="343"/>
      <c r="M57" s="343"/>
    </row>
    <row r="58" spans="1:13" ht="16.5" thickTop="1" x14ac:dyDescent="0.25">
      <c r="A58" s="21" t="s">
        <v>88</v>
      </c>
      <c r="B58" s="590">
        <f>inputPrYr!E103</f>
        <v>0</v>
      </c>
      <c r="C58" s="20"/>
      <c r="D58" s="590">
        <f>inputPrYr!E32</f>
        <v>0</v>
      </c>
      <c r="E58" s="20"/>
      <c r="F58" s="225" t="s">
        <v>49</v>
      </c>
      <c r="G58" s="20"/>
      <c r="H58" s="20"/>
      <c r="J58" s="915" t="s">
        <v>361</v>
      </c>
      <c r="K58" s="916"/>
      <c r="L58" s="916"/>
      <c r="M58" s="917"/>
    </row>
    <row r="59" spans="1:13" x14ac:dyDescent="0.25">
      <c r="A59" s="21" t="s">
        <v>89</v>
      </c>
      <c r="B59" s="594"/>
      <c r="C59" s="20"/>
      <c r="D59" s="595"/>
      <c r="E59" s="20"/>
      <c r="F59" s="594"/>
      <c r="G59" s="20"/>
      <c r="H59" s="20"/>
      <c r="J59" s="344"/>
      <c r="K59" s="338"/>
      <c r="L59" s="338"/>
      <c r="M59" s="345"/>
    </row>
    <row r="60" spans="1:13" ht="13.5" customHeight="1" x14ac:dyDescent="0.25">
      <c r="A60" s="21" t="s">
        <v>90</v>
      </c>
      <c r="B60" s="590">
        <f>inputPrYr!E104</f>
        <v>0</v>
      </c>
      <c r="C60" s="20"/>
      <c r="D60" s="590">
        <f>inputOth!E42</f>
        <v>0</v>
      </c>
      <c r="E60" s="20"/>
      <c r="F60" s="590">
        <f>inputOth!E9</f>
        <v>0</v>
      </c>
      <c r="G60" s="20"/>
      <c r="H60" s="20"/>
      <c r="J60" s="344" t="str">
        <f>CONCATENATE("Current ",H2," Estimated Mill Rate:")</f>
        <v>Current 2025 Estimated Mill Rate:</v>
      </c>
      <c r="K60" s="338"/>
      <c r="L60" s="338"/>
      <c r="M60" s="346">
        <f>H52</f>
        <v>0</v>
      </c>
    </row>
    <row r="61" spans="1:13" x14ac:dyDescent="0.25">
      <c r="A61" s="20"/>
      <c r="B61" s="20"/>
      <c r="C61" s="20"/>
      <c r="D61" s="20"/>
      <c r="E61" s="20"/>
      <c r="F61" s="20"/>
      <c r="G61" s="20"/>
      <c r="H61" s="20"/>
      <c r="J61" s="344" t="str">
        <f>CONCATENATE("Desired ",H2," Mill Rate:")</f>
        <v>Desired 2025 Mill Rate:</v>
      </c>
      <c r="K61" s="338"/>
      <c r="L61" s="338"/>
      <c r="M61" s="336">
        <v>0</v>
      </c>
    </row>
    <row r="62" spans="1:13" ht="18.75" customHeight="1" x14ac:dyDescent="0.25">
      <c r="A62" s="21" t="s">
        <v>91</v>
      </c>
      <c r="B62" s="20"/>
      <c r="C62" s="20"/>
      <c r="D62" s="20"/>
      <c r="E62" s="20"/>
      <c r="F62" s="20"/>
      <c r="G62" s="20"/>
      <c r="H62" s="20"/>
      <c r="J62" s="344" t="str">
        <f>CONCATENATE("",H2," Ad Valorem Tax:")</f>
        <v>2025 Ad Valorem Tax:</v>
      </c>
      <c r="K62" s="338"/>
      <c r="L62" s="338"/>
      <c r="M62" s="351">
        <f>ROUND(F60*M61/1000,0)</f>
        <v>0</v>
      </c>
    </row>
    <row r="63" spans="1:13" ht="18.75" customHeight="1" x14ac:dyDescent="0.25">
      <c r="A63" s="21" t="s">
        <v>92</v>
      </c>
      <c r="B63" s="226">
        <f>H2-3</f>
        <v>2022</v>
      </c>
      <c r="C63" s="20"/>
      <c r="D63" s="226">
        <f>H2-2</f>
        <v>2023</v>
      </c>
      <c r="E63" s="20"/>
      <c r="F63" s="226">
        <f>H2-1</f>
        <v>2024</v>
      </c>
      <c r="G63" s="20"/>
      <c r="H63" s="20"/>
      <c r="J63" s="349" t="str">
        <f>CONCATENATE("",H2," Tax Levy Fund Exp. Changed By:")</f>
        <v>2025 Tax Levy Fund Exp. Changed By:</v>
      </c>
      <c r="K63" s="350"/>
      <c r="L63" s="350"/>
      <c r="M63" s="342">
        <f>M62-G52</f>
        <v>0</v>
      </c>
    </row>
    <row r="64" spans="1:13" ht="18.75" customHeight="1" x14ac:dyDescent="0.2">
      <c r="A64" s="21" t="s">
        <v>93</v>
      </c>
      <c r="B64" s="147">
        <f>inputPrYr!D108</f>
        <v>0</v>
      </c>
      <c r="C64" s="103"/>
      <c r="D64" s="147">
        <f>inputPrYr!E108</f>
        <v>0</v>
      </c>
      <c r="E64" s="103"/>
      <c r="F64" s="147">
        <f>Debt!G20</f>
        <v>0</v>
      </c>
      <c r="G64" s="20"/>
      <c r="H64" s="20"/>
    </row>
    <row r="65" spans="1:13" ht="18.75" customHeight="1" x14ac:dyDescent="0.2">
      <c r="A65" s="21" t="s">
        <v>94</v>
      </c>
      <c r="B65" s="318">
        <f>inputPrYr!D109</f>
        <v>0</v>
      </c>
      <c r="C65" s="103"/>
      <c r="D65" s="318">
        <f>inputPrYr!E109</f>
        <v>0</v>
      </c>
      <c r="E65" s="103"/>
      <c r="F65" s="147">
        <f>Debt!G32</f>
        <v>0</v>
      </c>
      <c r="G65" s="20"/>
      <c r="H65" s="20"/>
      <c r="J65" s="911" t="s">
        <v>654</v>
      </c>
      <c r="K65" s="912"/>
      <c r="L65" s="912"/>
      <c r="M65" s="903" t="str">
        <f>IF(H52&gt;H53, "Yes", "No")</f>
        <v>No</v>
      </c>
    </row>
    <row r="66" spans="1:13" ht="18" customHeight="1" x14ac:dyDescent="0.2">
      <c r="A66" s="20" t="s">
        <v>112</v>
      </c>
      <c r="B66" s="318">
        <f>inputPrYr!D110</f>
        <v>0</v>
      </c>
      <c r="C66" s="103"/>
      <c r="D66" s="318">
        <f>inputPrYr!E110</f>
        <v>0</v>
      </c>
      <c r="E66" s="103"/>
      <c r="F66" s="147">
        <f>Debt!G42</f>
        <v>0</v>
      </c>
      <c r="G66" s="20"/>
      <c r="H66" s="20"/>
      <c r="J66" s="913"/>
      <c r="K66" s="914"/>
      <c r="L66" s="914"/>
      <c r="M66" s="904"/>
    </row>
    <row r="67" spans="1:13" ht="19.5" customHeight="1" x14ac:dyDescent="0.2">
      <c r="A67" s="21" t="s">
        <v>147</v>
      </c>
      <c r="B67" s="318">
        <f>inputPrYr!D111</f>
        <v>0</v>
      </c>
      <c r="C67" s="103"/>
      <c r="D67" s="318">
        <f>inputPrYr!E111</f>
        <v>0</v>
      </c>
      <c r="E67" s="103"/>
      <c r="F67" s="147">
        <f>'LP Form'!G28</f>
        <v>0</v>
      </c>
      <c r="G67" s="20"/>
      <c r="H67" s="20"/>
      <c r="J67" s="859" t="str">
        <f>IF(M65="Yes", "Follow procedure prescirbed by KSA 79-2988 to exceed the Revenue Neutral Rate.", " ")</f>
        <v xml:space="preserve"> </v>
      </c>
      <c r="K67" s="859"/>
      <c r="L67" s="859"/>
      <c r="M67" s="859"/>
    </row>
    <row r="68" spans="1:13" ht="18.75" customHeight="1" thickBot="1" x14ac:dyDescent="0.25">
      <c r="A68" s="21" t="s">
        <v>95</v>
      </c>
      <c r="B68" s="234">
        <f>SUM(B64:B67)</f>
        <v>0</v>
      </c>
      <c r="C68" s="103"/>
      <c r="D68" s="234">
        <f>SUM(D64:D67)</f>
        <v>0</v>
      </c>
      <c r="E68" s="103"/>
      <c r="F68" s="234">
        <f>SUM(F64:F67)</f>
        <v>0</v>
      </c>
      <c r="G68" s="20"/>
      <c r="H68" s="20"/>
      <c r="J68" s="860"/>
      <c r="K68" s="860"/>
      <c r="L68" s="860"/>
      <c r="M68" s="860"/>
    </row>
    <row r="69" spans="1:13" ht="16.5" thickTop="1" x14ac:dyDescent="0.2">
      <c r="A69" s="21" t="s">
        <v>96</v>
      </c>
      <c r="B69" s="20"/>
      <c r="C69" s="20"/>
      <c r="D69" s="20"/>
      <c r="E69" s="20"/>
      <c r="F69" s="20"/>
      <c r="G69" s="20"/>
      <c r="H69" s="20"/>
      <c r="J69" s="860"/>
      <c r="K69" s="860"/>
      <c r="L69" s="860"/>
      <c r="M69" s="860"/>
    </row>
    <row r="70" spans="1:13" x14ac:dyDescent="0.2">
      <c r="A70" s="710" t="s">
        <v>652</v>
      </c>
      <c r="B70" s="20"/>
      <c r="C70" s="20"/>
      <c r="D70" s="20"/>
      <c r="E70" s="20"/>
      <c r="F70" s="20"/>
      <c r="G70" s="20"/>
      <c r="H70" s="20"/>
    </row>
    <row r="71" spans="1:13" x14ac:dyDescent="0.2">
      <c r="A71" s="20"/>
      <c r="B71" s="20"/>
      <c r="C71" s="20"/>
      <c r="D71" s="20"/>
      <c r="E71" s="20"/>
      <c r="F71" s="20"/>
      <c r="G71" s="20"/>
      <c r="H71" s="20"/>
    </row>
    <row r="72" spans="1:13" x14ac:dyDescent="0.2">
      <c r="A72" s="907">
        <f>inputHearing!B14</f>
        <v>0</v>
      </c>
      <c r="B72" s="907"/>
      <c r="C72" s="20"/>
      <c r="D72" s="20"/>
      <c r="E72" s="20"/>
      <c r="F72" s="20"/>
      <c r="G72" s="20"/>
      <c r="H72" s="20"/>
    </row>
    <row r="73" spans="1:13" x14ac:dyDescent="0.2">
      <c r="A73" s="905" t="str">
        <f>CONCATENATE("City Official Title: ",inputHearing!B16,"")</f>
        <v xml:space="preserve">City Official Title: </v>
      </c>
      <c r="B73" s="896"/>
      <c r="C73" s="20"/>
      <c r="D73" s="20"/>
      <c r="E73" s="20"/>
      <c r="F73" s="20"/>
      <c r="G73" s="20"/>
      <c r="H73" s="20"/>
    </row>
    <row r="74" spans="1:13" x14ac:dyDescent="0.2">
      <c r="A74" s="20"/>
      <c r="B74" s="20"/>
      <c r="C74" s="20"/>
      <c r="D74" s="20"/>
      <c r="E74" s="20"/>
      <c r="F74" s="20"/>
      <c r="G74" s="20"/>
      <c r="H74" s="20"/>
    </row>
    <row r="75" spans="1:13" x14ac:dyDescent="0.2">
      <c r="A75" s="20"/>
      <c r="B75" s="20"/>
      <c r="C75" s="73" t="s">
        <v>70</v>
      </c>
      <c r="D75" s="186"/>
      <c r="E75" s="20"/>
      <c r="F75" s="20"/>
      <c r="G75" s="20"/>
      <c r="H75" s="20"/>
    </row>
  </sheetData>
  <sheetProtection sheet="1"/>
  <mergeCells count="17">
    <mergeCell ref="M65:M66"/>
    <mergeCell ref="J67:M69"/>
    <mergeCell ref="A73:B73"/>
    <mergeCell ref="A5:H5"/>
    <mergeCell ref="A72:B72"/>
    <mergeCell ref="A53:G53"/>
    <mergeCell ref="H13:H14"/>
    <mergeCell ref="J65:L66"/>
    <mergeCell ref="J58:M58"/>
    <mergeCell ref="J52:M52"/>
    <mergeCell ref="J41:M41"/>
    <mergeCell ref="J45:M45"/>
    <mergeCell ref="A1:H1"/>
    <mergeCell ref="A4:H4"/>
    <mergeCell ref="A6:H6"/>
    <mergeCell ref="A7:H7"/>
    <mergeCell ref="A3:H3"/>
  </mergeCells>
  <phoneticPr fontId="0" type="noConversion"/>
  <conditionalFormatting sqref="M65:M66">
    <cfRule type="containsText" dxfId="1" priority="1" operator="containsText" text="Yes">
      <formula>NOT(ISERROR(SEARCH("Yes",M65)))</formula>
    </cfRule>
  </conditionalFormatting>
  <pageMargins left="0.5" right="0.5" top="1" bottom="0.5" header="0.5" footer="0.5"/>
  <pageSetup scale="62" orientation="portrait" blackAndWhite="1" horizontalDpi="120" verticalDpi="144"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49"/>
  <sheetViews>
    <sheetView zoomScale="80" zoomScaleNormal="80" workbookViewId="0">
      <selection activeCell="L17" sqref="L17"/>
    </sheetView>
  </sheetViews>
  <sheetFormatPr defaultRowHeight="15.75" x14ac:dyDescent="0.25"/>
  <cols>
    <col min="1" max="1" width="17.21875" customWidth="1"/>
    <col min="2" max="2" width="16.109375" customWidth="1"/>
    <col min="8" max="8" width="12.6640625" style="1" customWidth="1"/>
    <col min="9" max="9" width="12.44140625" style="1" customWidth="1"/>
    <col min="10" max="11" width="8.88671875" style="1"/>
  </cols>
  <sheetData>
    <row r="1" spans="1:14" ht="15" x14ac:dyDescent="0.2">
      <c r="A1" s="817" t="s">
        <v>633</v>
      </c>
      <c r="B1" s="817"/>
      <c r="C1" s="817"/>
      <c r="D1" s="817"/>
      <c r="E1" s="817"/>
      <c r="F1" s="817"/>
      <c r="H1" s="818" t="s">
        <v>634</v>
      </c>
      <c r="I1" s="818"/>
      <c r="J1" s="818"/>
      <c r="K1" s="818"/>
    </row>
    <row r="2" spans="1:14" ht="20.25" customHeight="1" x14ac:dyDescent="0.2">
      <c r="A2" s="817"/>
      <c r="B2" s="817"/>
      <c r="C2" s="817"/>
      <c r="D2" s="817"/>
      <c r="E2" s="817"/>
      <c r="F2" s="817"/>
      <c r="H2" s="818"/>
      <c r="I2" s="818"/>
      <c r="J2" s="818"/>
      <c r="K2" s="818"/>
    </row>
    <row r="3" spans="1:14" ht="18" customHeight="1" x14ac:dyDescent="0.2">
      <c r="A3" s="819" t="s">
        <v>635</v>
      </c>
      <c r="B3" s="819"/>
      <c r="C3" s="819"/>
      <c r="D3" s="819"/>
      <c r="E3" s="819"/>
      <c r="F3" s="819"/>
      <c r="H3" s="246" t="s">
        <v>362</v>
      </c>
      <c r="I3" s="820" t="s">
        <v>363</v>
      </c>
      <c r="J3" s="821"/>
      <c r="K3" s="822"/>
    </row>
    <row r="4" spans="1:14" ht="18" customHeight="1" x14ac:dyDescent="0.25">
      <c r="A4" s="819"/>
      <c r="B4" s="819"/>
      <c r="C4" s="819"/>
      <c r="D4" s="819"/>
      <c r="E4" s="819"/>
      <c r="F4" s="819"/>
      <c r="H4" s="246"/>
      <c r="I4" s="246"/>
    </row>
    <row r="5" spans="1:14" ht="18" customHeight="1" x14ac:dyDescent="0.2">
      <c r="A5" s="819"/>
      <c r="B5" s="819"/>
      <c r="C5" s="819"/>
      <c r="D5" s="819"/>
      <c r="E5" s="819"/>
      <c r="F5" s="819"/>
      <c r="H5" s="246" t="s">
        <v>286</v>
      </c>
      <c r="I5" s="820" t="s">
        <v>636</v>
      </c>
      <c r="J5" s="821"/>
      <c r="K5" s="822"/>
    </row>
    <row r="6" spans="1:14" ht="18" customHeight="1" x14ac:dyDescent="0.25">
      <c r="A6" s="819"/>
      <c r="B6" s="819"/>
      <c r="C6" s="819"/>
      <c r="D6" s="819"/>
      <c r="E6" s="819"/>
      <c r="F6" s="819"/>
      <c r="H6" s="246"/>
      <c r="I6" s="246"/>
    </row>
    <row r="7" spans="1:14" ht="18" customHeight="1" x14ac:dyDescent="0.2">
      <c r="A7" s="819"/>
      <c r="B7" s="819"/>
      <c r="C7" s="819"/>
      <c r="D7" s="819"/>
      <c r="E7" s="819"/>
      <c r="F7" s="819"/>
      <c r="H7" s="246" t="s">
        <v>287</v>
      </c>
      <c r="I7" s="820" t="s">
        <v>290</v>
      </c>
      <c r="J7" s="821"/>
      <c r="K7" s="822"/>
    </row>
    <row r="8" spans="1:14" ht="18" customHeight="1" x14ac:dyDescent="0.25">
      <c r="A8" s="819"/>
      <c r="B8" s="819"/>
      <c r="C8" s="819"/>
      <c r="D8" s="819"/>
      <c r="E8" s="819"/>
      <c r="F8" s="819"/>
      <c r="H8" s="246"/>
      <c r="I8" s="246"/>
    </row>
    <row r="9" spans="1:14" ht="18" customHeight="1" x14ac:dyDescent="0.2">
      <c r="A9" s="819"/>
      <c r="B9" s="819"/>
      <c r="C9" s="819"/>
      <c r="D9" s="819"/>
      <c r="E9" s="819"/>
      <c r="F9" s="819"/>
      <c r="H9" s="246" t="s">
        <v>288</v>
      </c>
      <c r="I9" s="820" t="s">
        <v>291</v>
      </c>
      <c r="J9" s="821"/>
      <c r="K9" s="822"/>
    </row>
    <row r="10" spans="1:14" ht="18" customHeight="1" x14ac:dyDescent="0.25">
      <c r="A10" s="819"/>
      <c r="B10" s="819"/>
      <c r="C10" s="819"/>
      <c r="D10" s="819"/>
      <c r="E10" s="819"/>
      <c r="F10" s="819"/>
      <c r="H10" s="246"/>
      <c r="I10" s="246"/>
    </row>
    <row r="11" spans="1:14" ht="18" customHeight="1" x14ac:dyDescent="0.2">
      <c r="A11" s="819"/>
      <c r="B11" s="819"/>
      <c r="C11" s="819"/>
      <c r="D11" s="819"/>
      <c r="E11" s="819"/>
      <c r="F11" s="819"/>
      <c r="H11" s="246" t="s">
        <v>289</v>
      </c>
      <c r="I11" s="820" t="s">
        <v>291</v>
      </c>
      <c r="J11" s="821"/>
      <c r="K11" s="822"/>
    </row>
    <row r="12" spans="1:14" ht="18" customHeight="1" x14ac:dyDescent="0.25">
      <c r="A12" s="819"/>
      <c r="B12" s="819"/>
      <c r="C12" s="819"/>
      <c r="D12" s="819"/>
      <c r="E12" s="819"/>
      <c r="F12" s="819"/>
    </row>
    <row r="13" spans="1:14" ht="21" customHeight="1" x14ac:dyDescent="0.3">
      <c r="A13" s="818" t="s">
        <v>637</v>
      </c>
      <c r="B13" s="818"/>
      <c r="C13" s="818"/>
      <c r="D13" s="818"/>
      <c r="E13" s="818"/>
      <c r="F13" s="818"/>
      <c r="G13" s="818"/>
      <c r="H13" s="818"/>
      <c r="I13" s="818"/>
      <c r="J13" s="818"/>
      <c r="K13" s="818"/>
      <c r="M13" s="722"/>
      <c r="N13" s="722"/>
    </row>
    <row r="14" spans="1:14" x14ac:dyDescent="0.25">
      <c r="A14" s="723" t="s">
        <v>376</v>
      </c>
      <c r="B14" s="820"/>
      <c r="C14" s="821"/>
      <c r="D14" s="821"/>
      <c r="E14" s="822"/>
      <c r="H14" s="823" t="s">
        <v>638</v>
      </c>
      <c r="I14" s="823"/>
      <c r="J14" s="823"/>
      <c r="K14" s="823"/>
    </row>
    <row r="15" spans="1:14" x14ac:dyDescent="0.25">
      <c r="A15" s="723"/>
      <c r="B15" s="367"/>
      <c r="C15" s="724"/>
      <c r="D15" s="724"/>
      <c r="E15" s="724"/>
      <c r="H15" s="823"/>
      <c r="I15" s="823"/>
      <c r="J15" s="823"/>
      <c r="K15" s="823"/>
    </row>
    <row r="16" spans="1:14" x14ac:dyDescent="0.25">
      <c r="A16" s="723" t="s">
        <v>362</v>
      </c>
      <c r="B16" s="820"/>
      <c r="C16" s="821"/>
      <c r="D16" s="821"/>
      <c r="E16" s="822"/>
      <c r="H16" s="823"/>
      <c r="I16" s="823"/>
      <c r="J16" s="823"/>
      <c r="K16" s="823"/>
    </row>
    <row r="17" spans="1:13" x14ac:dyDescent="0.25">
      <c r="A17" s="725"/>
      <c r="B17" s="726"/>
      <c r="C17" s="726"/>
      <c r="D17" s="724"/>
      <c r="E17" s="726"/>
      <c r="F17" s="245"/>
      <c r="H17" s="823"/>
      <c r="I17" s="823"/>
      <c r="J17" s="823"/>
      <c r="K17" s="823"/>
    </row>
    <row r="18" spans="1:13" x14ac:dyDescent="0.25">
      <c r="A18" s="727" t="s">
        <v>286</v>
      </c>
      <c r="B18" s="820"/>
      <c r="C18" s="821"/>
      <c r="D18" s="821"/>
      <c r="E18" s="822"/>
      <c r="F18" s="245"/>
      <c r="H18" s="823"/>
      <c r="I18" s="823"/>
      <c r="J18" s="823"/>
      <c r="K18" s="823"/>
    </row>
    <row r="19" spans="1:13" x14ac:dyDescent="0.25">
      <c r="A19" s="728" t="s">
        <v>639</v>
      </c>
      <c r="B19" s="724"/>
      <c r="C19" s="724"/>
      <c r="D19" s="246"/>
      <c r="E19" s="726"/>
      <c r="F19" s="245"/>
      <c r="H19" s="823"/>
      <c r="I19" s="823"/>
      <c r="J19" s="823"/>
      <c r="K19" s="823"/>
    </row>
    <row r="20" spans="1:13" x14ac:dyDescent="0.25">
      <c r="A20" s="727" t="s">
        <v>287</v>
      </c>
      <c r="B20" s="820"/>
      <c r="C20" s="821"/>
      <c r="D20" s="821"/>
      <c r="E20" s="822"/>
      <c r="F20" s="245"/>
      <c r="H20" s="823"/>
      <c r="I20" s="823"/>
      <c r="J20" s="823"/>
      <c r="K20" s="823"/>
    </row>
    <row r="21" spans="1:13" x14ac:dyDescent="0.25">
      <c r="A21" s="727"/>
      <c r="B21" s="246"/>
      <c r="C21" s="246"/>
      <c r="D21" s="246"/>
      <c r="E21" s="726"/>
      <c r="F21" s="245"/>
      <c r="H21" s="823"/>
      <c r="I21" s="823"/>
      <c r="J21" s="823"/>
      <c r="K21" s="823"/>
    </row>
    <row r="22" spans="1:13" x14ac:dyDescent="0.25">
      <c r="A22" s="727" t="s">
        <v>288</v>
      </c>
      <c r="B22" s="824"/>
      <c r="C22" s="825"/>
      <c r="D22" s="825"/>
      <c r="E22" s="826"/>
      <c r="F22" s="245"/>
      <c r="H22" s="823"/>
      <c r="I22" s="823"/>
      <c r="J22" s="823"/>
      <c r="K22" s="823"/>
    </row>
    <row r="23" spans="1:13" x14ac:dyDescent="0.25">
      <c r="A23" s="727"/>
      <c r="B23" s="246"/>
      <c r="C23" s="246"/>
      <c r="D23" s="246"/>
      <c r="E23" s="726"/>
      <c r="F23" s="245"/>
      <c r="H23" s="823"/>
      <c r="I23" s="823"/>
      <c r="J23" s="823"/>
      <c r="K23" s="823"/>
    </row>
    <row r="24" spans="1:13" x14ac:dyDescent="0.25">
      <c r="A24" s="727" t="s">
        <v>640</v>
      </c>
      <c r="B24" s="824"/>
      <c r="C24" s="825"/>
      <c r="D24" s="825"/>
      <c r="E24" s="826"/>
      <c r="F24" s="245"/>
      <c r="H24" s="823"/>
      <c r="I24" s="823"/>
      <c r="J24" s="823"/>
      <c r="K24" s="823"/>
    </row>
    <row r="27" spans="1:13" ht="21" customHeight="1" x14ac:dyDescent="0.2">
      <c r="A27" s="818" t="s">
        <v>641</v>
      </c>
      <c r="B27" s="818"/>
      <c r="C27" s="818"/>
      <c r="D27" s="818"/>
      <c r="E27" s="818"/>
      <c r="F27" s="818"/>
      <c r="G27" s="818"/>
      <c r="H27" s="818"/>
      <c r="I27" s="818"/>
      <c r="J27" s="818"/>
      <c r="K27" s="818"/>
    </row>
    <row r="28" spans="1:13" ht="15.75" customHeight="1" x14ac:dyDescent="0.25">
      <c r="A28" s="723" t="s">
        <v>376</v>
      </c>
      <c r="B28" s="820"/>
      <c r="C28" s="821"/>
      <c r="D28" s="821"/>
      <c r="E28" s="822"/>
      <c r="H28" s="823" t="s">
        <v>642</v>
      </c>
      <c r="I28" s="823"/>
      <c r="J28" s="823"/>
      <c r="K28" s="823"/>
      <c r="M28" t="s">
        <v>643</v>
      </c>
    </row>
    <row r="29" spans="1:13" x14ac:dyDescent="0.25">
      <c r="A29" s="723"/>
      <c r="B29" s="367"/>
      <c r="H29" s="823"/>
      <c r="I29" s="823"/>
      <c r="J29" s="823"/>
      <c r="K29" s="823"/>
    </row>
    <row r="30" spans="1:13" x14ac:dyDescent="0.25">
      <c r="A30" s="723" t="s">
        <v>362</v>
      </c>
      <c r="B30" s="820"/>
      <c r="C30" s="821"/>
      <c r="D30" s="821"/>
      <c r="E30" s="822"/>
      <c r="H30" s="823"/>
      <c r="I30" s="823"/>
      <c r="J30" s="823"/>
      <c r="K30" s="823"/>
    </row>
    <row r="31" spans="1:13" x14ac:dyDescent="0.25">
      <c r="A31" s="725"/>
      <c r="B31" s="245"/>
      <c r="C31" s="245"/>
      <c r="E31" s="245"/>
      <c r="F31" s="245"/>
      <c r="H31" s="823"/>
      <c r="I31" s="823"/>
      <c r="J31" s="823"/>
      <c r="K31" s="823"/>
    </row>
    <row r="32" spans="1:13" x14ac:dyDescent="0.25">
      <c r="A32" s="727" t="s">
        <v>286</v>
      </c>
      <c r="B32" s="820"/>
      <c r="C32" s="821"/>
      <c r="D32" s="821"/>
      <c r="E32" s="822"/>
      <c r="F32" s="245"/>
      <c r="H32" s="823"/>
      <c r="I32" s="823"/>
      <c r="J32" s="823"/>
      <c r="K32" s="823"/>
    </row>
    <row r="33" spans="1:11" x14ac:dyDescent="0.25">
      <c r="A33" s="728" t="s">
        <v>639</v>
      </c>
      <c r="D33" s="246"/>
      <c r="E33" s="245"/>
      <c r="F33" s="245"/>
      <c r="H33" s="823"/>
      <c r="I33" s="823"/>
      <c r="J33" s="823"/>
      <c r="K33" s="823"/>
    </row>
    <row r="34" spans="1:11" x14ac:dyDescent="0.25">
      <c r="A34" s="727" t="s">
        <v>287</v>
      </c>
      <c r="B34" s="820"/>
      <c r="C34" s="821"/>
      <c r="D34" s="821"/>
      <c r="E34" s="822"/>
      <c r="F34" s="245"/>
      <c r="H34" s="823"/>
      <c r="I34" s="823"/>
      <c r="J34" s="823"/>
      <c r="K34" s="823"/>
    </row>
    <row r="35" spans="1:11" x14ac:dyDescent="0.25">
      <c r="A35" s="727"/>
      <c r="B35" s="246"/>
      <c r="C35" s="246"/>
      <c r="D35" s="246"/>
      <c r="E35" s="245"/>
      <c r="F35" s="245"/>
      <c r="H35" s="823"/>
      <c r="I35" s="823"/>
      <c r="J35" s="823"/>
      <c r="K35" s="823"/>
    </row>
    <row r="36" spans="1:11" x14ac:dyDescent="0.25">
      <c r="A36" s="727" t="s">
        <v>288</v>
      </c>
      <c r="B36" s="824"/>
      <c r="C36" s="825"/>
      <c r="D36" s="825"/>
      <c r="E36" s="826"/>
      <c r="F36" s="245"/>
      <c r="H36" s="823"/>
      <c r="I36" s="823"/>
      <c r="J36" s="823"/>
      <c r="K36" s="823"/>
    </row>
    <row r="37" spans="1:11" x14ac:dyDescent="0.25">
      <c r="A37" s="727"/>
      <c r="B37" s="246"/>
      <c r="C37" s="246"/>
      <c r="D37" s="246"/>
      <c r="E37" s="245"/>
      <c r="F37" s="245"/>
      <c r="H37" s="823"/>
      <c r="I37" s="823"/>
      <c r="J37" s="823"/>
      <c r="K37" s="823"/>
    </row>
    <row r="38" spans="1:11" x14ac:dyDescent="0.25">
      <c r="A38" s="727" t="s">
        <v>640</v>
      </c>
      <c r="B38" s="824"/>
      <c r="C38" s="825"/>
      <c r="D38" s="825"/>
      <c r="E38" s="826"/>
      <c r="F38" s="245"/>
      <c r="H38" s="823"/>
      <c r="I38" s="823"/>
      <c r="J38" s="823"/>
      <c r="K38" s="823"/>
    </row>
    <row r="39" spans="1:11" ht="15.75" customHeight="1" x14ac:dyDescent="0.2">
      <c r="H39" s="823"/>
      <c r="I39" s="823"/>
      <c r="J39" s="823"/>
      <c r="K39" s="823"/>
    </row>
    <row r="41" spans="1:11" ht="21" customHeight="1" x14ac:dyDescent="0.2">
      <c r="A41" s="818" t="s">
        <v>644</v>
      </c>
      <c r="B41" s="818"/>
      <c r="C41" s="818"/>
      <c r="D41" s="818"/>
      <c r="E41" s="818"/>
      <c r="F41" s="818"/>
      <c r="G41" s="818"/>
      <c r="H41" s="818"/>
      <c r="I41" s="818"/>
      <c r="J41" s="818"/>
      <c r="K41" s="818"/>
    </row>
    <row r="42" spans="1:11" ht="15.75" customHeight="1" x14ac:dyDescent="0.25">
      <c r="A42" s="727" t="s">
        <v>286</v>
      </c>
      <c r="B42" s="820"/>
      <c r="C42" s="821"/>
      <c r="D42" s="821"/>
      <c r="E42" s="822"/>
      <c r="F42" s="245"/>
      <c r="H42" s="823" t="s">
        <v>645</v>
      </c>
      <c r="I42" s="823"/>
      <c r="J42" s="823"/>
      <c r="K42" s="823"/>
    </row>
    <row r="43" spans="1:11" x14ac:dyDescent="0.25">
      <c r="A43" s="728" t="s">
        <v>639</v>
      </c>
      <c r="B43" s="724"/>
      <c r="C43" s="724"/>
      <c r="D43" s="246"/>
      <c r="E43" s="726"/>
      <c r="F43" s="245"/>
      <c r="H43" s="823"/>
      <c r="I43" s="823"/>
      <c r="J43" s="823"/>
      <c r="K43" s="823"/>
    </row>
    <row r="44" spans="1:11" x14ac:dyDescent="0.25">
      <c r="A44" s="727" t="s">
        <v>287</v>
      </c>
      <c r="B44" s="820"/>
      <c r="C44" s="821"/>
      <c r="D44" s="821"/>
      <c r="E44" s="822"/>
      <c r="F44" s="245"/>
      <c r="H44" s="823"/>
      <c r="I44" s="823"/>
      <c r="J44" s="823"/>
      <c r="K44" s="823"/>
    </row>
    <row r="45" spans="1:11" x14ac:dyDescent="0.25">
      <c r="A45" s="727"/>
      <c r="B45" s="246"/>
      <c r="C45" s="246"/>
      <c r="D45" s="246"/>
      <c r="E45" s="726"/>
      <c r="F45" s="245"/>
      <c r="H45" s="823"/>
      <c r="I45" s="823"/>
      <c r="J45" s="823"/>
      <c r="K45" s="823"/>
    </row>
    <row r="46" spans="1:11" x14ac:dyDescent="0.25">
      <c r="A46" s="727" t="s">
        <v>288</v>
      </c>
      <c r="B46" s="824"/>
      <c r="C46" s="825"/>
      <c r="D46" s="825"/>
      <c r="E46" s="826"/>
      <c r="F46" s="245"/>
      <c r="H46" s="823"/>
      <c r="I46" s="823"/>
      <c r="J46" s="823"/>
      <c r="K46" s="823"/>
    </row>
    <row r="47" spans="1:11" ht="15.75" customHeight="1" x14ac:dyDescent="0.2">
      <c r="H47" s="823"/>
      <c r="I47" s="823"/>
      <c r="J47" s="823"/>
      <c r="K47" s="823"/>
    </row>
    <row r="48" spans="1:11" ht="15.75" customHeight="1" x14ac:dyDescent="0.2">
      <c r="H48" s="823"/>
      <c r="I48" s="823"/>
      <c r="J48" s="823"/>
      <c r="K48" s="823"/>
    </row>
    <row r="49" spans="8:11" ht="15.75" customHeight="1" x14ac:dyDescent="0.2">
      <c r="H49" s="823"/>
      <c r="I49" s="823"/>
      <c r="J49" s="823"/>
      <c r="K49" s="823"/>
    </row>
  </sheetData>
  <sheetProtection sheet="1"/>
  <mergeCells count="29">
    <mergeCell ref="A41:K41"/>
    <mergeCell ref="B42:E42"/>
    <mergeCell ref="H42:K49"/>
    <mergeCell ref="B44:E44"/>
    <mergeCell ref="B46:E46"/>
    <mergeCell ref="A27:K27"/>
    <mergeCell ref="B28:E28"/>
    <mergeCell ref="H28:K39"/>
    <mergeCell ref="B30:E30"/>
    <mergeCell ref="B32:E32"/>
    <mergeCell ref="B34:E34"/>
    <mergeCell ref="B36:E36"/>
    <mergeCell ref="B38:E38"/>
    <mergeCell ref="A13:K13"/>
    <mergeCell ref="B14:E14"/>
    <mergeCell ref="H14:K24"/>
    <mergeCell ref="B16:E16"/>
    <mergeCell ref="B18:E18"/>
    <mergeCell ref="B20:E20"/>
    <mergeCell ref="B22:E22"/>
    <mergeCell ref="B24:E24"/>
    <mergeCell ref="A1:F2"/>
    <mergeCell ref="H1:K2"/>
    <mergeCell ref="A3:F12"/>
    <mergeCell ref="I3:K3"/>
    <mergeCell ref="I5:K5"/>
    <mergeCell ref="I7:K7"/>
    <mergeCell ref="I9:K9"/>
    <mergeCell ref="I11:K11"/>
  </mergeCells>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rgb="FF00B0F0"/>
    <pageSetUpPr fitToPage="1"/>
  </sheetPr>
  <dimension ref="A1:M75"/>
  <sheetViews>
    <sheetView zoomScale="85" zoomScaleNormal="85" workbookViewId="0">
      <selection activeCell="E21" sqref="E21"/>
    </sheetView>
  </sheetViews>
  <sheetFormatPr defaultColWidth="8.88671875" defaultRowHeight="15.75" x14ac:dyDescent="0.2"/>
  <cols>
    <col min="1" max="1" width="20.77734375" style="16" customWidth="1"/>
    <col min="2" max="2" width="15.77734375" style="16" customWidth="1"/>
    <col min="3" max="3" width="10.77734375" style="16" customWidth="1"/>
    <col min="4" max="4" width="15.77734375" style="16" customWidth="1"/>
    <col min="5" max="5" width="10.77734375" style="16" customWidth="1"/>
    <col min="6" max="6" width="15.77734375" style="16" customWidth="1"/>
    <col min="7" max="7" width="12.77734375" style="16" customWidth="1"/>
    <col min="8" max="8" width="10.77734375" style="16" customWidth="1"/>
    <col min="9" max="9" width="8.88671875" style="16"/>
    <col min="10" max="10" width="12.44140625" style="16" customWidth="1"/>
    <col min="11" max="11" width="12.33203125" style="16" customWidth="1"/>
    <col min="12" max="12" width="10.5546875" style="16" customWidth="1"/>
    <col min="13" max="13" width="12.109375" style="16" customWidth="1"/>
    <col min="14" max="16384" width="8.88671875" style="16"/>
  </cols>
  <sheetData>
    <row r="1" spans="1:9" x14ac:dyDescent="0.2">
      <c r="A1" s="901" t="s">
        <v>655</v>
      </c>
      <c r="B1" s="901"/>
      <c r="C1" s="901"/>
      <c r="D1" s="901"/>
      <c r="E1" s="901"/>
      <c r="F1" s="901"/>
      <c r="G1" s="901"/>
      <c r="H1" s="901"/>
      <c r="I1" s="222"/>
    </row>
    <row r="2" spans="1:9" ht="18" customHeight="1" x14ac:dyDescent="0.2">
      <c r="A2" s="20"/>
      <c r="B2" s="20"/>
      <c r="C2" s="20"/>
      <c r="D2" s="20"/>
      <c r="E2" s="20"/>
      <c r="F2" s="20"/>
      <c r="G2" s="20"/>
      <c r="H2" s="20">
        <f>inputPrYr!$C$6</f>
        <v>2025</v>
      </c>
    </row>
    <row r="3" spans="1:9" ht="18" customHeight="1" x14ac:dyDescent="0.2">
      <c r="A3" s="829" t="s">
        <v>80</v>
      </c>
      <c r="B3" s="829"/>
      <c r="C3" s="829"/>
      <c r="D3" s="829"/>
      <c r="E3" s="829"/>
      <c r="F3" s="829"/>
      <c r="G3" s="829"/>
      <c r="H3" s="829"/>
    </row>
    <row r="4" spans="1:9" x14ac:dyDescent="0.2">
      <c r="A4" s="794">
        <f>inputPrYr!D3</f>
        <v>0</v>
      </c>
      <c r="B4" s="794"/>
      <c r="C4" s="794"/>
      <c r="D4" s="794"/>
      <c r="E4" s="794"/>
      <c r="F4" s="794"/>
      <c r="G4" s="794"/>
      <c r="H4" s="794"/>
    </row>
    <row r="5" spans="1:9" ht="18" customHeight="1" x14ac:dyDescent="0.25">
      <c r="A5" s="906" t="str">
        <f>CONCATENATE("will meet on ",inputHearing!B32," at ",inputHearing!B34," at ",inputHearing!B36," for the purpose of hearing and")</f>
        <v>will meet on  at  at  for the purpose of hearing and</v>
      </c>
      <c r="B5" s="906"/>
      <c r="C5" s="906"/>
      <c r="D5" s="906"/>
      <c r="E5" s="906"/>
      <c r="F5" s="906"/>
      <c r="G5" s="906"/>
      <c r="H5" s="906"/>
    </row>
    <row r="6" spans="1:9" ht="16.5" customHeight="1" x14ac:dyDescent="0.2">
      <c r="A6" s="829" t="s">
        <v>656</v>
      </c>
      <c r="B6" s="829"/>
      <c r="C6" s="829"/>
      <c r="D6" s="829"/>
      <c r="E6" s="829"/>
      <c r="F6" s="829"/>
      <c r="G6" s="829"/>
      <c r="H6" s="829"/>
    </row>
    <row r="7" spans="1:9" ht="16.5" customHeight="1" x14ac:dyDescent="0.2">
      <c r="A7" s="902" t="str">
        <f>CONCATENATE("Detailed budget information is available at ",inputHearing!B38," and will be available at this hearing.")</f>
        <v>Detailed budget information is available at  and will be available at this hearing.</v>
      </c>
      <c r="B7" s="902"/>
      <c r="C7" s="902"/>
      <c r="D7" s="902"/>
      <c r="E7" s="902"/>
      <c r="F7" s="902"/>
      <c r="G7" s="902"/>
      <c r="H7" s="902"/>
    </row>
    <row r="8" spans="1:9" x14ac:dyDescent="0.2">
      <c r="A8" s="24" t="s">
        <v>123</v>
      </c>
      <c r="B8" s="25"/>
      <c r="C8" s="25"/>
      <c r="D8" s="25"/>
      <c r="E8" s="25"/>
      <c r="F8" s="25"/>
      <c r="G8" s="25"/>
      <c r="H8" s="25"/>
    </row>
    <row r="9" spans="1:9" x14ac:dyDescent="0.2">
      <c r="A9" s="75" t="str">
        <f>CONCATENATE("Proposed Budget ",H2," Expenditures and Amount of ",H2-1," Ad Valorem Tax establish the maximum limits of the ",H2," budget.")</f>
        <v>Proposed Budget 2025 Expenditures and Amount of 2024 Ad Valorem Tax establish the maximum limits of the 2025 budget.</v>
      </c>
      <c r="B9" s="25"/>
      <c r="C9" s="25"/>
      <c r="D9" s="25"/>
      <c r="E9" s="25"/>
      <c r="F9" s="25"/>
      <c r="G9" s="25"/>
      <c r="H9" s="25"/>
    </row>
    <row r="10" spans="1:9" x14ac:dyDescent="0.2">
      <c r="A10" s="75" t="s">
        <v>146</v>
      </c>
      <c r="B10" s="25"/>
      <c r="C10" s="25"/>
      <c r="D10" s="25"/>
      <c r="E10" s="25"/>
      <c r="F10" s="25"/>
      <c r="G10" s="25"/>
      <c r="H10" s="25"/>
    </row>
    <row r="11" spans="1:9" x14ac:dyDescent="0.2">
      <c r="A11" s="20"/>
      <c r="B11" s="191"/>
      <c r="C11" s="191"/>
      <c r="D11" s="191"/>
      <c r="E11" s="191"/>
      <c r="F11" s="191"/>
      <c r="G11" s="191"/>
      <c r="H11" s="191"/>
    </row>
    <row r="12" spans="1:9" x14ac:dyDescent="0.2">
      <c r="A12" s="20"/>
      <c r="B12" s="223" t="str">
        <f>CONCATENATE("Prior Year Actual for ",H2-2,"")</f>
        <v>Prior Year Actual for 2023</v>
      </c>
      <c r="C12" s="78"/>
      <c r="D12" s="223" t="str">
        <f>CONCATENATE("Current Year Estimate for ",H2-1,"")</f>
        <v>Current Year Estimate for 2024</v>
      </c>
      <c r="E12" s="78"/>
      <c r="F12" s="76" t="str">
        <f>CONCATENATE("Proposed Budget for ",H2,"")</f>
        <v>Proposed Budget for 2025</v>
      </c>
      <c r="G12" s="77"/>
      <c r="H12" s="78"/>
    </row>
    <row r="13" spans="1:9" ht="27.75" customHeight="1" x14ac:dyDescent="0.25">
      <c r="A13" s="20"/>
      <c r="B13" s="183"/>
      <c r="C13" s="81" t="s">
        <v>82</v>
      </c>
      <c r="D13" s="81"/>
      <c r="E13" s="81" t="s">
        <v>82</v>
      </c>
      <c r="F13" s="360" t="s">
        <v>5</v>
      </c>
      <c r="G13" s="736" t="str">
        <f>CONCATENATE("Amount of ",H2-1,"")</f>
        <v>Amount of 2024</v>
      </c>
      <c r="H13" s="832" t="s">
        <v>653</v>
      </c>
    </row>
    <row r="14" spans="1:9" x14ac:dyDescent="0.25">
      <c r="A14" s="29" t="s">
        <v>83</v>
      </c>
      <c r="B14" s="85" t="s">
        <v>84</v>
      </c>
      <c r="C14" s="85" t="s">
        <v>85</v>
      </c>
      <c r="D14" s="85" t="s">
        <v>84</v>
      </c>
      <c r="E14" s="85" t="s">
        <v>85</v>
      </c>
      <c r="F14" s="361" t="s">
        <v>341</v>
      </c>
      <c r="G14" s="86" t="s">
        <v>60</v>
      </c>
      <c r="H14" s="834"/>
    </row>
    <row r="15" spans="1:9" x14ac:dyDescent="0.2">
      <c r="A15" s="44" t="str">
        <f>inputPrYr!B18</f>
        <v>General</v>
      </c>
      <c r="B15" s="44" t="str">
        <f>IF(General!$C$108&lt;&gt;0,General!$C$108,"  ")</f>
        <v xml:space="preserve">  </v>
      </c>
      <c r="C15" s="224" t="str">
        <f>IF(inputPrYr!D87&gt;0,inputPrYr!D87,"  ")</f>
        <v xml:space="preserve">  </v>
      </c>
      <c r="D15" s="44" t="str">
        <f>IF(General!$D$108&lt;&gt;0,General!$D$108,"  ")</f>
        <v xml:space="preserve">  </v>
      </c>
      <c r="E15" s="224" t="str">
        <f>IF(inputOth!D26&gt;0,inputOth!D26,"  ")</f>
        <v xml:space="preserve">  </v>
      </c>
      <c r="F15" s="44" t="str">
        <f>IF(General!$E$108&lt;&gt;0,General!$E$108,"  ")</f>
        <v xml:space="preserve">  </v>
      </c>
      <c r="G15" s="44" t="str">
        <f>IF(General!$E$115&lt;&gt;0,General!$E$115,"  ")</f>
        <v xml:space="preserve">  </v>
      </c>
      <c r="H15" s="224" t="str">
        <f>IF(General!E115&gt;0,ROUND(G15/$F$60*1000,3),"  ")</f>
        <v xml:space="preserve">  </v>
      </c>
    </row>
    <row r="16" spans="1:9" x14ac:dyDescent="0.2">
      <c r="A16" s="44" t="str">
        <f>inputPrYr!B19</f>
        <v>Debt Service</v>
      </c>
      <c r="B16" s="44" t="str">
        <f>IF('Debt Service'!C53&lt;&gt;0,'Debt Service'!C53,"  ")</f>
        <v xml:space="preserve">  </v>
      </c>
      <c r="C16" s="224" t="str">
        <f>IF(inputPrYr!D88&gt;0,inputPrYr!D88,"  ")</f>
        <v xml:space="preserve">  </v>
      </c>
      <c r="D16" s="44" t="str">
        <f>IF('Debt Service'!D53&lt;&gt;0,'Debt Service'!D53,"  ")</f>
        <v xml:space="preserve">  </v>
      </c>
      <c r="E16" s="224" t="str">
        <f>IF(inputOth!D27&gt;0,inputOth!D27,"  ")</f>
        <v xml:space="preserve">  </v>
      </c>
      <c r="F16" s="44" t="str">
        <f>IF('Debt Service'!E53&lt;&gt;0,'Debt Service'!E53,"  ")</f>
        <v xml:space="preserve">  </v>
      </c>
      <c r="G16" s="44" t="str">
        <f>IF('Debt Service'!E60&lt;&gt;0,'Debt Service'!E60,"  ")</f>
        <v xml:space="preserve">  </v>
      </c>
      <c r="H16" s="224" t="str">
        <f>IF('Debt Service'!E60&gt;0,ROUND(G16/$F$60*1000,3),"  ")</f>
        <v xml:space="preserve">  </v>
      </c>
    </row>
    <row r="17" spans="1:8" x14ac:dyDescent="0.25">
      <c r="A17" s="44" t="str">
        <f>inputPrYr!B20</f>
        <v>Library</v>
      </c>
      <c r="B17" s="587" t="str">
        <f>IF(('Library-Rec'!C33)&lt;&gt;0,('Library-Rec'!C33),"  ")</f>
        <v xml:space="preserve">  </v>
      </c>
      <c r="C17" s="224" t="str">
        <f>IF(inputPrYr!D89&gt;0,inputPrYr!D89,"  ")</f>
        <v xml:space="preserve">  </v>
      </c>
      <c r="D17" s="587" t="str">
        <f>IF(('Library-Rec'!D33)&lt;&gt;0,('Library-Rec'!D33),"  ")</f>
        <v xml:space="preserve">  </v>
      </c>
      <c r="E17" s="224" t="str">
        <f>IF(inputOth!D28&gt;0,inputOth!D28,"  ")</f>
        <v xml:space="preserve">  </v>
      </c>
      <c r="F17" s="587" t="str">
        <f>IF(('Library-Rec'!E33)&lt;&gt;0,('Library-Rec'!E33),"  ")</f>
        <v xml:space="preserve">  </v>
      </c>
      <c r="G17" s="588" t="str">
        <f>IF('Library-Rec'!E40&lt;&gt;0,'Library-Rec'!E40,"  ")</f>
        <v xml:space="preserve">  </v>
      </c>
      <c r="H17" s="589" t="str">
        <f>IF('Library-Rec'!E40&gt;0,ROUND(G17/$F$60*1000,3),"")</f>
        <v/>
      </c>
    </row>
    <row r="18" spans="1:8" x14ac:dyDescent="0.2">
      <c r="A18" s="44" t="str">
        <f>IF(inputPrYr!$B22&gt;"  ",(inputPrYr!$B22),"  ")</f>
        <v xml:space="preserve">  </v>
      </c>
      <c r="B18" s="44" t="str">
        <f>IF('Levy Page 9'!$C$31&gt;0,'Levy Page 9'!$C$31,"  ")</f>
        <v xml:space="preserve">  </v>
      </c>
      <c r="C18" s="224" t="str">
        <f>IF(inputPrYr!D90&gt;0,inputPrYr!D90,"  ")</f>
        <v xml:space="preserve">  </v>
      </c>
      <c r="D18" s="44" t="str">
        <f>IF('Levy Page 9'!$D$31&gt;0,'Levy Page 9'!$D$31,"  ")</f>
        <v xml:space="preserve">  </v>
      </c>
      <c r="E18" s="224" t="str">
        <f>IF(inputOth!D29&gt;0,inputOth!D29,"  ")</f>
        <v xml:space="preserve">  </v>
      </c>
      <c r="F18" s="44" t="str">
        <f>IF('Levy Page 9'!$E$31&gt;0,'Levy Page 9'!$E$31,"  ")</f>
        <v xml:space="preserve">  </v>
      </c>
      <c r="G18" s="44" t="str">
        <f>IF('Levy Page 9'!$E$38&lt;&gt;0,'Levy Page 9'!$E$38,"  ")</f>
        <v xml:space="preserve">  </v>
      </c>
      <c r="H18" s="224" t="str">
        <f>IF('Levy Page 9'!E38&lt;&gt;0,ROUND(G18/$F$60*1000,3),"  ")</f>
        <v xml:space="preserve">  </v>
      </c>
    </row>
    <row r="19" spans="1:8" x14ac:dyDescent="0.2">
      <c r="A19" s="44" t="str">
        <f>IF(inputPrYr!$B23&gt;"  ",(inputPrYr!$B23),"  ")</f>
        <v xml:space="preserve">  </v>
      </c>
      <c r="B19" s="44" t="str">
        <f>IF('Levy Page 9'!$C$70&gt;0,'Levy Page 9'!$C$70,"  ")</f>
        <v xml:space="preserve">  </v>
      </c>
      <c r="C19" s="224" t="str">
        <f>IF(inputPrYr!D91&gt;0,inputPrYr!D91,"  ")</f>
        <v xml:space="preserve">  </v>
      </c>
      <c r="D19" s="44" t="str">
        <f>IF('Levy Page 9'!$D$70&gt;0,'Levy Page 9'!$D$70,"  ")</f>
        <v xml:space="preserve">  </v>
      </c>
      <c r="E19" s="224" t="str">
        <f>IF(inputOth!D30&gt;0,inputOth!D30,"  ")</f>
        <v xml:space="preserve">  </v>
      </c>
      <c r="F19" s="44" t="str">
        <f>IF('Levy Page 9'!$E$70&gt;0,'Levy Page 9'!$E$70,"  ")</f>
        <v xml:space="preserve">  </v>
      </c>
      <c r="G19" s="44" t="str">
        <f>IF('Levy Page 9'!$E$77&lt;&gt;0,'Levy Page 9'!$E$77,"  ")</f>
        <v xml:space="preserve">  </v>
      </c>
      <c r="H19" s="224" t="str">
        <f>IF('Levy Page 9'!E77&lt;&gt;0,ROUND(G19/$F$60*1000,3),"  ")</f>
        <v xml:space="preserve">  </v>
      </c>
    </row>
    <row r="20" spans="1:8" x14ac:dyDescent="0.2">
      <c r="A20" s="44" t="str">
        <f>IF(inputPrYr!$B24&gt;"  ",(inputPrYr!$B24),"  ")</f>
        <v xml:space="preserve">  </v>
      </c>
      <c r="B20" s="44" t="str">
        <f>IF('Levy Page 10'!$C$32&gt;0,'Levy Page 10'!$C$32,"  ")</f>
        <v xml:space="preserve">  </v>
      </c>
      <c r="C20" s="224" t="str">
        <f>IF(inputPrYr!D92&gt;0,inputPrYr!D92,"  ")</f>
        <v xml:space="preserve">  </v>
      </c>
      <c r="D20" s="44" t="str">
        <f>IF('Levy Page 10'!$D$32&gt;0,'Levy Page 10'!$D$32,"  ")</f>
        <v xml:space="preserve">  </v>
      </c>
      <c r="E20" s="224" t="str">
        <f>IF(inputOth!D31&gt;0,inputOth!D31,"  ")</f>
        <v xml:space="preserve">  </v>
      </c>
      <c r="F20" s="44" t="str">
        <f>IF('Levy Page 10'!$E$32&gt;0,'Levy Page 10'!$E$32,"  ")</f>
        <v xml:space="preserve">  </v>
      </c>
      <c r="G20" s="44" t="str">
        <f>IF('Levy Page 10'!$E$39&lt;&gt;0,'Levy Page 10'!$E$39,"  ")</f>
        <v xml:space="preserve">  </v>
      </c>
      <c r="H20" s="224" t="str">
        <f>IF('Levy Page 10'!E39&lt;&gt;0,ROUND(G20/$F$60*1000,3),"  ")</f>
        <v xml:space="preserve">  </v>
      </c>
    </row>
    <row r="21" spans="1:8" x14ac:dyDescent="0.2">
      <c r="A21" s="44" t="str">
        <f>IF(inputPrYr!$B25&gt;"  ",(inputPrYr!$B25),"  ")</f>
        <v xml:space="preserve">  </v>
      </c>
      <c r="B21" s="44" t="str">
        <f>IF('Levy Page 10'!$C$73&gt;0,'Levy Page 10'!$C$73,"  ")</f>
        <v xml:space="preserve">  </v>
      </c>
      <c r="C21" s="224" t="str">
        <f>IF(inputPrYr!D93&gt;0,inputPrYr!D93,"  ")</f>
        <v xml:space="preserve">  </v>
      </c>
      <c r="D21" s="44" t="str">
        <f>IF('Levy Page 10'!$D$73&gt;0,'Levy Page 10'!$D$73,"  ")</f>
        <v xml:space="preserve">  </v>
      </c>
      <c r="E21" s="224" t="str">
        <f>IF(inputOth!D32&gt;0,inputOth!D32,"  ")</f>
        <v xml:space="preserve">  </v>
      </c>
      <c r="F21" s="44" t="str">
        <f>IF('Levy Page 10'!$E$73&gt;0,'Levy Page 10'!$E$73,"  ")</f>
        <v xml:space="preserve">  </v>
      </c>
      <c r="G21" s="44" t="str">
        <f>IF('Levy Page 10'!$E$80&lt;&gt;0,'Levy Page 10'!$E$80,"  ")</f>
        <v xml:space="preserve">  </v>
      </c>
      <c r="H21" s="224" t="str">
        <f>IF('Levy Page 10'!E80&lt;&gt;0,ROUND(G21/$F$60*1000,3),"  ")</f>
        <v xml:space="preserve">  </v>
      </c>
    </row>
    <row r="22" spans="1:8" x14ac:dyDescent="0.2">
      <c r="A22" s="44" t="str">
        <f>IF(inputPrYr!$B26&gt;"  ",(inputPrYr!$B26),"  ")</f>
        <v xml:space="preserve">  </v>
      </c>
      <c r="B22" s="44" t="str">
        <f>IF('Levy Page 11'!$C$32&gt;0,'Levy Page 11'!$C$32,"  ")</f>
        <v xml:space="preserve">  </v>
      </c>
      <c r="C22" s="224" t="str">
        <f>IF(inputPrYr!D94&gt;0,inputPrYr!D94,"  ")</f>
        <v xml:space="preserve">  </v>
      </c>
      <c r="D22" s="44" t="str">
        <f>IF('Levy Page 11'!$D$32&gt;0,'Levy Page 11'!$D$32,"  ")</f>
        <v xml:space="preserve">  </v>
      </c>
      <c r="E22" s="224" t="str">
        <f>IF(inputOth!D33&gt;0,inputOth!D33,"  ")</f>
        <v xml:space="preserve">  </v>
      </c>
      <c r="F22" s="44" t="str">
        <f>IF('Levy Page 11'!$E$32&gt;0,'Levy Page 11'!$E$32,"  ")</f>
        <v xml:space="preserve">  </v>
      </c>
      <c r="G22" s="44" t="str">
        <f>IF('Levy Page 11'!$E$39&lt;&gt;0,'Levy Page 11'!$E$39,"  ")</f>
        <v xml:space="preserve">  </v>
      </c>
      <c r="H22" s="224" t="str">
        <f>IF('Levy Page 11'!E39&lt;&gt;0,ROUND(G22/$F$60*1000,3),"  ")</f>
        <v xml:space="preserve">  </v>
      </c>
    </row>
    <row r="23" spans="1:8" x14ac:dyDescent="0.2">
      <c r="A23" s="44" t="str">
        <f>IF(inputPrYr!$B27&gt;"  ",(inputPrYr!$B27),"  ")</f>
        <v xml:space="preserve">  </v>
      </c>
      <c r="B23" s="44" t="str">
        <f>IF('Levy Page 11'!$C$70&gt;0,'Levy Page 11'!$C$70,"  ")</f>
        <v xml:space="preserve">  </v>
      </c>
      <c r="C23" s="224" t="str">
        <f>IF(inputPrYr!D95&gt;0,inputPrYr!D95,"  ")</f>
        <v xml:space="preserve">  </v>
      </c>
      <c r="D23" s="44" t="str">
        <f>IF('Levy Page 11'!$D$70&gt;0,'Levy Page 11'!$D$70,"  ")</f>
        <v xml:space="preserve">  </v>
      </c>
      <c r="E23" s="224" t="str">
        <f>IF(inputOth!D34&gt;0,inputOth!D34,"  ")</f>
        <v xml:space="preserve">  </v>
      </c>
      <c r="F23" s="44" t="str">
        <f>IF('Levy Page 11'!$E$70&gt;0,'Levy Page 11'!$E$70,"  ")</f>
        <v xml:space="preserve">  </v>
      </c>
      <c r="G23" s="44" t="str">
        <f>IF('Levy Page 11'!$E$77&lt;&gt;0,'Levy Page 11'!$E$77,"  ")</f>
        <v xml:space="preserve">  </v>
      </c>
      <c r="H23" s="224" t="str">
        <f>IF('Levy Page 11'!E77&lt;&gt;0,ROUND(G23/$F$60*1000,3),"  ")</f>
        <v xml:space="preserve">  </v>
      </c>
    </row>
    <row r="24" spans="1:8" x14ac:dyDescent="0.2">
      <c r="A24" s="44" t="str">
        <f>IF(inputPrYr!$B28&gt;"  ",(inputPrYr!$B28),"  ")</f>
        <v xml:space="preserve">  </v>
      </c>
      <c r="B24" s="44" t="str">
        <f>IF('Levy Page 12'!$C$32&gt;0,'Levy Page 12'!$C$32,"  ")</f>
        <v xml:space="preserve">  </v>
      </c>
      <c r="C24" s="224" t="str">
        <f>IF(inputPrYr!D96&gt;0,inputPrYr!D96,"  ")</f>
        <v xml:space="preserve">  </v>
      </c>
      <c r="D24" s="44" t="str">
        <f>IF('Levy Page 12'!$D$32&gt;0,'Levy Page 12'!$D$32,"  ")</f>
        <v xml:space="preserve">  </v>
      </c>
      <c r="E24" s="224" t="str">
        <f>IF(inputOth!D35&gt;0,inputOth!D35,"  ")</f>
        <v xml:space="preserve">  </v>
      </c>
      <c r="F24" s="44" t="str">
        <f>IF('Levy Page 12'!$E$32&gt;0,'Levy Page 12'!$E$32,"  ")</f>
        <v xml:space="preserve">  </v>
      </c>
      <c r="G24" s="44" t="str">
        <f>IF('Levy Page 12'!$E$39&lt;&gt;0,'Levy Page 12'!$E$39,"  ")</f>
        <v xml:space="preserve">  </v>
      </c>
      <c r="H24" s="224" t="str">
        <f>IF('Levy Page 12'!E39&lt;&gt;0,ROUND(G24/$F$60*1000,3),"  ")</f>
        <v xml:space="preserve">  </v>
      </c>
    </row>
    <row r="25" spans="1:8" x14ac:dyDescent="0.2">
      <c r="A25" s="44" t="str">
        <f>IF(inputPrYr!$B29&gt;"  ",(inputPrYr!$B29),"  ")</f>
        <v xml:space="preserve">  </v>
      </c>
      <c r="B25" s="44" t="str">
        <f>IF('Levy Page 12'!$C$71&gt;0,'Levy Page 12'!$C$71,"  ")</f>
        <v xml:space="preserve">  </v>
      </c>
      <c r="C25" s="224" t="str">
        <f>IF(inputPrYr!D97&gt;0,inputPrYr!D97,"  ")</f>
        <v xml:space="preserve">  </v>
      </c>
      <c r="D25" s="44" t="str">
        <f>IF('Levy Page 12'!$D$71&gt;0,'Levy Page 12'!$D$71,"  ")</f>
        <v xml:space="preserve">  </v>
      </c>
      <c r="E25" s="224" t="str">
        <f>IF(inputOth!D36&gt;0,inputOth!D36,"  ")</f>
        <v xml:space="preserve">  </v>
      </c>
      <c r="F25" s="44" t="str">
        <f>IF('Levy Page 12'!$E$71&gt;0,'Levy Page 12'!$E$71,"  ")</f>
        <v xml:space="preserve">  </v>
      </c>
      <c r="G25" s="44" t="str">
        <f>IF('Levy Page 12'!$E$78&lt;&gt;0,'Levy Page 12'!$E$78,"  ")</f>
        <v xml:space="preserve">  </v>
      </c>
      <c r="H25" s="224" t="str">
        <f>IF('Levy Page 12'!E78&lt;&gt;0,ROUND(G25/$F$60*1000,3),"  ")</f>
        <v xml:space="preserve">  </v>
      </c>
    </row>
    <row r="26" spans="1:8" x14ac:dyDescent="0.2">
      <c r="A26" s="44" t="str">
        <f>IF(inputPrYr!$B30&gt;"  ",(inputPrYr!$B30),"  ")</f>
        <v xml:space="preserve">  </v>
      </c>
      <c r="B26" s="44" t="str">
        <f>IF('Levy Page 13'!$C$33&gt;0,'Levy Page 13'!$C$33,"  ")</f>
        <v xml:space="preserve">  </v>
      </c>
      <c r="C26" s="224" t="str">
        <f>IF(inputPrYr!D98&gt;0,inputPrYr!D98,"  ")</f>
        <v xml:space="preserve">  </v>
      </c>
      <c r="D26" s="44" t="str">
        <f>IF('Levy Page 13'!$D$33&gt;0,'Levy Page 13'!$D$33,"  ")</f>
        <v xml:space="preserve">  </v>
      </c>
      <c r="E26" s="224" t="str">
        <f>IF(inputOth!D37&gt;0,inputOth!D37,"  ")</f>
        <v xml:space="preserve">  </v>
      </c>
      <c r="F26" s="44" t="str">
        <f>IF('Levy Page 13'!$E$33&gt;0,'Levy Page 13'!$E$33,"  ")</f>
        <v xml:space="preserve">  </v>
      </c>
      <c r="G26" s="44" t="str">
        <f>IF('Levy Page 13'!$E$40&lt;&gt;0,'Levy Page 13'!$E$40,"  ")</f>
        <v xml:space="preserve">  </v>
      </c>
      <c r="H26" s="224" t="str">
        <f>IF('Levy Page 13'!E40&lt;&gt;0,ROUND(G26/$F$60*1000,3),"  ")</f>
        <v xml:space="preserve">  </v>
      </c>
    </row>
    <row r="27" spans="1:8" x14ac:dyDescent="0.2">
      <c r="A27" s="44" t="str">
        <f>IF(inputPrYr!$B31&gt;"  ",(inputPrYr!$B31),"  ")</f>
        <v xml:space="preserve">  </v>
      </c>
      <c r="B27" s="44" t="str">
        <f>IF('Levy Page 13'!$C$72&gt;0,'Levy Page 13'!$C$72,"  ")</f>
        <v xml:space="preserve">  </v>
      </c>
      <c r="C27" s="224" t="str">
        <f>IF(inputPrYr!D99&gt;0,inputPrYr!D99,"  ")</f>
        <v xml:space="preserve">  </v>
      </c>
      <c r="D27" s="44" t="str">
        <f>IF('Levy Page 13'!$D$72&gt;0,'Levy Page 13'!$D$72,"  ")</f>
        <v xml:space="preserve">  </v>
      </c>
      <c r="E27" s="224" t="str">
        <f>IF(inputOth!D38&gt;0,inputOth!D38,"  ")</f>
        <v xml:space="preserve">  </v>
      </c>
      <c r="F27" s="44" t="str">
        <f>IF('Levy Page 13'!$E$72&gt;0,'Levy Page 13'!$E$72,"  ")</f>
        <v xml:space="preserve">  </v>
      </c>
      <c r="G27" s="44" t="str">
        <f>IF('Levy Page 13'!$E$79&lt;&gt;0,'Levy Page 13'!$E$79,"  ")</f>
        <v xml:space="preserve">  </v>
      </c>
      <c r="H27" s="224" t="str">
        <f>IF('Levy Page 13'!E79&lt;&gt;0,ROUND(G27/$F$60*1000,3),"  ")</f>
        <v xml:space="preserve">  </v>
      </c>
    </row>
    <row r="28" spans="1:8" x14ac:dyDescent="0.2">
      <c r="A28" s="44" t="str">
        <f>IF(inputPrYr!$B37&gt;"  ",(inputPrYr!$B37),"  ")</f>
        <v>Special Highway</v>
      </c>
      <c r="B28" s="44" t="str">
        <f>IF('Spec Hwy'!$C$26&gt;0,'Spec Hwy'!$C$26,"  ")</f>
        <v xml:space="preserve">  </v>
      </c>
      <c r="C28" s="30"/>
      <c r="D28" s="44" t="str">
        <f>IF('Spec Hwy'!$D$26&gt;0,'Spec Hwy'!$D$26,"  ")</f>
        <v xml:space="preserve">  </v>
      </c>
      <c r="E28" s="30"/>
      <c r="F28" s="44" t="str">
        <f>IF('Spec Hwy'!$E$26&gt;0,'Spec Hwy'!$E$26,"  ")</f>
        <v xml:space="preserve">  </v>
      </c>
      <c r="G28" s="44"/>
      <c r="H28" s="224"/>
    </row>
    <row r="29" spans="1:8" x14ac:dyDescent="0.2">
      <c r="A29" s="44" t="str">
        <f>IF(inputPrYr!$B38&gt;"  ",(inputPrYr!$B38),"  ")</f>
        <v xml:space="preserve">  </v>
      </c>
      <c r="B29" s="44" t="str">
        <f>IF('Spec Hwy'!$C$57&gt;0,'Spec Hwy'!$C$57,"  ")</f>
        <v xml:space="preserve">  </v>
      </c>
      <c r="C29" s="30"/>
      <c r="D29" s="44" t="str">
        <f>IF('Spec Hwy'!$D$57&gt;0,'Spec Hwy'!$D$57,"  ")</f>
        <v xml:space="preserve">  </v>
      </c>
      <c r="E29" s="30"/>
      <c r="F29" s="44" t="str">
        <f>IF('Spec Hwy'!$E$57&gt;0,'Spec Hwy'!$E$57,"  ")</f>
        <v xml:space="preserve">  </v>
      </c>
      <c r="G29" s="44"/>
      <c r="H29" s="224"/>
    </row>
    <row r="30" spans="1:8" x14ac:dyDescent="0.2">
      <c r="A30" s="44" t="str">
        <f>IF(inputPrYr!$B39&gt;"  ",(inputPrYr!$B39),"  ")</f>
        <v xml:space="preserve">  </v>
      </c>
      <c r="B30" s="44" t="str">
        <f>IF('No Levy Page 15'!$C$26&gt;0,'No Levy Page 15'!$C$26,"  ")</f>
        <v xml:space="preserve">  </v>
      </c>
      <c r="C30" s="30"/>
      <c r="D30" s="44" t="str">
        <f>IF('No Levy Page 15'!$D$26&gt;0,'No Levy Page 15'!$D$26,"  ")</f>
        <v xml:space="preserve">  </v>
      </c>
      <c r="E30" s="30"/>
      <c r="F30" s="44" t="str">
        <f>IF('No Levy Page 15'!$E$26&gt;0,'No Levy Page 15'!$E$26,"  ")</f>
        <v xml:space="preserve">  </v>
      </c>
      <c r="G30" s="44"/>
      <c r="H30" s="224"/>
    </row>
    <row r="31" spans="1:8" x14ac:dyDescent="0.2">
      <c r="A31" s="44" t="str">
        <f>IF(inputPrYr!$B40&gt;"  ",(inputPrYr!$B40),"  ")</f>
        <v xml:space="preserve">  </v>
      </c>
      <c r="B31" s="44" t="str">
        <f>IF('No Levy Page 15'!$C$56&gt;0,'No Levy Page 15'!$C$56,"  ")</f>
        <v xml:space="preserve">  </v>
      </c>
      <c r="C31" s="30"/>
      <c r="D31" s="44" t="str">
        <f>IF('No Levy Page 15'!$D$56&gt;0,'No Levy Page 15'!$D$56,"  ")</f>
        <v xml:space="preserve">  </v>
      </c>
      <c r="E31" s="30"/>
      <c r="F31" s="44" t="str">
        <f>IF('No Levy Page 15'!$E$56&gt;0,'No Levy Page 15'!$E$56,"  ")</f>
        <v xml:space="preserve">  </v>
      </c>
      <c r="G31" s="44"/>
      <c r="H31" s="224"/>
    </row>
    <row r="32" spans="1:8" x14ac:dyDescent="0.2">
      <c r="A32" s="44" t="str">
        <f>IF(inputPrYr!$B41&gt;"  ",(inputPrYr!$B41),"  ")</f>
        <v xml:space="preserve">  </v>
      </c>
      <c r="B32" s="44" t="str">
        <f>IF('No Levy Page 16'!$C$26&gt;0,'No Levy Page 16'!$C$26,"  ")</f>
        <v xml:space="preserve">  </v>
      </c>
      <c r="C32" s="30"/>
      <c r="D32" s="44" t="str">
        <f>IF('No Levy Page 16'!$D$26&gt;0,'No Levy Page 16'!$D$26,"  ")</f>
        <v xml:space="preserve">  </v>
      </c>
      <c r="E32" s="30"/>
      <c r="F32" s="44" t="str">
        <f>IF('No Levy Page 16'!$E$26&gt;0,'No Levy Page 16'!$E$26,"  ")</f>
        <v xml:space="preserve">  </v>
      </c>
      <c r="G32" s="30"/>
      <c r="H32" s="30"/>
    </row>
    <row r="33" spans="1:13" x14ac:dyDescent="0.2">
      <c r="A33" s="44" t="str">
        <f>IF(inputPrYr!$B42&gt;"  ",(inputPrYr!$B42),"  ")</f>
        <v xml:space="preserve">  </v>
      </c>
      <c r="B33" s="44" t="str">
        <f>IF('No Levy Page 16'!$C$57&gt;0,'No Levy Page 16'!$C$57,"  ")</f>
        <v xml:space="preserve">  </v>
      </c>
      <c r="C33" s="30"/>
      <c r="D33" s="44" t="str">
        <f>IF('No Levy Page 16'!$D$57&gt;0,'No Levy Page 16'!$D$57,"  ")</f>
        <v xml:space="preserve">  </v>
      </c>
      <c r="E33" s="30"/>
      <c r="F33" s="44" t="str">
        <f>IF('No Levy Page 16'!$E$57&gt;0,'No Levy Page 16'!$E$57,"  ")</f>
        <v xml:space="preserve">  </v>
      </c>
      <c r="G33" s="30"/>
      <c r="H33" s="30"/>
    </row>
    <row r="34" spans="1:13" x14ac:dyDescent="0.2">
      <c r="A34" s="44" t="str">
        <f>IF(inputPrYr!$B43&gt;"  ",(inputPrYr!$B43),"  ")</f>
        <v xml:space="preserve">  </v>
      </c>
      <c r="B34" s="44" t="str">
        <f>IF('No Levy Page 17'!$C$26&gt;0,'No Levy Page 17'!$C$26,"  ")</f>
        <v xml:space="preserve">  </v>
      </c>
      <c r="C34" s="30"/>
      <c r="D34" s="44" t="str">
        <f>IF('No Levy Page 17'!$D$26&gt;0,'No Levy Page 17'!$D$26,"  ")</f>
        <v xml:space="preserve">  </v>
      </c>
      <c r="E34" s="30"/>
      <c r="F34" s="44" t="str">
        <f>IF('No Levy Page 17'!$E$26&gt;0,'No Levy Page 17'!$E$26,"  ")</f>
        <v xml:space="preserve">  </v>
      </c>
      <c r="G34" s="30"/>
      <c r="H34" s="30"/>
    </row>
    <row r="35" spans="1:13" x14ac:dyDescent="0.2">
      <c r="A35" s="44" t="str">
        <f>IF(inputPrYr!$B44&gt;"  ",(inputPrYr!$B44),"  ")</f>
        <v xml:space="preserve">  </v>
      </c>
      <c r="B35" s="44" t="str">
        <f>IF('No Levy Page 17'!$C$57&gt;0,'No Levy Page 17'!$C$57,"  ")</f>
        <v xml:space="preserve">  </v>
      </c>
      <c r="C35" s="30"/>
      <c r="D35" s="44" t="str">
        <f>IF('No Levy Page 17'!$D$57&gt;0,'No Levy Page 17'!$D$57,"  ")</f>
        <v xml:space="preserve">  </v>
      </c>
      <c r="E35" s="30"/>
      <c r="F35" s="44" t="str">
        <f>IF('No Levy Page 17'!$E$57&gt;0,'No Levy Page 17'!$E$57,"  ")</f>
        <v xml:space="preserve">  </v>
      </c>
      <c r="G35" s="30"/>
      <c r="H35" s="30"/>
    </row>
    <row r="36" spans="1:13" x14ac:dyDescent="0.2">
      <c r="A36" s="44" t="str">
        <f>IF(inputPrYr!$B45&gt;"  ",(inputPrYr!$B45),"  ")</f>
        <v xml:space="preserve">  </v>
      </c>
      <c r="B36" s="44" t="str">
        <f>IF('No Levy Page 18'!$C$28&gt;0,'No Levy Page 18'!$C$28,"  ")</f>
        <v xml:space="preserve">  </v>
      </c>
      <c r="C36" s="30"/>
      <c r="D36" s="44" t="str">
        <f>IF('No Levy Page 18'!$D$28&gt;0,'No Levy Page 18'!$D$28,"  ")</f>
        <v xml:space="preserve">  </v>
      </c>
      <c r="E36" s="30"/>
      <c r="F36" s="44" t="str">
        <f>IF('No Levy Page 18'!$E$28&gt;0,'No Levy Page 18'!$E$28,"  ")</f>
        <v xml:space="preserve">  </v>
      </c>
      <c r="G36" s="30"/>
      <c r="H36" s="30"/>
    </row>
    <row r="37" spans="1:13" x14ac:dyDescent="0.2">
      <c r="A37" s="44" t="str">
        <f>IF(inputPrYr!$B46&gt;"  ",(inputPrYr!$B46),"  ")</f>
        <v xml:space="preserve">  </v>
      </c>
      <c r="B37" s="44" t="str">
        <f>IF('No Levy Page 18'!$C$58&gt;0,'No Levy Page 18'!$C$58,"  ")</f>
        <v xml:space="preserve">  </v>
      </c>
      <c r="C37" s="30"/>
      <c r="D37" s="44" t="str">
        <f>IF('No Levy Page 18'!$D$58&gt;0,'No Levy Page 18'!$D$58,"  ")</f>
        <v xml:space="preserve">  </v>
      </c>
      <c r="E37" s="30"/>
      <c r="F37" s="44" t="str">
        <f>IF('No Levy Page 18'!$E$58&gt;0,'No Levy Page 18'!$E$58,"  ")</f>
        <v xml:space="preserve">  </v>
      </c>
      <c r="G37" s="30"/>
      <c r="H37" s="30"/>
    </row>
    <row r="38" spans="1:13" x14ac:dyDescent="0.2">
      <c r="A38" s="44" t="str">
        <f>IF(inputPrYr!$B47&gt;"  ",(inputPrYr!$B47),"  ")</f>
        <v xml:space="preserve">  </v>
      </c>
      <c r="B38" s="44" t="str">
        <f>IF('No Levy Page 19'!$C$28&gt;0,'No Levy Page 19'!$C$28,"  ")</f>
        <v xml:space="preserve">  </v>
      </c>
      <c r="C38" s="30"/>
      <c r="D38" s="44" t="str">
        <f>IF('No Levy Page 19'!$D$28&gt;0,'No Levy Page 19'!$D$28,"  ")</f>
        <v xml:space="preserve">  </v>
      </c>
      <c r="E38" s="30"/>
      <c r="F38" s="44" t="str">
        <f>IF('No Levy Page 19'!$E$28&gt;0,'No Levy Page 19'!$E$28,"  ")</f>
        <v xml:space="preserve">  </v>
      </c>
      <c r="G38" s="30"/>
      <c r="H38" s="30"/>
    </row>
    <row r="39" spans="1:13" x14ac:dyDescent="0.2">
      <c r="A39" s="44" t="str">
        <f>IF(inputPrYr!$B48&gt;"  ",(inputPrYr!$B48),"  ")</f>
        <v xml:space="preserve">  </v>
      </c>
      <c r="B39" s="44" t="str">
        <f>IF('No Levy Page 19'!$C$58&gt;0,'No Levy Page 19'!$C$58,"  ")</f>
        <v xml:space="preserve">  </v>
      </c>
      <c r="C39" s="30"/>
      <c r="D39" s="44" t="str">
        <f>IF('No Levy Page 19'!$D$58&gt;0,'No Levy Page 19'!$D$58,"  ")</f>
        <v xml:space="preserve">  </v>
      </c>
      <c r="E39" s="30"/>
      <c r="F39" s="44" t="str">
        <f>IF('No Levy Page 19'!$E$58&gt;0,'No Levy Page 19'!$E$58,"  ")</f>
        <v xml:space="preserve">  </v>
      </c>
      <c r="G39" s="30"/>
      <c r="H39" s="30"/>
    </row>
    <row r="40" spans="1:13" x14ac:dyDescent="0.2">
      <c r="A40" s="44" t="str">
        <f>IF(inputPrYr!$B49&gt;"  ",(inputPrYr!$B49),"  ")</f>
        <v xml:space="preserve">  </v>
      </c>
      <c r="B40" s="44" t="str">
        <f>IF('No Levy Page 20'!$C$28&gt;0,'No Levy Page 20'!$C$28,"  ")</f>
        <v xml:space="preserve">  </v>
      </c>
      <c r="C40" s="30"/>
      <c r="D40" s="44" t="str">
        <f>IF('No Levy Page 20'!$D$28&gt;0,'No Levy Page 20'!$D$28,"  ")</f>
        <v xml:space="preserve">  </v>
      </c>
      <c r="E40" s="30"/>
      <c r="F40" s="44" t="str">
        <f>IF('No Levy Page 20'!$E$28&gt;0,'No Levy Page 20'!$E$28,"  ")</f>
        <v xml:space="preserve">  </v>
      </c>
      <c r="G40" s="30"/>
      <c r="H40" s="30"/>
    </row>
    <row r="41" spans="1:13" x14ac:dyDescent="0.25">
      <c r="A41" s="44" t="str">
        <f>IF(inputPrYr!$B50&gt;"  ",(inputPrYr!$B50),"  ")</f>
        <v xml:space="preserve">  </v>
      </c>
      <c r="B41" s="44" t="str">
        <f>IF('No Levy Page 20'!$C$58&gt;0,'No Levy Page 20'!$C$58,"  ")</f>
        <v xml:space="preserve">  </v>
      </c>
      <c r="C41" s="30"/>
      <c r="D41" s="44" t="str">
        <f>IF('No Levy Page 20'!$D$58&gt;0,'No Levy Page 20'!$D$58,"  ")</f>
        <v xml:space="preserve">  </v>
      </c>
      <c r="E41" s="30"/>
      <c r="F41" s="44" t="str">
        <f>IF('No Levy Page 20'!$E$58&gt;0,'No Levy Page 20'!$E$58,"  ")</f>
        <v xml:space="preserve">  </v>
      </c>
      <c r="G41" s="30"/>
      <c r="H41" s="30"/>
      <c r="J41" s="915" t="str">
        <f>CONCATENATE("Estimated Value Of One Mill For ",H2,"")</f>
        <v>Estimated Value Of One Mill For 2025</v>
      </c>
      <c r="K41" s="920"/>
      <c r="L41" s="920"/>
      <c r="M41" s="921"/>
    </row>
    <row r="42" spans="1:13" x14ac:dyDescent="0.25">
      <c r="A42" s="44" t="str">
        <f>IF(inputPrYr!$B51&gt;"  ",(inputPrYr!$B51),"  ")</f>
        <v xml:space="preserve">  </v>
      </c>
      <c r="B42" s="44" t="str">
        <f>IF('No Levy Page 21'!$C$28&gt;0,'No Levy Page 21'!$C$28,"  ")</f>
        <v xml:space="preserve">  </v>
      </c>
      <c r="C42" s="30"/>
      <c r="D42" s="44" t="str">
        <f>IF('No Levy Page 21'!$D$28&gt;0,'No Levy Page 21'!$D$28,"  ")</f>
        <v xml:space="preserve">  </v>
      </c>
      <c r="E42" s="30"/>
      <c r="F42" s="44" t="str">
        <f>IF('No Levy Page 21'!$E$28&gt;0,'No Levy Page 21'!$E$28,"  ")</f>
        <v xml:space="preserve">  </v>
      </c>
      <c r="G42" s="30"/>
      <c r="H42" s="30"/>
      <c r="J42" s="337"/>
      <c r="K42" s="338"/>
      <c r="L42" s="338"/>
      <c r="M42" s="339"/>
    </row>
    <row r="43" spans="1:13" x14ac:dyDescent="0.25">
      <c r="A43" s="44" t="str">
        <f>IF(inputPrYr!$B52&gt;"  ",(inputPrYr!$B52),"  ")</f>
        <v xml:space="preserve">  </v>
      </c>
      <c r="B43" s="44" t="str">
        <f>IF('No Levy Page 21'!$C$58&gt;0,'No Levy Page 21'!$C$58,"  ")</f>
        <v xml:space="preserve">  </v>
      </c>
      <c r="C43" s="30"/>
      <c r="D43" s="44" t="str">
        <f>IF('No Levy Page 21'!$D$58&gt;0,'No Levy Page 21'!$D$58,"  ")</f>
        <v xml:space="preserve">  </v>
      </c>
      <c r="E43" s="30"/>
      <c r="F43" s="44" t="str">
        <f>IF('No Levy Page 21'!$E$58&gt;0,'No Levy Page 21'!$E$58,"  ")</f>
        <v xml:space="preserve">  </v>
      </c>
      <c r="G43" s="30"/>
      <c r="H43" s="30"/>
      <c r="J43" s="340" t="s">
        <v>359</v>
      </c>
      <c r="K43" s="341"/>
      <c r="L43" s="341"/>
      <c r="M43" s="638">
        <f>ROUND(F60/1000,0)</f>
        <v>0</v>
      </c>
    </row>
    <row r="44" spans="1:13" x14ac:dyDescent="0.2">
      <c r="A44" s="44" t="str">
        <f>IF(inputPrYr!$B54&gt;"  ",(inputPrYr!$B54),"  ")</f>
        <v xml:space="preserve">  </v>
      </c>
      <c r="B44" s="44" t="str">
        <f>IF('Single No Levy Page 22'!$C$44&gt;0,'Single No Levy Page 22'!$C$44,"  ")</f>
        <v xml:space="preserve">  </v>
      </c>
      <c r="C44" s="30"/>
      <c r="D44" s="44" t="str">
        <f>IF('Single No Levy Page 22'!$D$44&gt;0,'Single No Levy Page 22'!$D$44,"  ")</f>
        <v xml:space="preserve">  </v>
      </c>
      <c r="E44" s="30"/>
      <c r="F44" s="44" t="str">
        <f>IF('Single No Levy Page 22'!$E$44&gt;0,'Single No Levy Page 22'!$E$44,"  ")</f>
        <v xml:space="preserve">  </v>
      </c>
      <c r="G44" s="30"/>
      <c r="H44" s="30"/>
    </row>
    <row r="45" spans="1:13" x14ac:dyDescent="0.25">
      <c r="A45" s="44" t="str">
        <f>IF(inputPrYr!$B55&gt;"  ",(inputPrYr!$B55),"  ")</f>
        <v xml:space="preserve">  </v>
      </c>
      <c r="B45" s="44" t="str">
        <f>IF('Single No Levy Page 23'!$C$40&gt;0,'Single No Levy Page 23'!$C$40,"  ")</f>
        <v xml:space="preserve">  </v>
      </c>
      <c r="C45" s="30"/>
      <c r="D45" s="44" t="str">
        <f>IF('Single No Levy Page 23'!$D$40&gt;0,'Single No Levy Page 23'!$D$40,"  ")</f>
        <v xml:space="preserve">  </v>
      </c>
      <c r="E45" s="30"/>
      <c r="F45" s="44" t="str">
        <f>IF('Single No Levy Page 23'!$E$40&gt;0,'Single No Levy Page 23'!$E$40,"  ")</f>
        <v xml:space="preserve">  </v>
      </c>
      <c r="G45" s="30"/>
      <c r="H45" s="30"/>
      <c r="J45" s="915" t="str">
        <f>CONCATENATE("Want The Mill Rate The Same As For ",H2-1,"?")</f>
        <v>Want The Mill Rate The Same As For 2024?</v>
      </c>
      <c r="K45" s="920"/>
      <c r="L45" s="920"/>
      <c r="M45" s="921"/>
    </row>
    <row r="46" spans="1:13" x14ac:dyDescent="0.25">
      <c r="A46" s="44" t="str">
        <f>IF(inputPrYr!$B56&gt;"  ",(inputPrYr!$B56),"  ")</f>
        <v xml:space="preserve">  </v>
      </c>
      <c r="B46" s="44" t="str">
        <f>IF('Single No Levy Page 24'!$C$44&gt;0,'Single No Levy Page 24'!$C$44,"  ")</f>
        <v xml:space="preserve">  </v>
      </c>
      <c r="C46" s="30"/>
      <c r="D46" s="44" t="str">
        <f>IF('Single No Levy Page 24'!$D$44&gt;0,'Single No Levy Page 24'!$D$44,"  ")</f>
        <v xml:space="preserve">  </v>
      </c>
      <c r="E46" s="30"/>
      <c r="F46" s="44" t="str">
        <f>IF('Single No Levy Page 24'!$E$44&gt;0,'Single No Levy Page 24'!$E$44,"  ")</f>
        <v xml:space="preserve">  </v>
      </c>
      <c r="G46" s="30"/>
      <c r="H46" s="30"/>
      <c r="J46" s="344"/>
      <c r="K46" s="338"/>
      <c r="L46" s="338"/>
      <c r="M46" s="345"/>
    </row>
    <row r="47" spans="1:13" x14ac:dyDescent="0.25">
      <c r="A47" s="44" t="str">
        <f>IF(inputPrYr!$B57&gt;"  ",(inputPrYr!$B57),"  ")</f>
        <v xml:space="preserve">  </v>
      </c>
      <c r="B47" s="44" t="str">
        <f>IF('Single No Levy Page 25'!$C$44&gt;0,'Single No Levy Page 25'!$C$44,"  ")</f>
        <v xml:space="preserve">  </v>
      </c>
      <c r="C47" s="30"/>
      <c r="D47" s="44" t="str">
        <f>IF('Single No Levy Page 25'!$D$44&gt;0,'Single No Levy Page 25'!$D$44,"  ")</f>
        <v xml:space="preserve">  </v>
      </c>
      <c r="E47" s="30"/>
      <c r="F47" s="44" t="str">
        <f>IF('Single No Levy Page 25'!$E$44&gt;0,'Single No Levy Page 25'!$E$44,"  ")</f>
        <v xml:space="preserve">  </v>
      </c>
      <c r="G47" s="30"/>
      <c r="H47" s="30"/>
      <c r="J47" s="344" t="str">
        <f>CONCATENATE("",H2-1," Mill Rate Was:")</f>
        <v>2024 Mill Rate Was:</v>
      </c>
      <c r="K47" s="338"/>
      <c r="L47" s="338"/>
      <c r="M47" s="346">
        <f>E52</f>
        <v>0</v>
      </c>
    </row>
    <row r="48" spans="1:13" x14ac:dyDescent="0.25">
      <c r="A48" s="44" t="str">
        <f>IF(inputPrYr!$B60&gt;"  ",('Non-Budgeted Funds A'!$A3),"  ")</f>
        <v xml:space="preserve">  </v>
      </c>
      <c r="B48" s="44" t="str">
        <f>IF('Non-Budgeted Funds A'!$K$28&gt;0,'Non-Budgeted Funds A'!$K$28,"  ")</f>
        <v xml:space="preserve">  </v>
      </c>
      <c r="C48" s="30"/>
      <c r="D48" s="44"/>
      <c r="E48" s="30"/>
      <c r="F48" s="44"/>
      <c r="G48" s="30"/>
      <c r="H48" s="30"/>
      <c r="J48" s="347" t="str">
        <f>CONCATENATE("",H2," Tax Levy Fund Expenditures Must Be")</f>
        <v>2025 Tax Levy Fund Expenditures Must Be</v>
      </c>
      <c r="K48" s="348"/>
      <c r="L48" s="348"/>
      <c r="M48" s="345"/>
    </row>
    <row r="49" spans="1:13" x14ac:dyDescent="0.25">
      <c r="A49" s="44" t="str">
        <f>IF(inputPrYr!$B66&gt;"  ",('Non-Budgeted Funds B'!$A3),"  ")</f>
        <v xml:space="preserve">  </v>
      </c>
      <c r="B49" s="44" t="str">
        <f>IF('Non-Budgeted Funds B'!$K$28&gt;0,'Non-Budgeted Funds B'!$K$28,"  ")</f>
        <v xml:space="preserve">  </v>
      </c>
      <c r="C49" s="30"/>
      <c r="D49" s="44"/>
      <c r="E49" s="30"/>
      <c r="F49" s="44"/>
      <c r="G49" s="30"/>
      <c r="H49" s="30"/>
      <c r="J49" s="347" t="str">
        <f>IF(M49&gt;0,"Increased By:","")</f>
        <v/>
      </c>
      <c r="K49" s="348"/>
      <c r="L49" s="348"/>
      <c r="M49" s="362">
        <f>IF(M56&lt;0,M56*-1,0)</f>
        <v>0</v>
      </c>
    </row>
    <row r="50" spans="1:13" x14ac:dyDescent="0.2">
      <c r="A50" s="44" t="str">
        <f>IF(inputPrYr!$B72&gt;"  ",('Non-Budgeted Funds C'!$A3),"  ")</f>
        <v xml:space="preserve">  </v>
      </c>
      <c r="B50" s="44" t="str">
        <f>IF('Non-Budgeted Funds C'!$K$28&gt;0,'Non-Budgeted Funds C'!$K$28,"  ")</f>
        <v xml:space="preserve">  </v>
      </c>
      <c r="C50" s="30"/>
      <c r="D50" s="44"/>
      <c r="E50" s="30"/>
      <c r="F50" s="44"/>
      <c r="G50" s="30"/>
      <c r="H50" s="30"/>
      <c r="J50" s="363" t="str">
        <f>IF(M50&lt;0,"Reduced By:","")</f>
        <v/>
      </c>
      <c r="K50" s="364"/>
      <c r="L50" s="364"/>
      <c r="M50" s="365">
        <f>IF(M56&gt;0,M56*-1,0)</f>
        <v>0</v>
      </c>
    </row>
    <row r="51" spans="1:13" ht="16.5" thickBot="1" x14ac:dyDescent="0.3">
      <c r="A51" s="44" t="str">
        <f>IF(inputPrYr!$B78&gt;"  ",('Non-Budgeted Funds D'!$A3),"  ")</f>
        <v xml:space="preserve">  </v>
      </c>
      <c r="B51" s="355" t="str">
        <f>IF('Non-Budgeted Funds D'!$K$28&gt;0,'Non-Budgeted Funds D'!$K$28,"  ")</f>
        <v xml:space="preserve">  </v>
      </c>
      <c r="C51" s="356"/>
      <c r="D51" s="355"/>
      <c r="E51" s="356"/>
      <c r="F51" s="355"/>
      <c r="G51" s="356"/>
      <c r="H51" s="356"/>
      <c r="J51" s="343"/>
      <c r="K51" s="343"/>
      <c r="L51" s="343"/>
      <c r="M51" s="343"/>
    </row>
    <row r="52" spans="1:13" ht="16.5" thickBot="1" x14ac:dyDescent="0.3">
      <c r="A52" s="733" t="s">
        <v>336</v>
      </c>
      <c r="B52" s="734">
        <f>SUM(B15:B51)</f>
        <v>0</v>
      </c>
      <c r="C52" s="735">
        <f>SUM(C15:C27)</f>
        <v>0</v>
      </c>
      <c r="D52" s="734">
        <f>SUM(D15:D51)</f>
        <v>0</v>
      </c>
      <c r="E52" s="735">
        <f>SUM(E15:E27)</f>
        <v>0</v>
      </c>
      <c r="F52" s="734">
        <f>SUM(F15:F51)</f>
        <v>0</v>
      </c>
      <c r="G52" s="734">
        <f>SUM(G15:G51)</f>
        <v>0</v>
      </c>
      <c r="H52" s="735">
        <f>SUM(H15:H27)</f>
        <v>0</v>
      </c>
      <c r="J52" s="915" t="str">
        <f>CONCATENATE("Impact On Keeping The Same Mill Rate As For ",H2-1,"")</f>
        <v>Impact On Keeping The Same Mill Rate As For 2024</v>
      </c>
      <c r="K52" s="918"/>
      <c r="L52" s="918"/>
      <c r="M52" s="919"/>
    </row>
    <row r="53" spans="1:13" ht="16.5" thickTop="1" x14ac:dyDescent="0.25">
      <c r="A53" s="908" t="s">
        <v>651</v>
      </c>
      <c r="B53" s="909"/>
      <c r="C53" s="909"/>
      <c r="D53" s="909"/>
      <c r="E53" s="909"/>
      <c r="F53" s="909"/>
      <c r="G53" s="910"/>
      <c r="H53" s="709">
        <f>inputOth!D22</f>
        <v>0</v>
      </c>
      <c r="I53" s="352" t="str">
        <f>IF(H54&gt;inputOth!E6,"Exceed Limit","")</f>
        <v/>
      </c>
      <c r="J53" s="344"/>
      <c r="K53" s="338"/>
      <c r="L53" s="338"/>
      <c r="M53" s="345"/>
    </row>
    <row r="54" spans="1:13" x14ac:dyDescent="0.25">
      <c r="A54" s="323" t="str">
        <f>IF((inputPrYr!B34&gt;""),(inputPrYr!B34),"")</f>
        <v>Recreation</v>
      </c>
      <c r="B54" s="583" t="str">
        <f>IF(('Library-Rec'!C73)&lt;&gt;0,('Library-Rec'!C73),"  ")</f>
        <v xml:space="preserve">  </v>
      </c>
      <c r="C54" s="586" t="str">
        <f>IF(inputPrYr!D100&gt;0,inputPrYr!D100,"  ")</f>
        <v xml:space="preserve">  </v>
      </c>
      <c r="D54" s="583" t="str">
        <f>IF(('Library-Rec'!D73)&lt;&gt;0,('Library-Rec'!D73),"  ")</f>
        <v xml:space="preserve">  </v>
      </c>
      <c r="E54" s="585" t="str">
        <f>IF(inputOth!D39&gt;0,inputOth!D39,"  ")</f>
        <v xml:space="preserve">  </v>
      </c>
      <c r="F54" s="583" t="str">
        <f>IF(('Library-Rec'!E73)&lt;&gt;0,('Library-Rec'!E73),"  ")</f>
        <v xml:space="preserve">  </v>
      </c>
      <c r="G54" s="584" t="str">
        <f>IF('Library-Rec'!E80&lt;&gt;0,'Library-Rec'!E80,"  ")</f>
        <v xml:space="preserve">  </v>
      </c>
      <c r="H54" s="585">
        <f>IF('Library-Rec'!E80&gt;0,ROUND(G54/$F$60*1000,3),0)</f>
        <v>0</v>
      </c>
      <c r="J54" s="344" t="str">
        <f>CONCATENATE("",H2," Ad Valorem Tax Revenue:")</f>
        <v>2025 Ad Valorem Tax Revenue:</v>
      </c>
      <c r="K54" s="338"/>
      <c r="L54" s="338"/>
      <c r="M54" s="339">
        <f>G52</f>
        <v>0</v>
      </c>
    </row>
    <row r="55" spans="1:13" x14ac:dyDescent="0.25">
      <c r="A55" s="322" t="s">
        <v>352</v>
      </c>
      <c r="B55" s="591">
        <f t="shared" ref="B55:G55" si="0">SUM(B52:B54)</f>
        <v>0</v>
      </c>
      <c r="C55" s="592">
        <f t="shared" si="0"/>
        <v>0</v>
      </c>
      <c r="D55" s="591">
        <f t="shared" si="0"/>
        <v>0</v>
      </c>
      <c r="E55" s="592">
        <f t="shared" si="0"/>
        <v>0</v>
      </c>
      <c r="F55" s="591">
        <f t="shared" si="0"/>
        <v>0</v>
      </c>
      <c r="G55" s="591">
        <f t="shared" si="0"/>
        <v>0</v>
      </c>
      <c r="H55" s="592">
        <f>SUM(H52,H54)</f>
        <v>0</v>
      </c>
      <c r="J55" s="344" t="str">
        <f>CONCATENATE("",H2-1," Ad Valorem Tax Revenue:")</f>
        <v>2024 Ad Valorem Tax Revenue:</v>
      </c>
      <c r="K55" s="338"/>
      <c r="L55" s="338"/>
      <c r="M55" s="351">
        <f>ROUND(F60*M47/1000,0)</f>
        <v>0</v>
      </c>
    </row>
    <row r="56" spans="1:13" x14ac:dyDescent="0.25">
      <c r="A56" s="21" t="s">
        <v>86</v>
      </c>
      <c r="B56" s="590">
        <f>Transfers!C28</f>
        <v>0</v>
      </c>
      <c r="C56" s="39"/>
      <c r="D56" s="590">
        <f>Transfers!D28</f>
        <v>0</v>
      </c>
      <c r="E56" s="39"/>
      <c r="F56" s="590">
        <f>Transfers!E28</f>
        <v>0</v>
      </c>
      <c r="G56" s="20"/>
      <c r="H56" s="20"/>
      <c r="J56" s="349" t="s">
        <v>360</v>
      </c>
      <c r="K56" s="350"/>
      <c r="L56" s="350"/>
      <c r="M56" s="342">
        <f>SUM(M54-M55)</f>
        <v>0</v>
      </c>
    </row>
    <row r="57" spans="1:13" ht="16.5" thickBot="1" x14ac:dyDescent="0.3">
      <c r="A57" s="21" t="s">
        <v>87</v>
      </c>
      <c r="B57" s="593">
        <f>B55-B56</f>
        <v>0</v>
      </c>
      <c r="C57" s="20"/>
      <c r="D57" s="593">
        <f>D55-D56</f>
        <v>0</v>
      </c>
      <c r="E57" s="110"/>
      <c r="F57" s="593">
        <f>F55-F56</f>
        <v>0</v>
      </c>
      <c r="G57" s="20"/>
      <c r="H57" s="20"/>
      <c r="J57" s="343"/>
      <c r="K57" s="343"/>
      <c r="L57" s="343"/>
      <c r="M57" s="343"/>
    </row>
    <row r="58" spans="1:13" ht="16.5" thickTop="1" x14ac:dyDescent="0.25">
      <c r="A58" s="21" t="s">
        <v>88</v>
      </c>
      <c r="B58" s="590">
        <f>inputPrYr!E103</f>
        <v>0</v>
      </c>
      <c r="C58" s="20"/>
      <c r="D58" s="590">
        <f>inputPrYr!E32</f>
        <v>0</v>
      </c>
      <c r="E58" s="20"/>
      <c r="F58" s="225" t="s">
        <v>49</v>
      </c>
      <c r="G58" s="20"/>
      <c r="H58" s="20"/>
      <c r="J58" s="915" t="s">
        <v>361</v>
      </c>
      <c r="K58" s="916"/>
      <c r="L58" s="916"/>
      <c r="M58" s="917"/>
    </row>
    <row r="59" spans="1:13" x14ac:dyDescent="0.25">
      <c r="A59" s="21" t="s">
        <v>89</v>
      </c>
      <c r="B59" s="594"/>
      <c r="C59" s="20"/>
      <c r="D59" s="595"/>
      <c r="E59" s="20"/>
      <c r="F59" s="594"/>
      <c r="G59" s="20"/>
      <c r="H59" s="20"/>
      <c r="J59" s="344"/>
      <c r="K59" s="338"/>
      <c r="L59" s="338"/>
      <c r="M59" s="345"/>
    </row>
    <row r="60" spans="1:13" ht="13.5" customHeight="1" x14ac:dyDescent="0.25">
      <c r="A60" s="21" t="s">
        <v>90</v>
      </c>
      <c r="B60" s="590">
        <f>inputPrYr!E104</f>
        <v>0</v>
      </c>
      <c r="C60" s="20"/>
      <c r="D60" s="590">
        <f>inputOth!E42</f>
        <v>0</v>
      </c>
      <c r="E60" s="20"/>
      <c r="F60" s="590">
        <f>inputOth!E9</f>
        <v>0</v>
      </c>
      <c r="G60" s="20"/>
      <c r="H60" s="20"/>
      <c r="J60" s="344" t="str">
        <f>CONCATENATE("Current ",H2," Estimated Mill Rate:")</f>
        <v>Current 2025 Estimated Mill Rate:</v>
      </c>
      <c r="K60" s="338"/>
      <c r="L60" s="338"/>
      <c r="M60" s="346">
        <f>H52</f>
        <v>0</v>
      </c>
    </row>
    <row r="61" spans="1:13" x14ac:dyDescent="0.25">
      <c r="A61" s="20"/>
      <c r="B61" s="20"/>
      <c r="C61" s="20"/>
      <c r="D61" s="20"/>
      <c r="E61" s="20"/>
      <c r="F61" s="20"/>
      <c r="G61" s="20"/>
      <c r="H61" s="20"/>
      <c r="J61" s="344" t="str">
        <f>CONCATENATE("Desired ",H2," Mill Rate:")</f>
        <v>Desired 2025 Mill Rate:</v>
      </c>
      <c r="K61" s="338"/>
      <c r="L61" s="338"/>
      <c r="M61" s="336">
        <v>0</v>
      </c>
    </row>
    <row r="62" spans="1:13" ht="18.75" customHeight="1" x14ac:dyDescent="0.25">
      <c r="A62" s="21" t="s">
        <v>91</v>
      </c>
      <c r="B62" s="20"/>
      <c r="C62" s="20"/>
      <c r="D62" s="20"/>
      <c r="E62" s="20"/>
      <c r="F62" s="20"/>
      <c r="G62" s="20"/>
      <c r="H62" s="20"/>
      <c r="J62" s="344" t="str">
        <f>CONCATENATE("",H2," Ad Valorem Tax:")</f>
        <v>2025 Ad Valorem Tax:</v>
      </c>
      <c r="K62" s="338"/>
      <c r="L62" s="338"/>
      <c r="M62" s="351">
        <f>ROUND(F60*M61/1000,0)</f>
        <v>0</v>
      </c>
    </row>
    <row r="63" spans="1:13" ht="18.75" customHeight="1" x14ac:dyDescent="0.25">
      <c r="A63" s="21" t="s">
        <v>92</v>
      </c>
      <c r="B63" s="226">
        <f>H2-3</f>
        <v>2022</v>
      </c>
      <c r="C63" s="20"/>
      <c r="D63" s="226">
        <f>H2-2</f>
        <v>2023</v>
      </c>
      <c r="E63" s="20"/>
      <c r="F63" s="226">
        <f>H2-1</f>
        <v>2024</v>
      </c>
      <c r="G63" s="20"/>
      <c r="H63" s="20"/>
      <c r="J63" s="349" t="str">
        <f>CONCATENATE("",H2," Tax Levy Fund Exp. Changed By:")</f>
        <v>2025 Tax Levy Fund Exp. Changed By:</v>
      </c>
      <c r="K63" s="350"/>
      <c r="L63" s="350"/>
      <c r="M63" s="342">
        <f>M62-G52</f>
        <v>0</v>
      </c>
    </row>
    <row r="64" spans="1:13" ht="18.75" customHeight="1" x14ac:dyDescent="0.2">
      <c r="A64" s="21" t="s">
        <v>93</v>
      </c>
      <c r="B64" s="147">
        <f>inputPrYr!D108</f>
        <v>0</v>
      </c>
      <c r="C64" s="103"/>
      <c r="D64" s="147">
        <f>inputPrYr!E108</f>
        <v>0</v>
      </c>
      <c r="E64" s="103"/>
      <c r="F64" s="147">
        <f>Debt!G20</f>
        <v>0</v>
      </c>
      <c r="G64" s="20"/>
      <c r="H64" s="20"/>
    </row>
    <row r="65" spans="1:13" ht="18.75" customHeight="1" x14ac:dyDescent="0.2">
      <c r="A65" s="21" t="s">
        <v>94</v>
      </c>
      <c r="B65" s="318">
        <f>inputPrYr!D109</f>
        <v>0</v>
      </c>
      <c r="C65" s="103"/>
      <c r="D65" s="318">
        <f>inputPrYr!E109</f>
        <v>0</v>
      </c>
      <c r="E65" s="103"/>
      <c r="F65" s="147">
        <f>Debt!G32</f>
        <v>0</v>
      </c>
      <c r="G65" s="20"/>
      <c r="H65" s="20"/>
      <c r="J65" s="911" t="s">
        <v>654</v>
      </c>
      <c r="K65" s="912"/>
      <c r="L65" s="912"/>
      <c r="M65" s="903" t="str">
        <f>IF(H52&gt;H53, "Yes", "No")</f>
        <v>No</v>
      </c>
    </row>
    <row r="66" spans="1:13" ht="18" customHeight="1" x14ac:dyDescent="0.2">
      <c r="A66" s="20" t="s">
        <v>112</v>
      </c>
      <c r="B66" s="318">
        <f>inputPrYr!D110</f>
        <v>0</v>
      </c>
      <c r="C66" s="103"/>
      <c r="D66" s="318">
        <f>inputPrYr!E110</f>
        <v>0</v>
      </c>
      <c r="E66" s="103"/>
      <c r="F66" s="147">
        <f>Debt!G42</f>
        <v>0</v>
      </c>
      <c r="G66" s="20"/>
      <c r="H66" s="20"/>
      <c r="J66" s="913"/>
      <c r="K66" s="914"/>
      <c r="L66" s="914"/>
      <c r="M66" s="904"/>
    </row>
    <row r="67" spans="1:13" ht="19.5" customHeight="1" x14ac:dyDescent="0.2">
      <c r="A67" s="21" t="s">
        <v>147</v>
      </c>
      <c r="B67" s="318">
        <f>inputPrYr!D111</f>
        <v>0</v>
      </c>
      <c r="C67" s="103"/>
      <c r="D67" s="318">
        <f>inputPrYr!E111</f>
        <v>0</v>
      </c>
      <c r="E67" s="103"/>
      <c r="F67" s="147">
        <f>'LP Form'!G28</f>
        <v>0</v>
      </c>
      <c r="G67" s="20"/>
      <c r="H67" s="20"/>
      <c r="J67" s="859" t="str">
        <f>IF(M65="Yes", "Follow procedure prescirbed by KSA 79-2988 to exceed the Revenue Neutral Rate.", " ")</f>
        <v xml:space="preserve"> </v>
      </c>
      <c r="K67" s="859"/>
      <c r="L67" s="859"/>
      <c r="M67" s="859"/>
    </row>
    <row r="68" spans="1:13" ht="18.75" customHeight="1" thickBot="1" x14ac:dyDescent="0.25">
      <c r="A68" s="21" t="s">
        <v>95</v>
      </c>
      <c r="B68" s="234">
        <f>SUM(B64:B67)</f>
        <v>0</v>
      </c>
      <c r="C68" s="103"/>
      <c r="D68" s="234">
        <f>SUM(D64:D67)</f>
        <v>0</v>
      </c>
      <c r="E68" s="103"/>
      <c r="F68" s="234">
        <f>SUM(F64:F67)</f>
        <v>0</v>
      </c>
      <c r="G68" s="20"/>
      <c r="H68" s="20"/>
      <c r="J68" s="860"/>
      <c r="K68" s="860"/>
      <c r="L68" s="860"/>
      <c r="M68" s="860"/>
    </row>
    <row r="69" spans="1:13" ht="16.5" thickTop="1" x14ac:dyDescent="0.2">
      <c r="A69" s="21" t="s">
        <v>96</v>
      </c>
      <c r="B69" s="20"/>
      <c r="C69" s="20"/>
      <c r="D69" s="20"/>
      <c r="E69" s="20"/>
      <c r="F69" s="20"/>
      <c r="G69" s="20"/>
      <c r="H69" s="20"/>
      <c r="J69" s="860"/>
      <c r="K69" s="860"/>
      <c r="L69" s="860"/>
      <c r="M69" s="860"/>
    </row>
    <row r="70" spans="1:13" x14ac:dyDescent="0.2">
      <c r="A70" s="710" t="s">
        <v>652</v>
      </c>
      <c r="B70" s="20"/>
      <c r="C70" s="20"/>
      <c r="D70" s="20"/>
      <c r="E70" s="20"/>
      <c r="F70" s="20"/>
      <c r="G70" s="20"/>
      <c r="H70" s="20"/>
    </row>
    <row r="71" spans="1:13" x14ac:dyDescent="0.2">
      <c r="A71" s="20"/>
      <c r="B71" s="20"/>
      <c r="C71" s="20"/>
      <c r="D71" s="20"/>
      <c r="E71" s="20"/>
      <c r="F71" s="20"/>
      <c r="G71" s="20"/>
      <c r="H71" s="20"/>
    </row>
    <row r="72" spans="1:13" x14ac:dyDescent="0.2">
      <c r="A72" s="907">
        <f>inputHearing!B28</f>
        <v>0</v>
      </c>
      <c r="B72" s="907"/>
      <c r="C72" s="20"/>
      <c r="D72" s="20"/>
      <c r="E72" s="20"/>
      <c r="F72" s="20"/>
      <c r="G72" s="20"/>
      <c r="H72" s="20"/>
    </row>
    <row r="73" spans="1:13" x14ac:dyDescent="0.2">
      <c r="A73" s="905" t="str">
        <f>CONCATENATE("City Official Title: ",inputHearing!B30,"")</f>
        <v xml:space="preserve">City Official Title: </v>
      </c>
      <c r="B73" s="896"/>
      <c r="C73" s="20"/>
      <c r="D73" s="20"/>
      <c r="E73" s="20"/>
      <c r="F73" s="20"/>
      <c r="G73" s="20"/>
      <c r="H73" s="20"/>
    </row>
    <row r="74" spans="1:13" x14ac:dyDescent="0.2">
      <c r="A74" s="20"/>
      <c r="B74" s="20"/>
      <c r="C74" s="20"/>
      <c r="D74" s="20"/>
      <c r="E74" s="20"/>
      <c r="F74" s="20"/>
      <c r="G74" s="20"/>
      <c r="H74" s="20"/>
    </row>
    <row r="75" spans="1:13" x14ac:dyDescent="0.2">
      <c r="A75" s="20"/>
      <c r="B75" s="20"/>
      <c r="C75" s="73" t="s">
        <v>70</v>
      </c>
      <c r="D75" s="186"/>
      <c r="E75" s="20"/>
      <c r="F75" s="20"/>
      <c r="G75" s="20"/>
      <c r="H75" s="20"/>
    </row>
  </sheetData>
  <sheetProtection sheet="1"/>
  <mergeCells count="17">
    <mergeCell ref="J65:L66"/>
    <mergeCell ref="M65:M66"/>
    <mergeCell ref="J67:M69"/>
    <mergeCell ref="A72:B72"/>
    <mergeCell ref="A73:B73"/>
    <mergeCell ref="J58:M58"/>
    <mergeCell ref="A1:H1"/>
    <mergeCell ref="A3:H3"/>
    <mergeCell ref="A4:H4"/>
    <mergeCell ref="A5:H5"/>
    <mergeCell ref="A6:H6"/>
    <mergeCell ref="A7:H7"/>
    <mergeCell ref="H13:H14"/>
    <mergeCell ref="J41:M41"/>
    <mergeCell ref="J45:M45"/>
    <mergeCell ref="J52:M52"/>
    <mergeCell ref="A53:G53"/>
  </mergeCells>
  <conditionalFormatting sqref="M65:M66">
    <cfRule type="containsText" dxfId="0" priority="1" operator="containsText" text="Yes">
      <formula>NOT(ISERROR(SEARCH("Yes",M65)))</formula>
    </cfRule>
  </conditionalFormatting>
  <pageMargins left="0.5" right="0.5" top="1" bottom="0.5" header="0.5" footer="0.5"/>
  <pageSetup scale="62" orientation="portrait" blackAndWhite="1" horizontalDpi="120" verticalDpi="144" r:id="rId1"/>
  <headerFooter alignWithMargins="0">
    <oddHeader>&amp;RState of Kansas
City</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00B0F0"/>
  </sheetPr>
  <dimension ref="A1:IV29"/>
  <sheetViews>
    <sheetView workbookViewId="0">
      <selection activeCell="A2" sqref="A2:H2"/>
    </sheetView>
  </sheetViews>
  <sheetFormatPr defaultRowHeight="15.75" x14ac:dyDescent="0.2"/>
  <cols>
    <col min="1" max="1" width="14.109375" style="16" customWidth="1"/>
    <col min="2" max="2" width="12.77734375" style="16" customWidth="1"/>
    <col min="3" max="3" width="8.77734375" style="16" customWidth="1"/>
    <col min="4" max="4" width="7.33203125" style="16" customWidth="1"/>
    <col min="5" max="5" width="8.5546875" style="16" customWidth="1"/>
    <col min="6" max="6" width="12.77734375" style="16" customWidth="1"/>
    <col min="7" max="7" width="11.88671875" style="16" customWidth="1"/>
    <col min="8" max="8" width="14.109375" style="16" customWidth="1"/>
    <col min="9" max="252" width="8.88671875" style="16"/>
    <col min="253" max="253" width="15.77734375" style="16" customWidth="1"/>
    <col min="254" max="254" width="12.77734375" style="16" customWidth="1"/>
    <col min="255" max="255" width="8.77734375" style="16" customWidth="1"/>
    <col min="256" max="256" width="13.77734375" style="16" customWidth="1"/>
  </cols>
  <sheetData>
    <row r="1" spans="1:8" x14ac:dyDescent="0.2">
      <c r="A1" s="20"/>
      <c r="B1" s="20"/>
      <c r="C1" s="20"/>
      <c r="D1" s="20"/>
      <c r="E1" s="20"/>
      <c r="F1" s="20"/>
      <c r="G1" s="20"/>
      <c r="H1" s="49">
        <f>inputPrYr!C6</f>
        <v>2025</v>
      </c>
    </row>
    <row r="2" spans="1:8" x14ac:dyDescent="0.2">
      <c r="A2" s="923" t="s">
        <v>657</v>
      </c>
      <c r="B2" s="831"/>
      <c r="C2" s="831"/>
      <c r="D2" s="831"/>
      <c r="E2" s="831"/>
      <c r="F2" s="831"/>
      <c r="G2" s="831"/>
      <c r="H2" s="831"/>
    </row>
    <row r="3" spans="1:8" x14ac:dyDescent="0.2">
      <c r="A3" s="20"/>
      <c r="B3" s="20"/>
      <c r="C3" s="20"/>
      <c r="D3" s="20"/>
      <c r="E3" s="20"/>
      <c r="F3" s="20"/>
      <c r="G3" s="20"/>
      <c r="H3" s="20"/>
    </row>
    <row r="4" spans="1:8" x14ac:dyDescent="0.2">
      <c r="A4" s="830" t="s">
        <v>80</v>
      </c>
      <c r="B4" s="830"/>
      <c r="C4" s="830"/>
      <c r="D4" s="830"/>
      <c r="E4" s="830"/>
      <c r="F4" s="830"/>
      <c r="G4" s="830"/>
      <c r="H4" s="830"/>
    </row>
    <row r="5" spans="1:8" x14ac:dyDescent="0.2">
      <c r="A5" s="794">
        <f>inputPrYr!D3</f>
        <v>0</v>
      </c>
      <c r="B5" s="922"/>
      <c r="C5" s="922"/>
      <c r="D5" s="922"/>
      <c r="E5" s="922"/>
      <c r="F5" s="922"/>
      <c r="G5" s="922"/>
      <c r="H5" s="922"/>
    </row>
    <row r="6" spans="1:8" x14ac:dyDescent="0.2">
      <c r="A6" s="830" t="str">
        <f>CONCATENATE("will meet on ",inputHearing!B42," at ",inputHearing!B44," at ",inputHearing!B46," for the purpose of hearing and")</f>
        <v>will meet on  at  at  for the purpose of hearing and</v>
      </c>
      <c r="B6" s="830"/>
      <c r="C6" s="830"/>
      <c r="D6" s="830"/>
      <c r="E6" s="830"/>
      <c r="F6" s="830"/>
      <c r="G6" s="830"/>
      <c r="H6" s="830"/>
    </row>
    <row r="7" spans="1:8" x14ac:dyDescent="0.2">
      <c r="A7" s="830" t="s">
        <v>658</v>
      </c>
      <c r="B7" s="830"/>
      <c r="C7" s="830"/>
      <c r="D7" s="830"/>
      <c r="E7" s="830"/>
      <c r="F7" s="830"/>
      <c r="G7" s="830"/>
      <c r="H7" s="830"/>
    </row>
    <row r="8" spans="1:8" x14ac:dyDescent="0.2">
      <c r="A8" s="20"/>
      <c r="B8" s="20"/>
      <c r="C8" s="20"/>
      <c r="D8" s="20"/>
      <c r="E8" s="20"/>
      <c r="F8" s="20"/>
      <c r="G8" s="20"/>
      <c r="H8" s="20"/>
    </row>
    <row r="9" spans="1:8" x14ac:dyDescent="0.2">
      <c r="A9" s="922" t="s">
        <v>659</v>
      </c>
      <c r="B9" s="922"/>
      <c r="C9" s="922"/>
      <c r="D9" s="922"/>
      <c r="E9" s="922"/>
      <c r="F9" s="922"/>
      <c r="G9" s="922"/>
      <c r="H9" s="922"/>
    </row>
    <row r="10" spans="1:8" x14ac:dyDescent="0.2">
      <c r="A10" s="829">
        <f>inputPrYr!D4</f>
        <v>0</v>
      </c>
      <c r="B10" s="830"/>
      <c r="C10" s="830"/>
      <c r="D10" s="830"/>
      <c r="E10" s="830"/>
      <c r="F10" s="830"/>
      <c r="G10" s="830"/>
      <c r="H10" s="830"/>
    </row>
    <row r="11" spans="1:8" x14ac:dyDescent="0.2">
      <c r="A11" s="75"/>
      <c r="B11" s="25"/>
      <c r="C11" s="25"/>
      <c r="D11" s="25"/>
      <c r="E11" s="25"/>
      <c r="F11" s="25"/>
      <c r="G11" s="25"/>
      <c r="H11" s="25"/>
    </row>
    <row r="12" spans="1:8" x14ac:dyDescent="0.2">
      <c r="A12" s="75"/>
      <c r="B12" s="924" t="s">
        <v>660</v>
      </c>
      <c r="C12" s="924"/>
      <c r="D12" s="737">
        <f>'Budget Hearing Notice'!H53</f>
        <v>0</v>
      </c>
      <c r="E12" s="924" t="s">
        <v>661</v>
      </c>
      <c r="F12" s="924"/>
      <c r="G12" s="738">
        <f>'Budget Hearing Notice'!H52</f>
        <v>0</v>
      </c>
      <c r="H12" s="25"/>
    </row>
    <row r="13" spans="1:8" x14ac:dyDescent="0.2">
      <c r="A13" s="20"/>
      <c r="B13" s="155"/>
      <c r="C13" s="155"/>
      <c r="D13" s="155"/>
      <c r="E13" s="155"/>
      <c r="F13" s="155"/>
      <c r="G13" s="155"/>
      <c r="H13" s="155"/>
    </row>
    <row r="14" spans="1:8" x14ac:dyDescent="0.2">
      <c r="A14" s="20"/>
      <c r="B14" s="925" t="s">
        <v>662</v>
      </c>
      <c r="C14" s="925"/>
      <c r="D14" s="925"/>
      <c r="E14" s="925"/>
      <c r="F14" s="925"/>
      <c r="G14" s="20"/>
      <c r="H14" s="49"/>
    </row>
    <row r="15" spans="1:8" x14ac:dyDescent="0.2">
      <c r="A15" s="20"/>
      <c r="B15" s="925" t="s">
        <v>663</v>
      </c>
      <c r="C15" s="925"/>
      <c r="D15" s="925"/>
      <c r="E15" s="925"/>
      <c r="F15" s="925"/>
      <c r="G15" s="20"/>
      <c r="H15" s="49"/>
    </row>
    <row r="16" spans="1:8" x14ac:dyDescent="0.2">
      <c r="A16" s="20"/>
      <c r="B16" s="739"/>
      <c r="C16" s="739"/>
      <c r="D16" s="739"/>
      <c r="E16" s="739"/>
      <c r="F16" s="739"/>
      <c r="G16" s="20"/>
      <c r="H16" s="49"/>
    </row>
    <row r="17" spans="1:8" x14ac:dyDescent="0.2">
      <c r="A17" s="20"/>
      <c r="B17" s="739"/>
      <c r="C17" s="739"/>
      <c r="D17" s="73" t="s">
        <v>70</v>
      </c>
      <c r="E17" s="740"/>
      <c r="F17" s="739"/>
      <c r="G17" s="20"/>
      <c r="H17" s="49"/>
    </row>
    <row r="19" spans="1:8" x14ac:dyDescent="0.2">
      <c r="A19" s="18"/>
      <c r="B19" s="18"/>
      <c r="C19" s="18"/>
      <c r="D19" s="18"/>
      <c r="E19" s="18"/>
      <c r="F19" s="18"/>
      <c r="G19" s="18"/>
      <c r="H19" s="18"/>
    </row>
    <row r="21" spans="1:8" x14ac:dyDescent="0.2">
      <c r="A21" s="18"/>
      <c r="B21" s="18"/>
      <c r="C21" s="18"/>
      <c r="D21" s="18"/>
      <c r="E21" s="18"/>
      <c r="F21" s="18"/>
      <c r="G21" s="18"/>
      <c r="H21" s="18"/>
    </row>
    <row r="22" spans="1:8" x14ac:dyDescent="0.2">
      <c r="A22" s="18"/>
      <c r="B22" s="18"/>
      <c r="C22" s="18"/>
      <c r="D22" s="18"/>
      <c r="E22" s="18"/>
      <c r="F22" s="18"/>
      <c r="G22" s="18"/>
      <c r="H22" s="18"/>
    </row>
    <row r="23" spans="1:8" x14ac:dyDescent="0.2">
      <c r="A23" s="18"/>
      <c r="B23" s="18"/>
      <c r="C23" s="18"/>
      <c r="D23" s="18"/>
      <c r="E23" s="18"/>
      <c r="F23" s="18"/>
      <c r="G23" s="18"/>
      <c r="H23" s="18"/>
    </row>
    <row r="24" spans="1:8" x14ac:dyDescent="0.2">
      <c r="A24" s="18"/>
      <c r="B24" s="18"/>
      <c r="C24" s="18"/>
      <c r="D24" s="18"/>
      <c r="E24" s="18"/>
      <c r="F24" s="18"/>
      <c r="G24" s="18"/>
      <c r="H24" s="18"/>
    </row>
    <row r="25" spans="1:8" x14ac:dyDescent="0.2">
      <c r="A25" s="18"/>
      <c r="B25" s="18"/>
      <c r="C25" s="18"/>
      <c r="D25" s="18"/>
      <c r="E25" s="18"/>
      <c r="F25" s="18"/>
      <c r="G25" s="18"/>
      <c r="H25" s="18"/>
    </row>
    <row r="26" spans="1:8" x14ac:dyDescent="0.2">
      <c r="A26" s="18"/>
      <c r="B26" s="18"/>
      <c r="C26" s="18"/>
      <c r="D26" s="18"/>
      <c r="E26" s="18"/>
      <c r="F26" s="18"/>
      <c r="G26" s="18"/>
      <c r="H26" s="18"/>
    </row>
    <row r="27" spans="1:8" x14ac:dyDescent="0.2">
      <c r="A27" s="18"/>
      <c r="B27" s="18"/>
      <c r="C27" s="18"/>
      <c r="D27" s="18"/>
      <c r="E27" s="18"/>
      <c r="F27" s="18"/>
      <c r="G27" s="18"/>
      <c r="H27" s="18"/>
    </row>
    <row r="28" spans="1:8" x14ac:dyDescent="0.2">
      <c r="A28" s="18"/>
      <c r="B28" s="18"/>
      <c r="C28" s="18"/>
      <c r="D28" s="18"/>
      <c r="E28" s="18"/>
      <c r="F28" s="18"/>
      <c r="G28" s="18"/>
      <c r="H28" s="18"/>
    </row>
    <row r="29" spans="1:8" x14ac:dyDescent="0.2">
      <c r="A29" s="18"/>
      <c r="B29" s="18"/>
      <c r="C29" s="18"/>
      <c r="D29" s="18"/>
      <c r="E29" s="18"/>
      <c r="F29" s="18"/>
      <c r="G29" s="18"/>
      <c r="H29" s="18"/>
    </row>
  </sheetData>
  <sheetProtection sheet="1" objects="1" scenarios="1"/>
  <mergeCells count="11">
    <mergeCell ref="A10:H10"/>
    <mergeCell ref="B12:C12"/>
    <mergeCell ref="E12:F12"/>
    <mergeCell ref="B14:F14"/>
    <mergeCell ref="B15:F15"/>
    <mergeCell ref="A9:H9"/>
    <mergeCell ref="A2:H2"/>
    <mergeCell ref="A4:H4"/>
    <mergeCell ref="A5:H5"/>
    <mergeCell ref="A6:H6"/>
    <mergeCell ref="A7:H7"/>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pageSetUpPr fitToPage="1"/>
  </sheetPr>
  <dimension ref="A1:F41"/>
  <sheetViews>
    <sheetView zoomScaleNormal="100" workbookViewId="0">
      <selection activeCell="L17" sqref="L17"/>
    </sheetView>
  </sheetViews>
  <sheetFormatPr defaultColWidth="8.88671875" defaultRowHeight="15" x14ac:dyDescent="0.2"/>
  <cols>
    <col min="1" max="1" width="10.109375" style="56" customWidth="1"/>
    <col min="2" max="2" width="16.33203125" style="56" customWidth="1"/>
    <col min="3" max="3" width="11.77734375" style="56" customWidth="1"/>
    <col min="4" max="4" width="12.77734375" style="56" customWidth="1"/>
    <col min="5" max="5" width="11.77734375" style="56" customWidth="1"/>
    <col min="6" max="16384" width="8.88671875" style="56"/>
  </cols>
  <sheetData>
    <row r="1" spans="1:6" ht="15.75" x14ac:dyDescent="0.2">
      <c r="A1" s="39">
        <f>inputPrYr!D3</f>
        <v>0</v>
      </c>
      <c r="B1" s="20"/>
      <c r="C1" s="20"/>
      <c r="D1" s="20"/>
      <c r="E1" s="20"/>
      <c r="F1" s="20">
        <f>inputPrYr!C6</f>
        <v>2025</v>
      </c>
    </row>
    <row r="2" spans="1:6" ht="15.75" x14ac:dyDescent="0.2">
      <c r="A2" s="20"/>
      <c r="B2" s="20"/>
      <c r="C2" s="20"/>
      <c r="D2" s="20"/>
      <c r="E2" s="20"/>
      <c r="F2" s="20"/>
    </row>
    <row r="3" spans="1:6" ht="15.75" x14ac:dyDescent="0.2">
      <c r="A3" s="20"/>
      <c r="B3" s="848" t="str">
        <f>CONCATENATE("",F1," Neighborhood Revitalization Rebate")</f>
        <v>2025 Neighborhood Revitalization Rebate</v>
      </c>
      <c r="C3" s="848"/>
      <c r="D3" s="848"/>
      <c r="E3" s="848"/>
      <c r="F3" s="20"/>
    </row>
    <row r="4" spans="1:6" ht="15.75" x14ac:dyDescent="0.2">
      <c r="A4" s="20"/>
      <c r="B4" s="20"/>
      <c r="C4" s="20"/>
      <c r="D4" s="20"/>
      <c r="E4" s="20"/>
      <c r="F4" s="20"/>
    </row>
    <row r="5" spans="1:6" ht="51.75" customHeight="1" x14ac:dyDescent="0.2">
      <c r="A5" s="20"/>
      <c r="B5" s="228" t="str">
        <f>CONCATENATE("Budgeted Funds         for ",F1,"")</f>
        <v>Budgeted Funds         for 2025</v>
      </c>
      <c r="C5" s="228" t="str">
        <f>CONCATENATE("",F1-1," Ad Valorem before Rebate**")</f>
        <v>2024 Ad Valorem before Rebate**</v>
      </c>
      <c r="D5" s="229" t="str">
        <f>CONCATENATE("",F1-1," Mil Rate before Rebate")</f>
        <v>2024 Mil Rate before Rebate</v>
      </c>
      <c r="E5" s="230" t="str">
        <f>CONCATENATE("Estimate ",F1," NR Rebate")</f>
        <v>Estimate 2025 NR Rebate</v>
      </c>
      <c r="F5" s="49"/>
    </row>
    <row r="6" spans="1:6" ht="15.75" x14ac:dyDescent="0.2">
      <c r="A6" s="20"/>
      <c r="B6" s="29" t="str">
        <f>inputPrYr!B18</f>
        <v>General</v>
      </c>
      <c r="C6" s="231"/>
      <c r="D6" s="232" t="str">
        <f>IF(C6&gt;0,C6/$D$25,"")</f>
        <v/>
      </c>
      <c r="E6" s="147">
        <f t="shared" ref="E6:E19" si="0">IF(C6&gt;0,ROUND(D6*$D$29,0),0)</f>
        <v>0</v>
      </c>
      <c r="F6" s="49"/>
    </row>
    <row r="7" spans="1:6" ht="15.75" x14ac:dyDescent="0.2">
      <c r="A7" s="20"/>
      <c r="B7" s="29" t="str">
        <f>inputPrYr!B19</f>
        <v>Debt Service</v>
      </c>
      <c r="C7" s="231"/>
      <c r="D7" s="232" t="str">
        <f t="shared" ref="D7:D18" si="1">IF(C7&gt;0,C7/$D$25,"")</f>
        <v/>
      </c>
      <c r="E7" s="147">
        <f t="shared" si="0"/>
        <v>0</v>
      </c>
      <c r="F7" s="49"/>
    </row>
    <row r="8" spans="1:6" ht="15.75" x14ac:dyDescent="0.2">
      <c r="A8" s="20"/>
      <c r="B8" s="29" t="str">
        <f>inputPrYr!B20</f>
        <v>Library</v>
      </c>
      <c r="C8" s="231"/>
      <c r="D8" s="232" t="str">
        <f>IF(C8&gt;0,C8/$D$25,"")</f>
        <v/>
      </c>
      <c r="E8" s="147">
        <f t="shared" si="0"/>
        <v>0</v>
      </c>
      <c r="F8" s="49"/>
    </row>
    <row r="9" spans="1:6" ht="15.75" x14ac:dyDescent="0.2">
      <c r="A9" s="20"/>
      <c r="B9" s="44">
        <f>inputPrYr!B22</f>
        <v>0</v>
      </c>
      <c r="C9" s="231"/>
      <c r="D9" s="232" t="str">
        <f t="shared" si="1"/>
        <v/>
      </c>
      <c r="E9" s="147">
        <f t="shared" si="0"/>
        <v>0</v>
      </c>
      <c r="F9" s="49"/>
    </row>
    <row r="10" spans="1:6" ht="15.75" x14ac:dyDescent="0.2">
      <c r="A10" s="20"/>
      <c r="B10" s="44">
        <f>inputPrYr!B23</f>
        <v>0</v>
      </c>
      <c r="C10" s="231"/>
      <c r="D10" s="232" t="str">
        <f t="shared" si="1"/>
        <v/>
      </c>
      <c r="E10" s="147">
        <f t="shared" si="0"/>
        <v>0</v>
      </c>
      <c r="F10" s="49"/>
    </row>
    <row r="11" spans="1:6" ht="15.75" x14ac:dyDescent="0.2">
      <c r="A11" s="20"/>
      <c r="B11" s="44">
        <f>inputPrYr!B24</f>
        <v>0</v>
      </c>
      <c r="C11" s="231"/>
      <c r="D11" s="232" t="str">
        <f t="shared" si="1"/>
        <v/>
      </c>
      <c r="E11" s="147">
        <f t="shared" si="0"/>
        <v>0</v>
      </c>
      <c r="F11" s="49"/>
    </row>
    <row r="12" spans="1:6" ht="15.75" x14ac:dyDescent="0.2">
      <c r="A12" s="20"/>
      <c r="B12" s="44">
        <f>inputPrYr!B25</f>
        <v>0</v>
      </c>
      <c r="C12" s="231"/>
      <c r="D12" s="232" t="str">
        <f t="shared" si="1"/>
        <v/>
      </c>
      <c r="E12" s="147">
        <f t="shared" si="0"/>
        <v>0</v>
      </c>
      <c r="F12" s="49"/>
    </row>
    <row r="13" spans="1:6" ht="15.75" x14ac:dyDescent="0.2">
      <c r="A13" s="20"/>
      <c r="B13" s="44">
        <f>inputPrYr!B26</f>
        <v>0</v>
      </c>
      <c r="C13" s="233"/>
      <c r="D13" s="232" t="str">
        <f t="shared" si="1"/>
        <v/>
      </c>
      <c r="E13" s="147">
        <f t="shared" si="0"/>
        <v>0</v>
      </c>
      <c r="F13" s="49"/>
    </row>
    <row r="14" spans="1:6" ht="15.75" x14ac:dyDescent="0.2">
      <c r="A14" s="20"/>
      <c r="B14" s="44">
        <f>inputPrYr!B27</f>
        <v>0</v>
      </c>
      <c r="C14" s="233"/>
      <c r="D14" s="232" t="str">
        <f t="shared" si="1"/>
        <v/>
      </c>
      <c r="E14" s="147">
        <f t="shared" si="0"/>
        <v>0</v>
      </c>
      <c r="F14" s="49"/>
    </row>
    <row r="15" spans="1:6" ht="15.75" x14ac:dyDescent="0.2">
      <c r="A15" s="20"/>
      <c r="B15" s="44">
        <f>inputPrYr!B28</f>
        <v>0</v>
      </c>
      <c r="C15" s="233"/>
      <c r="D15" s="232" t="str">
        <f t="shared" si="1"/>
        <v/>
      </c>
      <c r="E15" s="147">
        <f t="shared" si="0"/>
        <v>0</v>
      </c>
      <c r="F15" s="49"/>
    </row>
    <row r="16" spans="1:6" ht="15.75" x14ac:dyDescent="0.2">
      <c r="A16" s="20"/>
      <c r="B16" s="44">
        <f>inputPrYr!B29</f>
        <v>0</v>
      </c>
      <c r="C16" s="233"/>
      <c r="D16" s="232" t="str">
        <f t="shared" si="1"/>
        <v/>
      </c>
      <c r="E16" s="147">
        <f t="shared" si="0"/>
        <v>0</v>
      </c>
      <c r="F16" s="49"/>
    </row>
    <row r="17" spans="1:6" ht="15.75" x14ac:dyDescent="0.2">
      <c r="A17" s="20"/>
      <c r="B17" s="44">
        <f>inputPrYr!B30</f>
        <v>0</v>
      </c>
      <c r="C17" s="233"/>
      <c r="D17" s="232" t="str">
        <f t="shared" si="1"/>
        <v/>
      </c>
      <c r="E17" s="147">
        <f t="shared" si="0"/>
        <v>0</v>
      </c>
      <c r="F17" s="49"/>
    </row>
    <row r="18" spans="1:6" ht="15.75" x14ac:dyDescent="0.2">
      <c r="A18" s="20"/>
      <c r="B18" s="44">
        <f>inputPrYr!B31</f>
        <v>0</v>
      </c>
      <c r="C18" s="233"/>
      <c r="D18" s="232" t="str">
        <f t="shared" si="1"/>
        <v/>
      </c>
      <c r="E18" s="147">
        <f t="shared" si="0"/>
        <v>0</v>
      </c>
      <c r="F18" s="49"/>
    </row>
    <row r="19" spans="1:6" ht="15.75" x14ac:dyDescent="0.2">
      <c r="A19" s="20"/>
      <c r="B19" s="44" t="str">
        <f>inputPrYr!B34</f>
        <v>Recreation</v>
      </c>
      <c r="C19" s="233"/>
      <c r="D19" s="232" t="str">
        <f>IF(C19&gt;0,C19/$D$25,"")</f>
        <v/>
      </c>
      <c r="E19" s="147">
        <f t="shared" si="0"/>
        <v>0</v>
      </c>
      <c r="F19" s="49"/>
    </row>
    <row r="20" spans="1:6" ht="16.5" thickBot="1" x14ac:dyDescent="0.25">
      <c r="A20" s="20"/>
      <c r="B20" s="30" t="s">
        <v>55</v>
      </c>
      <c r="C20" s="234">
        <f>SUM(C6:C19)</f>
        <v>0</v>
      </c>
      <c r="D20" s="235">
        <f>SUM(D6:D18)</f>
        <v>0</v>
      </c>
      <c r="E20" s="234">
        <f>SUM(E6:E18)</f>
        <v>0</v>
      </c>
      <c r="F20" s="49"/>
    </row>
    <row r="21" spans="1:6" ht="16.5" thickTop="1" x14ac:dyDescent="0.2">
      <c r="A21" s="20"/>
      <c r="B21" s="20"/>
      <c r="C21" s="20"/>
      <c r="D21" s="20"/>
      <c r="E21" s="20"/>
      <c r="F21" s="49"/>
    </row>
    <row r="22" spans="1:6" ht="15.75" x14ac:dyDescent="0.2">
      <c r="A22" s="20"/>
      <c r="B22" s="20"/>
      <c r="C22" s="20"/>
      <c r="D22" s="20"/>
      <c r="E22" s="20"/>
      <c r="F22" s="49"/>
    </row>
    <row r="23" spans="1:6" ht="15.75" x14ac:dyDescent="0.2">
      <c r="A23" s="926" t="str">
        <f>CONCATENATE("",F1-1," July 1 Valuation:")</f>
        <v>2024 July 1 Valuation:</v>
      </c>
      <c r="B23" s="866"/>
      <c r="C23" s="926"/>
      <c r="D23" s="227">
        <f>inputOth!E9</f>
        <v>0</v>
      </c>
      <c r="E23" s="20"/>
      <c r="F23" s="49"/>
    </row>
    <row r="24" spans="1:6" ht="15.75" x14ac:dyDescent="0.2">
      <c r="A24" s="20"/>
      <c r="B24" s="20"/>
      <c r="C24" s="20"/>
      <c r="D24" s="20"/>
      <c r="E24" s="20"/>
      <c r="F24" s="49"/>
    </row>
    <row r="25" spans="1:6" ht="15.75" x14ac:dyDescent="0.2">
      <c r="A25" s="20"/>
      <c r="B25" s="926" t="s">
        <v>228</v>
      </c>
      <c r="C25" s="926"/>
      <c r="D25" s="236" t="str">
        <f>IF(D23&gt;0,(D23*0.001),"")</f>
        <v/>
      </c>
      <c r="E25" s="20"/>
      <c r="F25" s="49"/>
    </row>
    <row r="26" spans="1:6" ht="15.75" x14ac:dyDescent="0.2">
      <c r="A26" s="20"/>
      <c r="B26" s="73"/>
      <c r="C26" s="73"/>
      <c r="D26" s="237"/>
      <c r="E26" s="20"/>
      <c r="F26" s="49"/>
    </row>
    <row r="27" spans="1:6" ht="15.75" x14ac:dyDescent="0.2">
      <c r="A27" s="865" t="s">
        <v>229</v>
      </c>
      <c r="B27" s="831"/>
      <c r="C27" s="831"/>
      <c r="D27" s="227">
        <f>inputOth!E20</f>
        <v>0</v>
      </c>
      <c r="E27" s="32"/>
      <c r="F27" s="32"/>
    </row>
    <row r="28" spans="1:6" x14ac:dyDescent="0.2">
      <c r="A28" s="32"/>
      <c r="B28" s="32"/>
      <c r="C28" s="32"/>
      <c r="D28" s="238"/>
      <c r="E28" s="32"/>
      <c r="F28" s="32"/>
    </row>
    <row r="29" spans="1:6" ht="15.75" x14ac:dyDescent="0.2">
      <c r="A29" s="32"/>
      <c r="B29" s="865" t="s">
        <v>230</v>
      </c>
      <c r="C29" s="866"/>
      <c r="D29" s="236" t="str">
        <f>IF(D27&gt;0,(D27*0.001),"")</f>
        <v/>
      </c>
      <c r="E29" s="32"/>
      <c r="F29" s="32"/>
    </row>
    <row r="30" spans="1:6" x14ac:dyDescent="0.2">
      <c r="A30" s="32"/>
      <c r="B30" s="32"/>
      <c r="C30" s="32"/>
      <c r="D30" s="32"/>
      <c r="E30" s="32"/>
      <c r="F30" s="32"/>
    </row>
    <row r="31" spans="1:6" x14ac:dyDescent="0.2">
      <c r="A31" s="32"/>
      <c r="B31" s="32"/>
      <c r="C31" s="32"/>
      <c r="D31" s="32"/>
      <c r="E31" s="32"/>
      <c r="F31" s="32"/>
    </row>
    <row r="32" spans="1:6" x14ac:dyDescent="0.2">
      <c r="A32" s="32"/>
      <c r="B32" s="32"/>
      <c r="C32" s="32"/>
      <c r="D32" s="32"/>
      <c r="E32" s="32"/>
      <c r="F32" s="32"/>
    </row>
    <row r="33" spans="1:6" ht="15.75" x14ac:dyDescent="0.25">
      <c r="A33" s="4" t="str">
        <f>CONCATENATE("**This information comes from the ",F1," Budget Summary page.  See instructions tab #12 for completing")</f>
        <v>**This information comes from the 2025 Budget Summary page.  See instructions tab #12 for completing</v>
      </c>
      <c r="B33" s="32"/>
      <c r="C33" s="32"/>
      <c r="D33" s="32"/>
      <c r="E33" s="32"/>
      <c r="F33" s="32"/>
    </row>
    <row r="34" spans="1:6" ht="15.75" x14ac:dyDescent="0.25">
      <c r="A34" s="4" t="s">
        <v>317</v>
      </c>
      <c r="B34" s="32"/>
      <c r="C34" s="32"/>
      <c r="D34" s="32"/>
      <c r="E34" s="32"/>
      <c r="F34" s="32"/>
    </row>
    <row r="35" spans="1:6" ht="15.75" x14ac:dyDescent="0.25">
      <c r="A35" s="4"/>
      <c r="B35" s="32"/>
      <c r="C35" s="32"/>
      <c r="D35" s="32"/>
      <c r="E35" s="32"/>
      <c r="F35" s="32"/>
    </row>
    <row r="36" spans="1:6" ht="15.75" x14ac:dyDescent="0.25">
      <c r="A36" s="4"/>
      <c r="B36" s="32"/>
      <c r="C36" s="32"/>
      <c r="D36" s="32"/>
      <c r="E36" s="32"/>
      <c r="F36" s="32"/>
    </row>
    <row r="37" spans="1:6" ht="15.75" x14ac:dyDescent="0.25">
      <c r="A37" s="4"/>
      <c r="B37" s="32"/>
      <c r="C37" s="32"/>
      <c r="D37" s="32"/>
      <c r="E37" s="32"/>
      <c r="F37" s="32"/>
    </row>
    <row r="38" spans="1:6" ht="15.75" x14ac:dyDescent="0.25">
      <c r="A38" s="4"/>
      <c r="B38" s="32"/>
      <c r="C38" s="32"/>
      <c r="D38" s="32"/>
      <c r="E38" s="32"/>
      <c r="F38" s="32"/>
    </row>
    <row r="39" spans="1:6" x14ac:dyDescent="0.2">
      <c r="A39" s="32"/>
      <c r="B39" s="32"/>
      <c r="C39" s="32"/>
      <c r="D39" s="32"/>
      <c r="E39" s="32"/>
      <c r="F39" s="32"/>
    </row>
    <row r="40" spans="1:6" ht="15.75" x14ac:dyDescent="0.2">
      <c r="A40" s="32"/>
      <c r="B40" s="73" t="s">
        <v>78</v>
      </c>
      <c r="C40" s="186"/>
      <c r="D40" s="32"/>
      <c r="E40" s="32"/>
      <c r="F40" s="32"/>
    </row>
    <row r="41" spans="1:6" ht="15.75" x14ac:dyDescent="0.2">
      <c r="A41" s="49"/>
      <c r="B41" s="20"/>
      <c r="C41" s="20"/>
      <c r="D41" s="239"/>
      <c r="E41" s="49"/>
      <c r="F41" s="49"/>
    </row>
  </sheetData>
  <sheetProtection sheet="1"/>
  <mergeCells count="5">
    <mergeCell ref="B29:C29"/>
    <mergeCell ref="B3:E3"/>
    <mergeCell ref="A23:C23"/>
    <mergeCell ref="B25:C25"/>
    <mergeCell ref="A27:C27"/>
  </mergeCells>
  <phoneticPr fontId="8" type="noConversion"/>
  <pageMargins left="0.75" right="0.75" top="1" bottom="1" header="0.5" footer="0.5"/>
  <pageSetup scale="92" orientation="portrait" blackAndWhite="1" r:id="rId1"/>
  <headerFooter alignWithMargins="0">
    <oddHeader>&amp;RState of  Kansas
City</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C93E9-6193-4DDE-A350-4E5F711C2EAC}">
  <sheetPr codeName="Sheet43"/>
  <dimension ref="A1:H14"/>
  <sheetViews>
    <sheetView workbookViewId="0">
      <selection activeCell="I1" sqref="I1"/>
    </sheetView>
  </sheetViews>
  <sheetFormatPr defaultRowHeight="15" x14ac:dyDescent="0.2"/>
  <sheetData>
    <row r="1" spans="1:8" ht="15.75" x14ac:dyDescent="0.25">
      <c r="A1" s="927" t="s">
        <v>698</v>
      </c>
      <c r="B1" s="927"/>
      <c r="C1" s="927"/>
      <c r="D1" s="927"/>
      <c r="E1" s="927"/>
      <c r="F1" s="927"/>
      <c r="G1" s="927"/>
      <c r="H1" s="927"/>
    </row>
    <row r="2" spans="1:8" ht="15.75" x14ac:dyDescent="0.25">
      <c r="A2" s="1"/>
      <c r="B2" s="1"/>
      <c r="C2" s="1"/>
      <c r="D2" s="1"/>
      <c r="E2" s="1"/>
      <c r="F2" s="1"/>
      <c r="G2" s="1"/>
      <c r="H2" s="1"/>
    </row>
    <row r="3" spans="1:8" ht="15.75" x14ac:dyDescent="0.25">
      <c r="A3" s="928" t="s">
        <v>699</v>
      </c>
      <c r="B3" s="928"/>
      <c r="C3" s="928"/>
      <c r="D3" s="928"/>
      <c r="E3" s="928"/>
      <c r="F3" s="928"/>
      <c r="G3" s="928"/>
      <c r="H3" s="928"/>
    </row>
    <row r="4" spans="1:8" ht="15.75" x14ac:dyDescent="0.25">
      <c r="A4" s="1"/>
      <c r="B4" s="1"/>
      <c r="C4" s="1"/>
      <c r="D4" s="1"/>
      <c r="E4" s="1"/>
      <c r="F4" s="1"/>
      <c r="G4" s="1"/>
      <c r="H4" s="1"/>
    </row>
    <row r="5" spans="1:8" ht="15.75" x14ac:dyDescent="0.25">
      <c r="A5" s="749"/>
      <c r="B5" s="929" t="s">
        <v>700</v>
      </c>
      <c r="C5" s="929"/>
      <c r="D5" s="929"/>
      <c r="E5" s="929"/>
      <c r="F5" s="929"/>
      <c r="G5" s="929"/>
      <c r="H5" s="929"/>
    </row>
    <row r="6" spans="1:8" ht="15.75" x14ac:dyDescent="0.25">
      <c r="A6" s="1"/>
      <c r="B6" s="1"/>
      <c r="C6" s="1"/>
      <c r="D6" s="1"/>
      <c r="E6" s="1"/>
      <c r="F6" s="1"/>
      <c r="G6" s="1"/>
      <c r="H6" s="1"/>
    </row>
    <row r="7" spans="1:8" ht="15.75" x14ac:dyDescent="0.25">
      <c r="A7" s="749"/>
      <c r="B7" s="929" t="s">
        <v>701</v>
      </c>
      <c r="C7" s="929"/>
      <c r="D7" s="929"/>
      <c r="E7" s="929"/>
      <c r="F7" s="929"/>
      <c r="G7" s="929"/>
      <c r="H7" s="929"/>
    </row>
    <row r="8" spans="1:8" ht="15.75" x14ac:dyDescent="0.25">
      <c r="A8" s="1"/>
      <c r="B8" s="1"/>
      <c r="C8" s="1"/>
      <c r="D8" s="1"/>
      <c r="E8" s="1"/>
      <c r="F8" s="1"/>
      <c r="G8" s="1"/>
      <c r="H8" s="1"/>
    </row>
    <row r="9" spans="1:8" ht="15.75" x14ac:dyDescent="0.25">
      <c r="A9" s="930" t="s">
        <v>702</v>
      </c>
      <c r="B9" s="930"/>
      <c r="C9" s="930"/>
      <c r="D9" s="930"/>
      <c r="E9" s="930"/>
      <c r="F9" s="930"/>
      <c r="G9" s="930"/>
      <c r="H9" s="930"/>
    </row>
    <row r="10" spans="1:8" ht="15.75" x14ac:dyDescent="0.25">
      <c r="A10" s="1"/>
      <c r="B10" s="1"/>
      <c r="C10" s="1"/>
      <c r="D10" s="1"/>
      <c r="E10" s="1"/>
      <c r="F10" s="1"/>
      <c r="G10" s="1"/>
      <c r="H10" s="1"/>
    </row>
    <row r="11" spans="1:8" ht="15.75" x14ac:dyDescent="0.25">
      <c r="A11" s="1"/>
      <c r="B11" s="1"/>
      <c r="C11" s="1"/>
      <c r="D11" s="1"/>
      <c r="E11" s="1"/>
      <c r="F11" s="1"/>
      <c r="G11" s="1"/>
      <c r="H11" s="1"/>
    </row>
    <row r="12" spans="1:8" ht="15.75" x14ac:dyDescent="0.25">
      <c r="A12" s="1"/>
      <c r="B12" s="1"/>
      <c r="C12" s="1"/>
      <c r="D12" s="1"/>
      <c r="E12" s="1"/>
      <c r="F12" s="1"/>
      <c r="G12" s="1"/>
      <c r="H12" s="1"/>
    </row>
    <row r="13" spans="1:8" ht="15.75" x14ac:dyDescent="0.25">
      <c r="A13" s="1" t="s">
        <v>703</v>
      </c>
      <c r="B13" s="1"/>
      <c r="C13" s="1"/>
      <c r="D13" s="1"/>
      <c r="E13" s="1"/>
      <c r="F13" s="749"/>
      <c r="G13" s="749"/>
      <c r="H13" s="749"/>
    </row>
    <row r="14" spans="1:8" ht="15.75" x14ac:dyDescent="0.25">
      <c r="A14" s="1"/>
      <c r="B14" s="1"/>
      <c r="C14" s="1"/>
      <c r="D14" s="1"/>
      <c r="E14" s="1"/>
      <c r="F14" s="1" t="s">
        <v>704</v>
      </c>
    </row>
  </sheetData>
  <sheetProtection sheet="1" objects="1" scenarios="1"/>
  <mergeCells count="5">
    <mergeCell ref="A1:H1"/>
    <mergeCell ref="A3:H3"/>
    <mergeCell ref="B5:H5"/>
    <mergeCell ref="B7:H7"/>
    <mergeCell ref="A9:H9"/>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6AC94-0B12-4FE4-8859-3B2ADD16B792}">
  <sheetPr codeName="Sheet44"/>
  <dimension ref="A1:G22"/>
  <sheetViews>
    <sheetView workbookViewId="0">
      <selection sqref="A1:G1"/>
    </sheetView>
  </sheetViews>
  <sheetFormatPr defaultRowHeight="15.75" x14ac:dyDescent="0.25"/>
  <cols>
    <col min="1" max="3" width="11.5546875" style="755" customWidth="1"/>
    <col min="4" max="4" width="12.109375" style="755" customWidth="1"/>
    <col min="5" max="7" width="8.6640625" style="755" customWidth="1"/>
    <col min="8" max="256" width="8.88671875" style="755"/>
    <col min="257" max="260" width="11.5546875" style="755" customWidth="1"/>
    <col min="261" max="263" width="10.5546875" style="755" customWidth="1"/>
    <col min="264" max="512" width="8.88671875" style="755"/>
    <col min="513" max="516" width="11.5546875" style="755" customWidth="1"/>
    <col min="517" max="519" width="10.5546875" style="755" customWidth="1"/>
    <col min="520" max="768" width="8.88671875" style="755"/>
    <col min="769" max="772" width="11.5546875" style="755" customWidth="1"/>
    <col min="773" max="775" width="10.5546875" style="755" customWidth="1"/>
    <col min="776" max="1024" width="8.88671875" style="755"/>
    <col min="1025" max="1028" width="11.5546875" style="755" customWidth="1"/>
    <col min="1029" max="1031" width="10.5546875" style="755" customWidth="1"/>
    <col min="1032" max="1280" width="8.88671875" style="755"/>
    <col min="1281" max="1284" width="11.5546875" style="755" customWidth="1"/>
    <col min="1285" max="1287" width="10.5546875" style="755" customWidth="1"/>
    <col min="1288" max="1536" width="8.88671875" style="755"/>
    <col min="1537" max="1540" width="11.5546875" style="755" customWidth="1"/>
    <col min="1541" max="1543" width="10.5546875" style="755" customWidth="1"/>
    <col min="1544" max="1792" width="8.88671875" style="755"/>
    <col min="1793" max="1796" width="11.5546875" style="755" customWidth="1"/>
    <col min="1797" max="1799" width="10.5546875" style="755" customWidth="1"/>
    <col min="1800" max="2048" width="8.88671875" style="755"/>
    <col min="2049" max="2052" width="11.5546875" style="755" customWidth="1"/>
    <col min="2053" max="2055" width="10.5546875" style="755" customWidth="1"/>
    <col min="2056" max="2304" width="8.88671875" style="755"/>
    <col min="2305" max="2308" width="11.5546875" style="755" customWidth="1"/>
    <col min="2309" max="2311" width="10.5546875" style="755" customWidth="1"/>
    <col min="2312" max="2560" width="8.88671875" style="755"/>
    <col min="2561" max="2564" width="11.5546875" style="755" customWidth="1"/>
    <col min="2565" max="2567" width="10.5546875" style="755" customWidth="1"/>
    <col min="2568" max="2816" width="8.88671875" style="755"/>
    <col min="2817" max="2820" width="11.5546875" style="755" customWidth="1"/>
    <col min="2821" max="2823" width="10.5546875" style="755" customWidth="1"/>
    <col min="2824" max="3072" width="8.88671875" style="755"/>
    <col min="3073" max="3076" width="11.5546875" style="755" customWidth="1"/>
    <col min="3077" max="3079" width="10.5546875" style="755" customWidth="1"/>
    <col min="3080" max="3328" width="8.88671875" style="755"/>
    <col min="3329" max="3332" width="11.5546875" style="755" customWidth="1"/>
    <col min="3333" max="3335" width="10.5546875" style="755" customWidth="1"/>
    <col min="3336" max="3584" width="8.88671875" style="755"/>
    <col min="3585" max="3588" width="11.5546875" style="755" customWidth="1"/>
    <col min="3589" max="3591" width="10.5546875" style="755" customWidth="1"/>
    <col min="3592" max="3840" width="8.88671875" style="755"/>
    <col min="3841" max="3844" width="11.5546875" style="755" customWidth="1"/>
    <col min="3845" max="3847" width="10.5546875" style="755" customWidth="1"/>
    <col min="3848" max="4096" width="8.88671875" style="755"/>
    <col min="4097" max="4100" width="11.5546875" style="755" customWidth="1"/>
    <col min="4101" max="4103" width="10.5546875" style="755" customWidth="1"/>
    <col min="4104" max="4352" width="8.88671875" style="755"/>
    <col min="4353" max="4356" width="11.5546875" style="755" customWidth="1"/>
    <col min="4357" max="4359" width="10.5546875" style="755" customWidth="1"/>
    <col min="4360" max="4608" width="8.88671875" style="755"/>
    <col min="4609" max="4612" width="11.5546875" style="755" customWidth="1"/>
    <col min="4613" max="4615" width="10.5546875" style="755" customWidth="1"/>
    <col min="4616" max="4864" width="8.88671875" style="755"/>
    <col min="4865" max="4868" width="11.5546875" style="755" customWidth="1"/>
    <col min="4869" max="4871" width="10.5546875" style="755" customWidth="1"/>
    <col min="4872" max="5120" width="8.88671875" style="755"/>
    <col min="5121" max="5124" width="11.5546875" style="755" customWidth="1"/>
    <col min="5125" max="5127" width="10.5546875" style="755" customWidth="1"/>
    <col min="5128" max="5376" width="8.88671875" style="755"/>
    <col min="5377" max="5380" width="11.5546875" style="755" customWidth="1"/>
    <col min="5381" max="5383" width="10.5546875" style="755" customWidth="1"/>
    <col min="5384" max="5632" width="8.88671875" style="755"/>
    <col min="5633" max="5636" width="11.5546875" style="755" customWidth="1"/>
    <col min="5637" max="5639" width="10.5546875" style="755" customWidth="1"/>
    <col min="5640" max="5888" width="8.88671875" style="755"/>
    <col min="5889" max="5892" width="11.5546875" style="755" customWidth="1"/>
    <col min="5893" max="5895" width="10.5546875" style="755" customWidth="1"/>
    <col min="5896" max="6144" width="8.88671875" style="755"/>
    <col min="6145" max="6148" width="11.5546875" style="755" customWidth="1"/>
    <col min="6149" max="6151" width="10.5546875" style="755" customWidth="1"/>
    <col min="6152" max="6400" width="8.88671875" style="755"/>
    <col min="6401" max="6404" width="11.5546875" style="755" customWidth="1"/>
    <col min="6405" max="6407" width="10.5546875" style="755" customWidth="1"/>
    <col min="6408" max="6656" width="8.88671875" style="755"/>
    <col min="6657" max="6660" width="11.5546875" style="755" customWidth="1"/>
    <col min="6661" max="6663" width="10.5546875" style="755" customWidth="1"/>
    <col min="6664" max="6912" width="8.88671875" style="755"/>
    <col min="6913" max="6916" width="11.5546875" style="755" customWidth="1"/>
    <col min="6917" max="6919" width="10.5546875" style="755" customWidth="1"/>
    <col min="6920" max="7168" width="8.88671875" style="755"/>
    <col min="7169" max="7172" width="11.5546875" style="755" customWidth="1"/>
    <col min="7173" max="7175" width="10.5546875" style="755" customWidth="1"/>
    <col min="7176" max="7424" width="8.88671875" style="755"/>
    <col min="7425" max="7428" width="11.5546875" style="755" customWidth="1"/>
    <col min="7429" max="7431" width="10.5546875" style="755" customWidth="1"/>
    <col min="7432" max="7680" width="8.88671875" style="755"/>
    <col min="7681" max="7684" width="11.5546875" style="755" customWidth="1"/>
    <col min="7685" max="7687" width="10.5546875" style="755" customWidth="1"/>
    <col min="7688" max="7936" width="8.88671875" style="755"/>
    <col min="7937" max="7940" width="11.5546875" style="755" customWidth="1"/>
    <col min="7941" max="7943" width="10.5546875" style="755" customWidth="1"/>
    <col min="7944" max="8192" width="8.88671875" style="755"/>
    <col min="8193" max="8196" width="11.5546875" style="755" customWidth="1"/>
    <col min="8197" max="8199" width="10.5546875" style="755" customWidth="1"/>
    <col min="8200" max="8448" width="8.88671875" style="755"/>
    <col min="8449" max="8452" width="11.5546875" style="755" customWidth="1"/>
    <col min="8453" max="8455" width="10.5546875" style="755" customWidth="1"/>
    <col min="8456" max="8704" width="8.88671875" style="755"/>
    <col min="8705" max="8708" width="11.5546875" style="755" customWidth="1"/>
    <col min="8709" max="8711" width="10.5546875" style="755" customWidth="1"/>
    <col min="8712" max="8960" width="8.88671875" style="755"/>
    <col min="8961" max="8964" width="11.5546875" style="755" customWidth="1"/>
    <col min="8965" max="8967" width="10.5546875" style="755" customWidth="1"/>
    <col min="8968" max="9216" width="8.88671875" style="755"/>
    <col min="9217" max="9220" width="11.5546875" style="755" customWidth="1"/>
    <col min="9221" max="9223" width="10.5546875" style="755" customWidth="1"/>
    <col min="9224" max="9472" width="8.88671875" style="755"/>
    <col min="9473" max="9476" width="11.5546875" style="755" customWidth="1"/>
    <col min="9477" max="9479" width="10.5546875" style="755" customWidth="1"/>
    <col min="9480" max="9728" width="8.88671875" style="755"/>
    <col min="9729" max="9732" width="11.5546875" style="755" customWidth="1"/>
    <col min="9733" max="9735" width="10.5546875" style="755" customWidth="1"/>
    <col min="9736" max="9984" width="8.88671875" style="755"/>
    <col min="9985" max="9988" width="11.5546875" style="755" customWidth="1"/>
    <col min="9989" max="9991" width="10.5546875" style="755" customWidth="1"/>
    <col min="9992" max="10240" width="8.88671875" style="755"/>
    <col min="10241" max="10244" width="11.5546875" style="755" customWidth="1"/>
    <col min="10245" max="10247" width="10.5546875" style="755" customWidth="1"/>
    <col min="10248" max="10496" width="8.88671875" style="755"/>
    <col min="10497" max="10500" width="11.5546875" style="755" customWidth="1"/>
    <col min="10501" max="10503" width="10.5546875" style="755" customWidth="1"/>
    <col min="10504" max="10752" width="8.88671875" style="755"/>
    <col min="10753" max="10756" width="11.5546875" style="755" customWidth="1"/>
    <col min="10757" max="10759" width="10.5546875" style="755" customWidth="1"/>
    <col min="10760" max="11008" width="8.88671875" style="755"/>
    <col min="11009" max="11012" width="11.5546875" style="755" customWidth="1"/>
    <col min="11013" max="11015" width="10.5546875" style="755" customWidth="1"/>
    <col min="11016" max="11264" width="8.88671875" style="755"/>
    <col min="11265" max="11268" width="11.5546875" style="755" customWidth="1"/>
    <col min="11269" max="11271" width="10.5546875" style="755" customWidth="1"/>
    <col min="11272" max="11520" width="8.88671875" style="755"/>
    <col min="11521" max="11524" width="11.5546875" style="755" customWidth="1"/>
    <col min="11525" max="11527" width="10.5546875" style="755" customWidth="1"/>
    <col min="11528" max="11776" width="8.88671875" style="755"/>
    <col min="11777" max="11780" width="11.5546875" style="755" customWidth="1"/>
    <col min="11781" max="11783" width="10.5546875" style="755" customWidth="1"/>
    <col min="11784" max="12032" width="8.88671875" style="755"/>
    <col min="12033" max="12036" width="11.5546875" style="755" customWidth="1"/>
    <col min="12037" max="12039" width="10.5546875" style="755" customWidth="1"/>
    <col min="12040" max="12288" width="8.88671875" style="755"/>
    <col min="12289" max="12292" width="11.5546875" style="755" customWidth="1"/>
    <col min="12293" max="12295" width="10.5546875" style="755" customWidth="1"/>
    <col min="12296" max="12544" width="8.88671875" style="755"/>
    <col min="12545" max="12548" width="11.5546875" style="755" customWidth="1"/>
    <col min="12549" max="12551" width="10.5546875" style="755" customWidth="1"/>
    <col min="12552" max="12800" width="8.88671875" style="755"/>
    <col min="12801" max="12804" width="11.5546875" style="755" customWidth="1"/>
    <col min="12805" max="12807" width="10.5546875" style="755" customWidth="1"/>
    <col min="12808" max="13056" width="8.88671875" style="755"/>
    <col min="13057" max="13060" width="11.5546875" style="755" customWidth="1"/>
    <col min="13061" max="13063" width="10.5546875" style="755" customWidth="1"/>
    <col min="13064" max="13312" width="8.88671875" style="755"/>
    <col min="13313" max="13316" width="11.5546875" style="755" customWidth="1"/>
    <col min="13317" max="13319" width="10.5546875" style="755" customWidth="1"/>
    <col min="13320" max="13568" width="8.88671875" style="755"/>
    <col min="13569" max="13572" width="11.5546875" style="755" customWidth="1"/>
    <col min="13573" max="13575" width="10.5546875" style="755" customWidth="1"/>
    <col min="13576" max="13824" width="8.88671875" style="755"/>
    <col min="13825" max="13828" width="11.5546875" style="755" customWidth="1"/>
    <col min="13829" max="13831" width="10.5546875" style="755" customWidth="1"/>
    <col min="13832" max="14080" width="8.88671875" style="755"/>
    <col min="14081" max="14084" width="11.5546875" style="755" customWidth="1"/>
    <col min="14085" max="14087" width="10.5546875" style="755" customWidth="1"/>
    <col min="14088" max="14336" width="8.88671875" style="755"/>
    <col min="14337" max="14340" width="11.5546875" style="755" customWidth="1"/>
    <col min="14341" max="14343" width="10.5546875" style="755" customWidth="1"/>
    <col min="14344" max="14592" width="8.88671875" style="755"/>
    <col min="14593" max="14596" width="11.5546875" style="755" customWidth="1"/>
    <col min="14597" max="14599" width="10.5546875" style="755" customWidth="1"/>
    <col min="14600" max="14848" width="8.88671875" style="755"/>
    <col min="14849" max="14852" width="11.5546875" style="755" customWidth="1"/>
    <col min="14853" max="14855" width="10.5546875" style="755" customWidth="1"/>
    <col min="14856" max="15104" width="8.88671875" style="755"/>
    <col min="15105" max="15108" width="11.5546875" style="755" customWidth="1"/>
    <col min="15109" max="15111" width="10.5546875" style="755" customWidth="1"/>
    <col min="15112" max="15360" width="8.88671875" style="755"/>
    <col min="15361" max="15364" width="11.5546875" style="755" customWidth="1"/>
    <col min="15365" max="15367" width="10.5546875" style="755" customWidth="1"/>
    <col min="15368" max="15616" width="8.88671875" style="755"/>
    <col min="15617" max="15620" width="11.5546875" style="755" customWidth="1"/>
    <col min="15621" max="15623" width="10.5546875" style="755" customWidth="1"/>
    <col min="15624" max="15872" width="8.88671875" style="755"/>
    <col min="15873" max="15876" width="11.5546875" style="755" customWidth="1"/>
    <col min="15877" max="15879" width="10.5546875" style="755" customWidth="1"/>
    <col min="15880" max="16128" width="8.88671875" style="755"/>
    <col min="16129" max="16132" width="11.5546875" style="755" customWidth="1"/>
    <col min="16133" max="16135" width="10.5546875" style="755" customWidth="1"/>
    <col min="16136" max="16384" width="8.88671875" style="755"/>
  </cols>
  <sheetData>
    <row r="1" spans="1:7" ht="18.75" x14ac:dyDescent="0.3">
      <c r="A1" s="938" t="s">
        <v>722</v>
      </c>
      <c r="B1" s="938"/>
      <c r="C1" s="938"/>
      <c r="D1" s="938"/>
      <c r="E1" s="938"/>
      <c r="F1" s="938"/>
      <c r="G1" s="938"/>
    </row>
    <row r="2" spans="1:7" x14ac:dyDescent="0.25">
      <c r="A2" s="756"/>
      <c r="B2" s="756"/>
      <c r="C2" s="756"/>
      <c r="D2" s="756"/>
      <c r="E2" s="756"/>
      <c r="F2" s="756"/>
      <c r="G2" s="756"/>
    </row>
    <row r="3" spans="1:7" ht="32.25" customHeight="1" x14ac:dyDescent="0.25">
      <c r="A3" s="939" t="s">
        <v>723</v>
      </c>
      <c r="B3" s="939"/>
      <c r="C3" s="939"/>
      <c r="D3" s="939"/>
      <c r="E3" s="939"/>
      <c r="F3" s="939"/>
      <c r="G3" s="939"/>
    </row>
    <row r="4" spans="1:7" ht="8.25" customHeight="1" x14ac:dyDescent="0.25">
      <c r="A4" s="757"/>
      <c r="B4" s="757"/>
      <c r="C4" s="757"/>
      <c r="D4" s="757"/>
      <c r="E4" s="757"/>
      <c r="F4" s="757"/>
      <c r="G4" s="757"/>
    </row>
    <row r="5" spans="1:7" x14ac:dyDescent="0.25">
      <c r="A5" s="940" t="s">
        <v>724</v>
      </c>
      <c r="B5" s="940"/>
      <c r="C5" s="940"/>
      <c r="D5" s="940"/>
      <c r="E5" s="940"/>
      <c r="F5" s="940"/>
      <c r="G5" s="940"/>
    </row>
    <row r="6" spans="1:7" ht="8.25" customHeight="1" x14ac:dyDescent="0.25">
      <c r="A6" s="758"/>
      <c r="B6" s="758"/>
      <c r="C6" s="758"/>
      <c r="D6" s="758"/>
      <c r="E6" s="758"/>
      <c r="F6" s="758"/>
      <c r="G6" s="758"/>
    </row>
    <row r="7" spans="1:7" x14ac:dyDescent="0.25">
      <c r="A7" s="940" t="s">
        <v>725</v>
      </c>
      <c r="B7" s="940"/>
      <c r="C7" s="940"/>
      <c r="D7" s="940"/>
      <c r="E7" s="940"/>
      <c r="F7" s="940"/>
      <c r="G7" s="940"/>
    </row>
    <row r="8" spans="1:7" x14ac:dyDescent="0.25">
      <c r="A8" s="758"/>
      <c r="B8" s="758"/>
      <c r="C8" s="758"/>
      <c r="D8" s="758"/>
      <c r="E8" s="758"/>
      <c r="F8" s="758"/>
      <c r="G8" s="758"/>
    </row>
    <row r="9" spans="1:7" ht="22.5" customHeight="1" x14ac:dyDescent="0.25">
      <c r="A9" s="941" t="s">
        <v>726</v>
      </c>
      <c r="B9" s="942"/>
      <c r="C9" s="942"/>
      <c r="D9" s="943"/>
      <c r="E9" s="759" t="s">
        <v>727</v>
      </c>
      <c r="F9" s="759" t="s">
        <v>728</v>
      </c>
      <c r="G9" s="759" t="s">
        <v>729</v>
      </c>
    </row>
    <row r="10" spans="1:7" ht="22.5" customHeight="1" x14ac:dyDescent="0.25">
      <c r="A10" s="935"/>
      <c r="B10" s="936"/>
      <c r="C10" s="936"/>
      <c r="D10" s="937"/>
      <c r="E10" s="760"/>
      <c r="F10" s="760"/>
      <c r="G10" s="760"/>
    </row>
    <row r="11" spans="1:7" ht="22.5" customHeight="1" x14ac:dyDescent="0.25">
      <c r="A11" s="935"/>
      <c r="B11" s="936"/>
      <c r="C11" s="936"/>
      <c r="D11" s="937"/>
      <c r="E11" s="760"/>
      <c r="F11" s="760"/>
      <c r="G11" s="760"/>
    </row>
    <row r="12" spans="1:7" ht="22.5" customHeight="1" x14ac:dyDescent="0.25">
      <c r="A12" s="931"/>
      <c r="B12" s="931"/>
      <c r="C12" s="931"/>
      <c r="D12" s="931"/>
      <c r="E12" s="760"/>
      <c r="F12" s="760"/>
      <c r="G12" s="760"/>
    </row>
    <row r="13" spans="1:7" ht="22.5" customHeight="1" x14ac:dyDescent="0.25">
      <c r="A13" s="931"/>
      <c r="B13" s="931"/>
      <c r="C13" s="931"/>
      <c r="D13" s="931"/>
      <c r="E13" s="760"/>
      <c r="F13" s="760"/>
      <c r="G13" s="760"/>
    </row>
    <row r="14" spans="1:7" ht="22.5" customHeight="1" x14ac:dyDescent="0.25">
      <c r="A14" s="931"/>
      <c r="B14" s="931"/>
      <c r="C14" s="931"/>
      <c r="D14" s="931"/>
      <c r="E14" s="760"/>
      <c r="F14" s="760"/>
      <c r="G14" s="760"/>
    </row>
    <row r="15" spans="1:7" ht="22.5" customHeight="1" x14ac:dyDescent="0.25">
      <c r="A15" s="931"/>
      <c r="B15" s="931"/>
      <c r="C15" s="931"/>
      <c r="D15" s="931"/>
      <c r="E15" s="760"/>
      <c r="F15" s="760"/>
      <c r="G15" s="760"/>
    </row>
    <row r="16" spans="1:7" ht="22.5" customHeight="1" x14ac:dyDescent="0.25">
      <c r="A16" s="931"/>
      <c r="B16" s="931"/>
      <c r="C16" s="931"/>
      <c r="D16" s="931"/>
      <c r="E16" s="760"/>
      <c r="F16" s="760"/>
      <c r="G16" s="760"/>
    </row>
    <row r="17" spans="1:7" ht="22.5" customHeight="1" x14ac:dyDescent="0.25">
      <c r="A17" s="931"/>
      <c r="B17" s="931"/>
      <c r="C17" s="931"/>
      <c r="D17" s="931"/>
      <c r="E17" s="760"/>
      <c r="F17" s="760"/>
      <c r="G17" s="760"/>
    </row>
    <row r="18" spans="1:7" ht="22.5" customHeight="1" thickBot="1" x14ac:dyDescent="0.3">
      <c r="A18" s="932"/>
      <c r="B18" s="932"/>
      <c r="C18" s="932"/>
      <c r="D18" s="932"/>
      <c r="E18" s="761"/>
      <c r="F18" s="761"/>
      <c r="G18" s="761"/>
    </row>
    <row r="19" spans="1:7" ht="22.5" customHeight="1" thickTop="1" x14ac:dyDescent="0.25">
      <c r="A19" s="933" t="s">
        <v>55</v>
      </c>
      <c r="B19" s="933"/>
      <c r="C19" s="933"/>
      <c r="D19" s="933"/>
      <c r="E19" s="762"/>
      <c r="F19" s="762"/>
      <c r="G19" s="762"/>
    </row>
    <row r="21" spans="1:7" x14ac:dyDescent="0.25">
      <c r="A21" s="763" t="s">
        <v>730</v>
      </c>
      <c r="B21" s="764"/>
    </row>
    <row r="22" spans="1:7" x14ac:dyDescent="0.25">
      <c r="A22" s="934"/>
      <c r="B22" s="934"/>
      <c r="C22" s="934"/>
    </row>
  </sheetData>
  <sheetProtection sheet="1" objects="1" scenarios="1"/>
  <mergeCells count="16">
    <mergeCell ref="A10:D10"/>
    <mergeCell ref="A1:G1"/>
    <mergeCell ref="A3:G3"/>
    <mergeCell ref="A5:G5"/>
    <mergeCell ref="A7:G7"/>
    <mergeCell ref="A9:D9"/>
    <mergeCell ref="A17:D17"/>
    <mergeCell ref="A18:D18"/>
    <mergeCell ref="A19:D19"/>
    <mergeCell ref="A22:C22"/>
    <mergeCell ref="A11:D11"/>
    <mergeCell ref="A12:D12"/>
    <mergeCell ref="A13:D13"/>
    <mergeCell ref="A14:D14"/>
    <mergeCell ref="A15:D15"/>
    <mergeCell ref="A16:D16"/>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16D0F-B4E0-4E04-B38D-2DCD4AF9C74E}">
  <sheetPr codeName="Sheet45"/>
  <dimension ref="A1:G16"/>
  <sheetViews>
    <sheetView workbookViewId="0">
      <selection activeCell="A9" sqref="A9:G9"/>
    </sheetView>
  </sheetViews>
  <sheetFormatPr defaultRowHeight="15.75" x14ac:dyDescent="0.25"/>
  <cols>
    <col min="1" max="1" width="8.88671875" style="1"/>
    <col min="4" max="4" width="18" customWidth="1"/>
    <col min="7" max="7" width="12.77734375" customWidth="1"/>
  </cols>
  <sheetData>
    <row r="1" spans="1:7" x14ac:dyDescent="0.25">
      <c r="A1" s="930" t="s">
        <v>705</v>
      </c>
      <c r="B1" s="930"/>
      <c r="C1" s="930"/>
      <c r="D1" s="930"/>
      <c r="E1" s="930"/>
      <c r="F1" s="930"/>
      <c r="G1" s="930"/>
    </row>
    <row r="3" spans="1:7" ht="55.5" customHeight="1" x14ac:dyDescent="0.25">
      <c r="A3" s="944" t="s">
        <v>706</v>
      </c>
      <c r="B3" s="944"/>
      <c r="C3" s="944"/>
      <c r="D3" s="944"/>
      <c r="E3" s="944"/>
      <c r="F3" s="944"/>
      <c r="G3" s="944"/>
    </row>
    <row r="4" spans="1:7" ht="55.5" customHeight="1" x14ac:dyDescent="0.25">
      <c r="A4" s="945" t="s">
        <v>707</v>
      </c>
      <c r="B4" s="945"/>
      <c r="C4" s="945"/>
      <c r="D4" s="945"/>
      <c r="E4" s="945"/>
      <c r="F4" s="945"/>
      <c r="G4" s="945"/>
    </row>
    <row r="5" spans="1:7" ht="55.5" customHeight="1" x14ac:dyDescent="0.25">
      <c r="A5" s="945" t="s">
        <v>708</v>
      </c>
      <c r="B5" s="945"/>
      <c r="C5" s="945"/>
      <c r="D5" s="945"/>
      <c r="E5" s="945"/>
      <c r="F5" s="945"/>
      <c r="G5" s="945"/>
    </row>
    <row r="6" spans="1:7" ht="55.5" customHeight="1" x14ac:dyDescent="0.25">
      <c r="A6" s="945" t="s">
        <v>709</v>
      </c>
      <c r="B6" s="945"/>
      <c r="C6" s="945"/>
      <c r="D6" s="945"/>
      <c r="E6" s="945"/>
      <c r="F6" s="945"/>
      <c r="G6" s="945"/>
    </row>
    <row r="7" spans="1:7" ht="55.5" customHeight="1" x14ac:dyDescent="0.25">
      <c r="A7" s="945" t="s">
        <v>710</v>
      </c>
      <c r="B7" s="945"/>
      <c r="C7" s="945"/>
      <c r="D7" s="945"/>
      <c r="E7" s="945"/>
      <c r="F7" s="945"/>
      <c r="G7" s="945"/>
    </row>
    <row r="8" spans="1:7" ht="55.5" customHeight="1" x14ac:dyDescent="0.25">
      <c r="A8" s="944" t="s">
        <v>711</v>
      </c>
      <c r="B8" s="944"/>
      <c r="C8" s="944"/>
      <c r="D8" s="944"/>
      <c r="E8" s="944"/>
      <c r="F8" s="944"/>
      <c r="G8" s="944"/>
    </row>
    <row r="9" spans="1:7" ht="55.5" customHeight="1" x14ac:dyDescent="0.25">
      <c r="A9" s="945" t="s">
        <v>712</v>
      </c>
      <c r="B9" s="945"/>
      <c r="C9" s="945"/>
      <c r="D9" s="945"/>
      <c r="E9" s="945"/>
      <c r="F9" s="945"/>
      <c r="G9" s="945"/>
    </row>
    <row r="10" spans="1:7" ht="55.5" customHeight="1" x14ac:dyDescent="0.25">
      <c r="A10" s="945" t="s">
        <v>713</v>
      </c>
      <c r="B10" s="945"/>
      <c r="C10" s="945"/>
      <c r="D10" s="945"/>
      <c r="E10" s="945"/>
      <c r="F10" s="945"/>
      <c r="G10" s="945"/>
    </row>
    <row r="11" spans="1:7" ht="55.5" customHeight="1" x14ac:dyDescent="0.25">
      <c r="A11" s="945" t="s">
        <v>714</v>
      </c>
      <c r="B11" s="945"/>
      <c r="C11" s="945"/>
      <c r="D11" s="945"/>
      <c r="E11" s="945"/>
      <c r="F11" s="945"/>
      <c r="G11" s="945"/>
    </row>
    <row r="12" spans="1:7" ht="15.75" customHeight="1" x14ac:dyDescent="0.25">
      <c r="A12" s="929" t="s">
        <v>715</v>
      </c>
      <c r="B12" s="929"/>
      <c r="C12" s="929"/>
      <c r="D12" s="929"/>
      <c r="E12" s="929"/>
      <c r="F12" s="929"/>
      <c r="G12" s="929"/>
    </row>
    <row r="13" spans="1:7" ht="15.75" customHeight="1" x14ac:dyDescent="0.25">
      <c r="A13" s="929" t="s">
        <v>716</v>
      </c>
      <c r="B13" s="929"/>
      <c r="C13" s="929"/>
      <c r="D13" s="929"/>
      <c r="E13" s="929"/>
      <c r="F13" s="929"/>
      <c r="G13" s="929"/>
    </row>
    <row r="14" spans="1:7" ht="15.75" customHeight="1" x14ac:dyDescent="0.25">
      <c r="A14" s="929" t="s">
        <v>717</v>
      </c>
      <c r="B14" s="929"/>
      <c r="C14" s="929"/>
      <c r="D14" s="929"/>
      <c r="E14" s="929"/>
      <c r="F14" s="929"/>
      <c r="G14" s="929"/>
    </row>
    <row r="15" spans="1:7" ht="15.75" customHeight="1" x14ac:dyDescent="0.25">
      <c r="A15" s="929" t="s">
        <v>718</v>
      </c>
      <c r="B15" s="929"/>
      <c r="C15" s="929"/>
      <c r="D15" s="929"/>
      <c r="E15" s="929"/>
      <c r="F15" s="929"/>
      <c r="G15" s="929"/>
    </row>
    <row r="16" spans="1:7" ht="15.75" customHeight="1" x14ac:dyDescent="0.25">
      <c r="A16" s="929" t="s">
        <v>719</v>
      </c>
      <c r="B16" s="929"/>
      <c r="C16" s="929"/>
      <c r="D16" s="929"/>
      <c r="E16" s="929"/>
      <c r="F16" s="929"/>
      <c r="G16" s="929"/>
    </row>
  </sheetData>
  <sheetProtection sheet="1" objects="1" scenarios="1"/>
  <mergeCells count="15">
    <mergeCell ref="A7:G7"/>
    <mergeCell ref="A1:G1"/>
    <mergeCell ref="A3:G3"/>
    <mergeCell ref="A4:G4"/>
    <mergeCell ref="A5:G5"/>
    <mergeCell ref="A6:G6"/>
    <mergeCell ref="A14:G14"/>
    <mergeCell ref="A15:G15"/>
    <mergeCell ref="A16:G16"/>
    <mergeCell ref="A8:G8"/>
    <mergeCell ref="A9:G9"/>
    <mergeCell ref="A10:G10"/>
    <mergeCell ref="A11:G11"/>
    <mergeCell ref="A12:G12"/>
    <mergeCell ref="A13:G1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ED14A-240A-45C0-A817-534099589C40}">
  <sheetPr codeName="Sheet46">
    <tabColor rgb="FFFF0000"/>
  </sheetPr>
  <dimension ref="A1:L64"/>
  <sheetViews>
    <sheetView workbookViewId="0">
      <selection activeCell="A5" sqref="A5"/>
    </sheetView>
  </sheetViews>
  <sheetFormatPr defaultRowHeight="15.75" x14ac:dyDescent="0.25"/>
  <cols>
    <col min="1" max="1" width="67" style="1" customWidth="1"/>
  </cols>
  <sheetData>
    <row r="1" spans="1:12" ht="15.75" customHeight="1" x14ac:dyDescent="0.2">
      <c r="A1" s="946" t="s">
        <v>664</v>
      </c>
    </row>
    <row r="2" spans="1:12" ht="15.75" customHeight="1" x14ac:dyDescent="0.2">
      <c r="A2" s="947"/>
    </row>
    <row r="3" spans="1:12" x14ac:dyDescent="0.25">
      <c r="A3" s="741" t="s">
        <v>295</v>
      </c>
      <c r="B3" s="765"/>
      <c r="C3" s="765"/>
      <c r="D3" s="765"/>
      <c r="E3" s="765"/>
      <c r="F3" s="765"/>
      <c r="G3" s="765"/>
      <c r="H3" s="765"/>
      <c r="I3" s="765"/>
      <c r="J3" s="765"/>
      <c r="K3" s="765"/>
      <c r="L3" s="765"/>
    </row>
    <row r="5" spans="1:12" x14ac:dyDescent="0.25">
      <c r="A5" s="1" t="str">
        <f>CONCATENATE("Welcome. You have been directed to this tab because your ",inputPrYr!C6-2," total expenditures exceed your ")</f>
        <v xml:space="preserve">Welcome. You have been directed to this tab because your 2023 total expenditures exceed your </v>
      </c>
    </row>
    <row r="6" spans="1:12" x14ac:dyDescent="0.25">
      <c r="A6" s="1" t="str">
        <f>CONCATENATE(inputPrYr!C6-2," budget authority.")</f>
        <v>2023 budget authority.</v>
      </c>
    </row>
    <row r="8" spans="1:12" x14ac:dyDescent="0.25">
      <c r="A8" s="1" t="s">
        <v>731</v>
      </c>
    </row>
    <row r="9" spans="1:12" x14ac:dyDescent="0.25">
      <c r="A9" s="1" t="s">
        <v>732</v>
      </c>
    </row>
    <row r="11" spans="1:12" x14ac:dyDescent="0.25">
      <c r="A11" s="742" t="s">
        <v>296</v>
      </c>
    </row>
    <row r="13" spans="1:12" x14ac:dyDescent="0.25">
      <c r="A13" s="1" t="s">
        <v>733</v>
      </c>
    </row>
    <row r="14" spans="1:12" x14ac:dyDescent="0.25">
      <c r="A14" s="1" t="str">
        <f>CONCATENATE("or the ",inputPrYr!C6," adopted budget has not been submitted to the county clerk) then the budget violation")</f>
        <v>or the 2025 adopted budget has not been submitted to the county clerk) then the budget violation</v>
      </c>
    </row>
    <row r="15" spans="1:12" x14ac:dyDescent="0.25">
      <c r="A15" s="1" t="s">
        <v>734</v>
      </c>
    </row>
    <row r="17" spans="1:1" x14ac:dyDescent="0.25">
      <c r="A17" s="742" t="s">
        <v>297</v>
      </c>
    </row>
    <row r="18" spans="1:1" x14ac:dyDescent="0.25">
      <c r="A18" s="742"/>
    </row>
    <row r="19" spans="1:1" x14ac:dyDescent="0.25">
      <c r="A19" s="1" t="s">
        <v>735</v>
      </c>
    </row>
    <row r="20" spans="1:1" x14ac:dyDescent="0.25">
      <c r="A20" s="1" t="str">
        <f>CONCATENATE("entered for this particular fund.  If your ",inputPrYr!C6-2," budget was amended, did you use the amended,")</f>
        <v>entered for this particular fund.  If your 2023 budget was amended, did you use the amended,</v>
      </c>
    </row>
    <row r="21" spans="1:1" x14ac:dyDescent="0.25">
      <c r="A21" s="1" t="s">
        <v>736</v>
      </c>
    </row>
    <row r="23" spans="1:1" x14ac:dyDescent="0.25">
      <c r="A23" s="1" t="str">
        <f>CONCATENATE("Next, look to see if any of your ",inputPrYr!C6-2," expenditures can be reduced or eliminated. For example,")</f>
        <v>Next, look to see if any of your 2023 expenditures can be reduced or eliminated. For example,</v>
      </c>
    </row>
    <row r="24" spans="1:1" x14ac:dyDescent="0.25">
      <c r="A24" s="1" t="s">
        <v>737</v>
      </c>
    </row>
    <row r="25" spans="1:1" x14ac:dyDescent="0.25">
      <c r="A25" s="1" t="s">
        <v>738</v>
      </c>
    </row>
    <row r="27" spans="1:1" x14ac:dyDescent="0.25">
      <c r="A27" s="1" t="str">
        <f>CONCATENATE("Additionally, do your ",inputPrYr!C6-2," receipts contain a reimbursement (e.g. FEMA)? If so, instead of")</f>
        <v>Additionally, do your 2023 receipts contain a reimbursement (e.g. FEMA)? If so, instead of</v>
      </c>
    </row>
    <row r="28" spans="1:1" x14ac:dyDescent="0.25">
      <c r="A28" s="1" t="s">
        <v>739</v>
      </c>
    </row>
    <row r="30" spans="1:1" x14ac:dyDescent="0.25">
      <c r="A30" s="1" t="s">
        <v>740</v>
      </c>
    </row>
    <row r="31" spans="1:1" x14ac:dyDescent="0.25">
      <c r="A31" s="1" t="s">
        <v>741</v>
      </c>
    </row>
    <row r="32" spans="1:1" x14ac:dyDescent="0.25">
      <c r="A32" s="1" t="s">
        <v>742</v>
      </c>
    </row>
    <row r="33" spans="1:1" x14ac:dyDescent="0.25">
      <c r="A33" s="1" t="s">
        <v>743</v>
      </c>
    </row>
    <row r="34" spans="1:1" x14ac:dyDescent="0.25">
      <c r="A34" s="1" t="s">
        <v>298</v>
      </c>
    </row>
    <row r="36" spans="1:1" x14ac:dyDescent="0.25">
      <c r="A36" s="1" t="s">
        <v>744</v>
      </c>
    </row>
    <row r="37" spans="1:1" x14ac:dyDescent="0.25">
      <c r="A37" s="1" t="s">
        <v>745</v>
      </c>
    </row>
    <row r="39" spans="1:1" x14ac:dyDescent="0.25">
      <c r="A39" s="1" t="s">
        <v>746</v>
      </c>
    </row>
    <row r="40" spans="1:1" x14ac:dyDescent="0.25">
      <c r="A40" s="1" t="s">
        <v>747</v>
      </c>
    </row>
    <row r="42" spans="1:1" x14ac:dyDescent="0.25">
      <c r="A42" s="742" t="s">
        <v>299</v>
      </c>
    </row>
    <row r="44" spans="1:1" x14ac:dyDescent="0.25">
      <c r="A44" s="1" t="s">
        <v>748</v>
      </c>
    </row>
    <row r="45" spans="1:1" x14ac:dyDescent="0.25">
      <c r="A45" s="1" t="s">
        <v>749</v>
      </c>
    </row>
    <row r="46" spans="1:1" x14ac:dyDescent="0.25">
      <c r="A46" s="1" t="s">
        <v>750</v>
      </c>
    </row>
    <row r="47" spans="1:1" x14ac:dyDescent="0.25">
      <c r="A47" s="1" t="s">
        <v>751</v>
      </c>
    </row>
    <row r="48" spans="1:1" x14ac:dyDescent="0.25">
      <c r="A48" s="1" t="s">
        <v>752</v>
      </c>
    </row>
    <row r="49" spans="1:1" x14ac:dyDescent="0.25">
      <c r="A49" s="1" t="s">
        <v>753</v>
      </c>
    </row>
    <row r="50" spans="1:1" x14ac:dyDescent="0.25">
      <c r="A50" s="1" t="s">
        <v>754</v>
      </c>
    </row>
    <row r="51" spans="1:1" x14ac:dyDescent="0.25">
      <c r="A51" s="1" t="s">
        <v>755</v>
      </c>
    </row>
    <row r="53" spans="1:1" x14ac:dyDescent="0.25">
      <c r="A53" s="1" t="s">
        <v>756</v>
      </c>
    </row>
    <row r="54" spans="1:1" x14ac:dyDescent="0.25">
      <c r="A54" s="1" t="s">
        <v>757</v>
      </c>
    </row>
    <row r="56" spans="1:1" x14ac:dyDescent="0.25">
      <c r="A56" s="742" t="str">
        <f>CONCATENATE("What if the ",inputPrYr!C6-2," financial records have been closed?")</f>
        <v>What if the 2023 financial records have been closed?</v>
      </c>
    </row>
    <row r="57" spans="1:1" x14ac:dyDescent="0.25">
      <c r="A57" s="1" t="s">
        <v>40</v>
      </c>
    </row>
    <row r="58" spans="1:1" x14ac:dyDescent="0.25">
      <c r="A58" s="1" t="str">
        <f>CONCATENATE("If the municipality financial records have been closed (i.e. an audit for ",inputPrYr!C6-2," has been completed, or")</f>
        <v>If the municipality financial records have been closed (i.e. an audit for 2023 has been completed, or</v>
      </c>
    </row>
    <row r="59" spans="1:1" x14ac:dyDescent="0.25">
      <c r="A59" s="1" t="str">
        <f>CONCATENATE("the ",inputPrYr!C6," the violation cannot be fixed and must be shown as it occurred. ")</f>
        <v xml:space="preserve">the 2025 the violation cannot be fixed and must be shown as it occurred. </v>
      </c>
    </row>
    <row r="61" spans="1:1" x14ac:dyDescent="0.25">
      <c r="A61" s="1" t="s">
        <v>758</v>
      </c>
    </row>
    <row r="62" spans="1:1" x14ac:dyDescent="0.25">
      <c r="A62" s="1" t="s">
        <v>759</v>
      </c>
    </row>
    <row r="64" spans="1:1" x14ac:dyDescent="0.25">
      <c r="A64" s="1" t="s">
        <v>300</v>
      </c>
    </row>
  </sheetData>
  <sheetProtection sheet="1" objects="1" scenarios="1"/>
  <mergeCells count="1">
    <mergeCell ref="A1:A2"/>
  </mergeCells>
  <pageMargins left="0.7" right="0.7" top="0.75" bottom="0.75" header="0.3" footer="0.3"/>
  <pageSetup orientation="portrait" r:id="rId1"/>
  <headerFooter>
    <oddFooter>&amp;Lrevised 10/02/09</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BD86B-C3FB-41BF-AFF8-E7D24AA4965B}">
  <sheetPr codeName="Sheet47">
    <tabColor rgb="FFFF0000"/>
  </sheetPr>
  <dimension ref="A1:J92"/>
  <sheetViews>
    <sheetView workbookViewId="0">
      <selection sqref="A1:G2"/>
    </sheetView>
  </sheetViews>
  <sheetFormatPr defaultRowHeight="15.75" x14ac:dyDescent="0.25"/>
  <cols>
    <col min="1" max="1" width="66.77734375" style="1" customWidth="1"/>
  </cols>
  <sheetData>
    <row r="1" spans="1:10" ht="15.75" customHeight="1" x14ac:dyDescent="0.2">
      <c r="A1" s="948" t="s">
        <v>665</v>
      </c>
    </row>
    <row r="2" spans="1:10" ht="15.75" customHeight="1" x14ac:dyDescent="0.2">
      <c r="A2" s="948"/>
    </row>
    <row r="3" spans="1:10" x14ac:dyDescent="0.25">
      <c r="A3" s="741" t="s">
        <v>301</v>
      </c>
      <c r="B3" s="765"/>
      <c r="C3" s="765"/>
      <c r="D3" s="765"/>
      <c r="E3" s="765"/>
      <c r="F3" s="765"/>
      <c r="G3" s="765"/>
      <c r="H3" s="247"/>
      <c r="I3" s="247"/>
      <c r="J3" s="247"/>
    </row>
    <row r="5" spans="1:10" x14ac:dyDescent="0.25">
      <c r="A5" s="1" t="str">
        <f>CONCATENATE("Welcome. You have been directed to this tab because your ",inputPrYr!C6-2," expenditures show that you ")</f>
        <v xml:space="preserve">Welcome. You have been directed to this tab because your 2023 expenditures show that you </v>
      </c>
    </row>
    <row r="6" spans="1:10" x14ac:dyDescent="0.25">
      <c r="A6" s="1" t="s">
        <v>760</v>
      </c>
    </row>
    <row r="8" spans="1:10" x14ac:dyDescent="0.25">
      <c r="A8" s="1" t="s">
        <v>761</v>
      </c>
    </row>
    <row r="9" spans="1:10" x14ac:dyDescent="0.25">
      <c r="A9" s="1" t="s">
        <v>304</v>
      </c>
    </row>
    <row r="11" spans="1:10" x14ac:dyDescent="0.25">
      <c r="A11" s="742" t="s">
        <v>302</v>
      </c>
    </row>
    <row r="12" spans="1:10" x14ac:dyDescent="0.25">
      <c r="A12" s="742"/>
    </row>
    <row r="13" spans="1:10" x14ac:dyDescent="0.25">
      <c r="A13" s="1" t="s">
        <v>762</v>
      </c>
    </row>
    <row r="14" spans="1:10" x14ac:dyDescent="0.25">
      <c r="A14" s="1" t="s">
        <v>763</v>
      </c>
    </row>
    <row r="16" spans="1:10" x14ac:dyDescent="0.25">
      <c r="A16" s="742" t="s">
        <v>303</v>
      </c>
    </row>
    <row r="17" spans="1:8" x14ac:dyDescent="0.25">
      <c r="A17" s="742"/>
    </row>
    <row r="18" spans="1:8" x14ac:dyDescent="0.25">
      <c r="A18" s="1" t="s">
        <v>764</v>
      </c>
    </row>
    <row r="19" spans="1:8" x14ac:dyDescent="0.25">
      <c r="A19" s="1" t="s">
        <v>765</v>
      </c>
    </row>
    <row r="21" spans="1:8" x14ac:dyDescent="0.25">
      <c r="A21" s="742" t="s">
        <v>766</v>
      </c>
    </row>
    <row r="22" spans="1:8" x14ac:dyDescent="0.25">
      <c r="A22" s="742"/>
    </row>
    <row r="23" spans="1:8" x14ac:dyDescent="0.25">
      <c r="A23" s="1" t="s">
        <v>767</v>
      </c>
    </row>
    <row r="24" spans="1:8" x14ac:dyDescent="0.25">
      <c r="A24" s="1" t="s">
        <v>768</v>
      </c>
    </row>
    <row r="26" spans="1:8" x14ac:dyDescent="0.25">
      <c r="A26" s="742" t="s">
        <v>305</v>
      </c>
    </row>
    <row r="27" spans="1:8" x14ac:dyDescent="0.25">
      <c r="A27" s="742"/>
    </row>
    <row r="28" spans="1:8" x14ac:dyDescent="0.25">
      <c r="A28" s="1" t="str">
        <f>CONCATENATE("If your financial records are not closed for ",inputPrYr!C6-2," (i.e.an audit has not been completed, or the")</f>
        <v>If your financial records are not closed for 2023 (i.e.an audit has not been completed, or the</v>
      </c>
      <c r="B28" s="766"/>
      <c r="C28" s="766"/>
      <c r="D28" s="766"/>
      <c r="E28" s="766"/>
      <c r="F28" s="766"/>
      <c r="G28" s="766"/>
      <c r="H28" s="766"/>
    </row>
    <row r="29" spans="1:8" x14ac:dyDescent="0.25">
      <c r="A29" s="1" t="str">
        <f>CONCATENATE(inputPrYr!C6," adopted budget has not been submitted to the county clerk) then either your fund receipts will")</f>
        <v>2025 adopted budget has not been submitted to the county clerk) then either your fund receipts will</v>
      </c>
      <c r="B29" s="766"/>
      <c r="C29" s="766"/>
      <c r="D29" s="766"/>
      <c r="E29" s="766"/>
      <c r="F29" s="766"/>
      <c r="G29" s="766"/>
      <c r="H29" s="766"/>
    </row>
    <row r="30" spans="1:8" x14ac:dyDescent="0.25">
      <c r="A30" s="1" t="s">
        <v>769</v>
      </c>
      <c r="B30" s="766"/>
      <c r="C30" s="766"/>
      <c r="D30" s="766"/>
      <c r="E30" s="766"/>
      <c r="F30" s="766"/>
      <c r="G30" s="766"/>
      <c r="H30" s="766"/>
    </row>
    <row r="31" spans="1:8" x14ac:dyDescent="0.25">
      <c r="A31" s="1" t="s">
        <v>770</v>
      </c>
      <c r="B31" s="766"/>
      <c r="C31" s="766"/>
      <c r="D31" s="766"/>
      <c r="E31" s="766"/>
      <c r="F31" s="766"/>
      <c r="G31" s="766"/>
      <c r="H31" s="766"/>
    </row>
    <row r="32" spans="1:8" x14ac:dyDescent="0.25">
      <c r="B32" s="766"/>
      <c r="C32" s="766"/>
      <c r="D32" s="766"/>
      <c r="E32" s="766"/>
      <c r="F32" s="766"/>
      <c r="G32" s="766"/>
      <c r="H32" s="766"/>
    </row>
    <row r="33" spans="1:8" x14ac:dyDescent="0.25">
      <c r="B33" s="766"/>
      <c r="C33" s="766"/>
      <c r="D33" s="766"/>
      <c r="E33" s="766"/>
      <c r="F33" s="766"/>
      <c r="G33" s="766"/>
      <c r="H33" s="766"/>
    </row>
    <row r="34" spans="1:8" x14ac:dyDescent="0.25">
      <c r="A34" s="1" t="s">
        <v>771</v>
      </c>
      <c r="B34" s="766"/>
      <c r="C34" s="766"/>
      <c r="D34" s="766"/>
      <c r="E34" s="766"/>
      <c r="F34" s="766"/>
      <c r="G34" s="766"/>
      <c r="H34" s="766"/>
    </row>
    <row r="35" spans="1:8" x14ac:dyDescent="0.25">
      <c r="A35" s="1" t="s">
        <v>772</v>
      </c>
      <c r="B35" s="766"/>
      <c r="C35" s="766"/>
      <c r="D35" s="766"/>
      <c r="E35" s="766"/>
      <c r="F35" s="766"/>
      <c r="G35" s="766"/>
      <c r="H35" s="766"/>
    </row>
    <row r="36" spans="1:8" x14ac:dyDescent="0.25">
      <c r="A36" s="1" t="s">
        <v>773</v>
      </c>
      <c r="B36" s="766"/>
      <c r="C36" s="766"/>
      <c r="D36" s="766"/>
      <c r="E36" s="766"/>
      <c r="F36" s="766"/>
      <c r="G36" s="766"/>
      <c r="H36" s="766"/>
    </row>
    <row r="37" spans="1:8" x14ac:dyDescent="0.25">
      <c r="B37" s="766"/>
      <c r="C37" s="766"/>
      <c r="D37" s="766"/>
      <c r="E37" s="766"/>
      <c r="F37" s="766"/>
      <c r="G37" s="766"/>
      <c r="H37" s="766"/>
    </row>
    <row r="38" spans="1:8" x14ac:dyDescent="0.25">
      <c r="A38" s="1" t="s">
        <v>774</v>
      </c>
      <c r="B38" s="766"/>
      <c r="C38" s="766"/>
      <c r="D38" s="766"/>
      <c r="E38" s="766"/>
      <c r="F38" s="766"/>
      <c r="G38" s="766"/>
      <c r="H38" s="766"/>
    </row>
    <row r="39" spans="1:8" x14ac:dyDescent="0.25">
      <c r="A39" s="1" t="s">
        <v>775</v>
      </c>
      <c r="B39" s="766"/>
      <c r="C39" s="766"/>
      <c r="D39" s="766"/>
      <c r="E39" s="766"/>
      <c r="F39" s="766"/>
      <c r="G39" s="766"/>
      <c r="H39" s="766"/>
    </row>
    <row r="40" spans="1:8" x14ac:dyDescent="0.25">
      <c r="A40" s="1" t="s">
        <v>776</v>
      </c>
      <c r="B40" s="766"/>
      <c r="C40" s="766"/>
      <c r="D40" s="766"/>
      <c r="E40" s="766"/>
      <c r="F40" s="766"/>
      <c r="G40" s="766"/>
      <c r="H40" s="766"/>
    </row>
    <row r="41" spans="1:8" x14ac:dyDescent="0.25">
      <c r="B41" s="766"/>
      <c r="C41" s="766"/>
      <c r="D41" s="766"/>
      <c r="E41" s="766"/>
      <c r="F41" s="766"/>
      <c r="G41" s="766"/>
      <c r="H41" s="766"/>
    </row>
    <row r="42" spans="1:8" x14ac:dyDescent="0.25">
      <c r="A42" s="742" t="s">
        <v>777</v>
      </c>
      <c r="B42" s="247"/>
      <c r="C42" s="247"/>
      <c r="D42" s="247"/>
      <c r="E42" s="247"/>
      <c r="F42" s="247"/>
      <c r="G42" s="247"/>
      <c r="H42" s="766"/>
    </row>
    <row r="43" spans="1:8" x14ac:dyDescent="0.25">
      <c r="B43" s="766"/>
      <c r="C43" s="766"/>
      <c r="D43" s="766"/>
      <c r="E43" s="766"/>
      <c r="F43" s="766"/>
      <c r="G43" s="766"/>
      <c r="H43" s="766"/>
    </row>
    <row r="44" spans="1:8" x14ac:dyDescent="0.25">
      <c r="A44" s="1" t="s">
        <v>778</v>
      </c>
      <c r="B44" s="766"/>
      <c r="C44" s="766"/>
      <c r="D44" s="766"/>
      <c r="E44" s="766"/>
      <c r="F44" s="766"/>
      <c r="G44" s="766"/>
      <c r="H44" s="766"/>
    </row>
    <row r="45" spans="1:8" x14ac:dyDescent="0.25">
      <c r="A45" s="1" t="s">
        <v>779</v>
      </c>
      <c r="B45" s="766"/>
      <c r="C45" s="766"/>
      <c r="D45" s="766"/>
      <c r="E45" s="766"/>
      <c r="F45" s="766"/>
      <c r="G45" s="766"/>
      <c r="H45" s="766"/>
    </row>
    <row r="46" spans="1:8" x14ac:dyDescent="0.25">
      <c r="B46" s="766"/>
      <c r="C46" s="766"/>
      <c r="D46" s="766"/>
      <c r="E46" s="766"/>
      <c r="F46" s="766"/>
      <c r="G46" s="766"/>
      <c r="H46" s="766"/>
    </row>
    <row r="47" spans="1:8" x14ac:dyDescent="0.25">
      <c r="A47" s="1" t="s">
        <v>780</v>
      </c>
      <c r="B47" s="766"/>
      <c r="C47" s="766"/>
      <c r="D47" s="766"/>
      <c r="E47" s="766"/>
      <c r="F47" s="766"/>
      <c r="G47" s="766"/>
      <c r="H47" s="766"/>
    </row>
    <row r="48" spans="1:8" x14ac:dyDescent="0.25">
      <c r="A48" s="1" t="s">
        <v>781</v>
      </c>
      <c r="B48" s="766"/>
      <c r="C48" s="766"/>
      <c r="D48" s="766"/>
      <c r="E48" s="766"/>
      <c r="F48" s="766"/>
      <c r="G48" s="766"/>
      <c r="H48" s="766"/>
    </row>
    <row r="49" spans="1:8" x14ac:dyDescent="0.25">
      <c r="A49" s="1" t="s">
        <v>782</v>
      </c>
      <c r="B49" s="766"/>
      <c r="C49" s="766"/>
      <c r="D49" s="766"/>
      <c r="E49" s="766"/>
      <c r="F49" s="766"/>
      <c r="G49" s="766"/>
      <c r="H49" s="766"/>
    </row>
    <row r="50" spans="1:8" x14ac:dyDescent="0.25">
      <c r="A50" s="1" t="s">
        <v>783</v>
      </c>
      <c r="B50" s="766"/>
      <c r="C50" s="766"/>
      <c r="D50" s="766"/>
      <c r="E50" s="766"/>
      <c r="F50" s="766"/>
      <c r="G50" s="766"/>
      <c r="H50" s="766"/>
    </row>
    <row r="51" spans="1:8" x14ac:dyDescent="0.25">
      <c r="B51" s="766"/>
      <c r="C51" s="766"/>
      <c r="D51" s="766"/>
      <c r="E51" s="766"/>
      <c r="F51" s="766"/>
      <c r="G51" s="766"/>
      <c r="H51" s="766"/>
    </row>
    <row r="52" spans="1:8" x14ac:dyDescent="0.25">
      <c r="B52" s="766"/>
      <c r="C52" s="766"/>
      <c r="D52" s="766"/>
      <c r="E52" s="766"/>
      <c r="F52" s="766"/>
      <c r="G52" s="766"/>
      <c r="H52" s="766"/>
    </row>
    <row r="53" spans="1:8" x14ac:dyDescent="0.25">
      <c r="A53" s="1" t="s">
        <v>784</v>
      </c>
      <c r="B53" s="766"/>
      <c r="C53" s="766"/>
      <c r="D53" s="766"/>
      <c r="E53" s="766"/>
      <c r="F53" s="766"/>
      <c r="G53" s="766"/>
      <c r="H53" s="766"/>
    </row>
    <row r="54" spans="1:8" x14ac:dyDescent="0.25">
      <c r="A54" s="1" t="s">
        <v>785</v>
      </c>
      <c r="B54" s="766"/>
      <c r="C54" s="766"/>
      <c r="D54" s="766"/>
      <c r="E54" s="766"/>
      <c r="F54" s="766"/>
      <c r="G54" s="766"/>
      <c r="H54" s="766"/>
    </row>
    <row r="55" spans="1:8" x14ac:dyDescent="0.25">
      <c r="A55" s="1" t="s">
        <v>786</v>
      </c>
      <c r="B55" s="766"/>
      <c r="C55" s="766"/>
      <c r="D55" s="766"/>
      <c r="E55" s="766"/>
      <c r="F55" s="766"/>
      <c r="G55" s="766"/>
      <c r="H55" s="766"/>
    </row>
    <row r="56" spans="1:8" x14ac:dyDescent="0.25">
      <c r="A56" s="1" t="s">
        <v>787</v>
      </c>
      <c r="B56" s="766"/>
      <c r="C56" s="766"/>
      <c r="D56" s="766"/>
      <c r="E56" s="766"/>
      <c r="F56" s="766"/>
      <c r="G56" s="766"/>
      <c r="H56" s="766"/>
    </row>
    <row r="57" spans="1:8" x14ac:dyDescent="0.25">
      <c r="A57" s="1" t="s">
        <v>309</v>
      </c>
      <c r="B57" s="766"/>
      <c r="C57" s="766"/>
      <c r="D57" s="766"/>
      <c r="E57" s="766"/>
      <c r="F57" s="766"/>
      <c r="G57" s="766"/>
      <c r="H57" s="766"/>
    </row>
    <row r="58" spans="1:8" x14ac:dyDescent="0.25">
      <c r="B58" s="766"/>
      <c r="C58" s="766"/>
      <c r="D58" s="766"/>
      <c r="E58" s="766"/>
      <c r="F58" s="766"/>
      <c r="G58" s="766"/>
      <c r="H58" s="766"/>
    </row>
    <row r="59" spans="1:8" x14ac:dyDescent="0.25">
      <c r="A59" s="1" t="s">
        <v>788</v>
      </c>
      <c r="B59" s="766"/>
      <c r="C59" s="766"/>
      <c r="D59" s="766"/>
      <c r="E59" s="766"/>
      <c r="F59" s="766"/>
      <c r="G59" s="766"/>
      <c r="H59" s="766"/>
    </row>
    <row r="60" spans="1:8" x14ac:dyDescent="0.25">
      <c r="A60" s="1" t="s">
        <v>789</v>
      </c>
      <c r="B60" s="766"/>
      <c r="C60" s="766"/>
      <c r="D60" s="766"/>
      <c r="E60" s="766"/>
      <c r="F60" s="766"/>
      <c r="G60" s="766"/>
      <c r="H60" s="766"/>
    </row>
    <row r="61" spans="1:8" x14ac:dyDescent="0.25">
      <c r="B61" s="766"/>
      <c r="C61" s="766"/>
      <c r="D61" s="766"/>
      <c r="E61" s="766"/>
      <c r="F61" s="766"/>
      <c r="G61" s="766"/>
      <c r="H61" s="766"/>
    </row>
    <row r="62" spans="1:8" x14ac:dyDescent="0.25">
      <c r="A62" s="1" t="s">
        <v>300</v>
      </c>
    </row>
    <row r="63" spans="1:8" x14ac:dyDescent="0.25">
      <c r="A63" s="742"/>
    </row>
    <row r="90" spans="1:1" x14ac:dyDescent="0.25">
      <c r="A90" s="742"/>
    </row>
    <row r="91" spans="1:1" x14ac:dyDescent="0.25">
      <c r="A91" s="742"/>
    </row>
    <row r="92" spans="1:1" x14ac:dyDescent="0.25">
      <c r="A92" s="742"/>
    </row>
  </sheetData>
  <sheetProtection sheet="1"/>
  <mergeCells count="1">
    <mergeCell ref="A1:A2"/>
  </mergeCells>
  <pageMargins left="0.7" right="0.7" top="0.75" bottom="0.75" header="0.3" footer="0.3"/>
  <pageSetup orientation="portrait" r:id="rId1"/>
  <headerFooter>
    <oddFooter>&amp;Lrevised 10/02/09</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0A594-6347-4781-8C7B-F1AF48255287}">
  <sheetPr codeName="Sheet48">
    <tabColor rgb="FFFF0000"/>
  </sheetPr>
  <dimension ref="A1:L55"/>
  <sheetViews>
    <sheetView workbookViewId="0">
      <selection sqref="A1:G2"/>
    </sheetView>
  </sheetViews>
  <sheetFormatPr defaultRowHeight="15.75" x14ac:dyDescent="0.25"/>
  <cols>
    <col min="1" max="1" width="66.77734375" style="1" customWidth="1"/>
  </cols>
  <sheetData>
    <row r="1" spans="1:12" ht="15.75" customHeight="1" x14ac:dyDescent="0.2">
      <c r="A1" s="948" t="s">
        <v>666</v>
      </c>
    </row>
    <row r="2" spans="1:12" ht="15.75" customHeight="1" x14ac:dyDescent="0.2">
      <c r="A2" s="948"/>
    </row>
    <row r="3" spans="1:12" x14ac:dyDescent="0.25">
      <c r="A3" s="741" t="s">
        <v>306</v>
      </c>
      <c r="B3" s="765"/>
      <c r="C3" s="765"/>
      <c r="D3" s="765"/>
      <c r="E3" s="765"/>
      <c r="F3" s="765"/>
      <c r="G3" s="765"/>
      <c r="H3" s="765"/>
      <c r="I3" s="765"/>
      <c r="J3" s="765"/>
      <c r="K3" s="765"/>
      <c r="L3" s="765"/>
    </row>
    <row r="4" spans="1:12" x14ac:dyDescent="0.25">
      <c r="A4" s="741"/>
      <c r="B4" s="765"/>
      <c r="C4" s="765"/>
      <c r="D4" s="765"/>
      <c r="E4" s="765"/>
      <c r="F4" s="765"/>
      <c r="G4" s="765"/>
      <c r="H4" s="765"/>
      <c r="I4" s="765"/>
      <c r="J4" s="765"/>
      <c r="K4" s="765"/>
      <c r="L4" s="765"/>
    </row>
    <row r="5" spans="1:12" x14ac:dyDescent="0.25">
      <c r="I5" s="765"/>
      <c r="J5" s="765"/>
      <c r="K5" s="765"/>
      <c r="L5" s="765"/>
    </row>
    <row r="6" spans="1:12" x14ac:dyDescent="0.25">
      <c r="A6" s="1" t="str">
        <f>CONCATENATE("Welcome.  You have been directed to this tab because your estimated ",inputPrYr!C6-1," total expenditures")</f>
        <v>Welcome.  You have been directed to this tab because your estimated 2024 total expenditures</v>
      </c>
      <c r="I6" s="765"/>
      <c r="J6" s="765"/>
      <c r="K6" s="765"/>
      <c r="L6" s="765"/>
    </row>
    <row r="7" spans="1:12" x14ac:dyDescent="0.25">
      <c r="A7" s="743" t="str">
        <f>CONCATENATE("exceed your ",inputPrYr!C6-1," budget authority.")</f>
        <v>exceed your 2024 budget authority.</v>
      </c>
      <c r="I7" s="765"/>
      <c r="J7" s="765"/>
      <c r="K7" s="765"/>
      <c r="L7" s="765"/>
    </row>
    <row r="8" spans="1:12" x14ac:dyDescent="0.25">
      <c r="I8" s="765"/>
      <c r="J8" s="765"/>
      <c r="K8" s="765"/>
      <c r="L8" s="765"/>
    </row>
    <row r="9" spans="1:12" x14ac:dyDescent="0.25">
      <c r="A9" s="1" t="s">
        <v>790</v>
      </c>
      <c r="I9" s="765"/>
      <c r="J9" s="765"/>
      <c r="K9" s="765"/>
      <c r="L9" s="765"/>
    </row>
    <row r="10" spans="1:12" x14ac:dyDescent="0.25">
      <c r="A10" s="1" t="s">
        <v>791</v>
      </c>
      <c r="I10" s="765"/>
      <c r="J10" s="765"/>
      <c r="K10" s="765"/>
      <c r="L10" s="765"/>
    </row>
    <row r="11" spans="1:12" x14ac:dyDescent="0.25">
      <c r="A11" s="1" t="s">
        <v>792</v>
      </c>
      <c r="I11" s="765"/>
      <c r="J11" s="765"/>
      <c r="K11" s="765"/>
      <c r="L11" s="765"/>
    </row>
    <row r="12" spans="1:12" x14ac:dyDescent="0.25">
      <c r="A12" s="741"/>
      <c r="B12" s="765"/>
      <c r="C12" s="765"/>
      <c r="D12" s="765"/>
      <c r="E12" s="765"/>
      <c r="F12" s="765"/>
      <c r="G12" s="765"/>
      <c r="H12" s="765"/>
      <c r="I12" s="765"/>
      <c r="J12" s="765"/>
      <c r="K12" s="765"/>
      <c r="L12" s="765"/>
    </row>
    <row r="13" spans="1:12" x14ac:dyDescent="0.25">
      <c r="A13" s="742" t="s">
        <v>793</v>
      </c>
    </row>
    <row r="14" spans="1:12" x14ac:dyDescent="0.25">
      <c r="B14" s="766"/>
      <c r="C14" s="766"/>
      <c r="D14" s="766"/>
      <c r="E14" s="766"/>
      <c r="F14" s="766"/>
      <c r="G14" s="766"/>
    </row>
    <row r="15" spans="1:12" x14ac:dyDescent="0.25">
      <c r="A15" s="1" t="str">
        <f>CONCATENATE("Naturally, our preference would be that you consider your ",inputPrYr!C6-1," numbers to see what steps might be")</f>
        <v>Naturally, our preference would be that you consider your 2024 numbers to see what steps might be</v>
      </c>
      <c r="B15" s="766"/>
      <c r="C15" s="766"/>
      <c r="D15" s="766"/>
      <c r="E15" s="766"/>
      <c r="F15" s="766"/>
      <c r="G15" s="766"/>
    </row>
    <row r="16" spans="1:12" ht="17.25" customHeight="1" x14ac:dyDescent="0.25">
      <c r="A16" s="1" t="s">
        <v>794</v>
      </c>
      <c r="B16" s="766"/>
      <c r="C16" s="766"/>
      <c r="D16" s="766"/>
      <c r="E16" s="766"/>
      <c r="F16" s="766"/>
      <c r="G16" s="766"/>
    </row>
    <row r="17" spans="1:7" ht="17.25" customHeight="1" x14ac:dyDescent="0.25">
      <c r="A17" s="1" t="s">
        <v>795</v>
      </c>
      <c r="B17" s="766"/>
      <c r="C17" s="766"/>
      <c r="D17" s="766"/>
      <c r="E17" s="766"/>
      <c r="F17" s="766"/>
      <c r="G17" s="766"/>
    </row>
    <row r="19" spans="1:7" x14ac:dyDescent="0.25">
      <c r="A19" s="742" t="s">
        <v>307</v>
      </c>
    </row>
    <row r="20" spans="1:7" x14ac:dyDescent="0.25">
      <c r="A20" s="742"/>
    </row>
    <row r="21" spans="1:7" x14ac:dyDescent="0.25">
      <c r="A21" s="1" t="s">
        <v>796</v>
      </c>
    </row>
    <row r="22" spans="1:7" x14ac:dyDescent="0.25">
      <c r="A22" s="1" t="s">
        <v>797</v>
      </c>
      <c r="B22" s="766"/>
      <c r="C22" s="766"/>
      <c r="D22" s="766"/>
      <c r="E22" s="766"/>
      <c r="F22" s="766"/>
    </row>
    <row r="23" spans="1:7" x14ac:dyDescent="0.25">
      <c r="B23" s="766"/>
      <c r="C23" s="766"/>
      <c r="D23" s="766"/>
      <c r="E23" s="766"/>
      <c r="F23" s="766"/>
    </row>
    <row r="24" spans="1:7" x14ac:dyDescent="0.25">
      <c r="A24" s="742" t="s">
        <v>798</v>
      </c>
      <c r="B24" s="247"/>
      <c r="C24" s="247"/>
      <c r="D24" s="247"/>
      <c r="E24" s="247"/>
      <c r="F24" s="247"/>
      <c r="G24" s="247"/>
    </row>
    <row r="25" spans="1:7" x14ac:dyDescent="0.25">
      <c r="B25" s="766"/>
      <c r="C25" s="766"/>
      <c r="D25" s="766"/>
      <c r="E25" s="766"/>
      <c r="F25" s="766"/>
    </row>
    <row r="26" spans="1:7" x14ac:dyDescent="0.25">
      <c r="A26" s="767" t="str">
        <f>CONCATENATE("Well, let's look to see if any of your ",inputPrYr!C6-1," expenditures can be reduced or eliminated.  For example,")</f>
        <v>Well, let's look to see if any of your 2024 expenditures can be reduced or eliminated.  For example,</v>
      </c>
      <c r="B26" s="766"/>
      <c r="C26" s="766"/>
      <c r="D26" s="766"/>
      <c r="E26" s="766"/>
      <c r="F26" s="766"/>
    </row>
    <row r="27" spans="1:7" x14ac:dyDescent="0.25">
      <c r="A27" s="767" t="s">
        <v>799</v>
      </c>
      <c r="B27" s="766"/>
      <c r="C27" s="766"/>
      <c r="D27" s="766"/>
      <c r="E27" s="766"/>
      <c r="F27" s="766"/>
    </row>
    <row r="28" spans="1:7" x14ac:dyDescent="0.25">
      <c r="A28" s="767" t="s">
        <v>800</v>
      </c>
      <c r="B28" s="766"/>
      <c r="C28" s="766"/>
      <c r="D28" s="766"/>
      <c r="E28" s="766"/>
      <c r="F28" s="766"/>
    </row>
    <row r="29" spans="1:7" x14ac:dyDescent="0.25">
      <c r="A29" s="767"/>
      <c r="B29" s="766"/>
      <c r="C29" s="766"/>
      <c r="D29" s="766"/>
      <c r="E29" s="766"/>
      <c r="F29" s="766"/>
    </row>
    <row r="30" spans="1:7" x14ac:dyDescent="0.25">
      <c r="A30" s="767" t="str">
        <f>CONCATENATE("Additionally, do your ",inputPrYr!C6-1," receipts contain a reimbursement (e.g. FEMA)?  If so, instead of showing")</f>
        <v>Additionally, do your 2024 receipts contain a reimbursement (e.g. FEMA)?  If so, instead of showing</v>
      </c>
      <c r="B30" s="766"/>
      <c r="C30" s="766"/>
      <c r="D30" s="766"/>
      <c r="E30" s="766"/>
      <c r="F30" s="766"/>
    </row>
    <row r="31" spans="1:7" x14ac:dyDescent="0.25">
      <c r="A31" s="767" t="s">
        <v>801</v>
      </c>
      <c r="B31" s="766"/>
      <c r="C31" s="766"/>
      <c r="D31" s="766"/>
      <c r="E31" s="766"/>
      <c r="F31" s="766"/>
    </row>
    <row r="32" spans="1:7" x14ac:dyDescent="0.25">
      <c r="A32" s="767"/>
      <c r="B32" s="766"/>
      <c r="C32" s="766"/>
      <c r="D32" s="766"/>
      <c r="E32" s="766"/>
      <c r="F32" s="766"/>
    </row>
    <row r="33" spans="1:6" x14ac:dyDescent="0.25">
      <c r="A33" s="767" t="s">
        <v>802</v>
      </c>
      <c r="B33" s="766"/>
      <c r="C33" s="766"/>
      <c r="D33" s="766"/>
      <c r="E33" s="766"/>
      <c r="F33" s="766"/>
    </row>
    <row r="34" spans="1:6" x14ac:dyDescent="0.25">
      <c r="A34" s="767" t="s">
        <v>803</v>
      </c>
      <c r="B34" s="766"/>
      <c r="C34" s="766"/>
      <c r="D34" s="766"/>
      <c r="E34" s="766"/>
      <c r="F34" s="766"/>
    </row>
    <row r="35" spans="1:6" x14ac:dyDescent="0.25">
      <c r="A35" s="767" t="s">
        <v>804</v>
      </c>
      <c r="B35" s="766"/>
      <c r="C35" s="766"/>
      <c r="D35" s="766"/>
      <c r="E35" s="766"/>
      <c r="F35" s="766"/>
    </row>
    <row r="36" spans="1:6" x14ac:dyDescent="0.25">
      <c r="A36" s="767" t="s">
        <v>805</v>
      </c>
      <c r="B36" s="766"/>
      <c r="C36" s="766"/>
      <c r="D36" s="766"/>
      <c r="E36" s="766"/>
      <c r="F36" s="766"/>
    </row>
    <row r="37" spans="1:6" x14ac:dyDescent="0.25">
      <c r="A37" s="767" t="s">
        <v>298</v>
      </c>
      <c r="B37" s="766"/>
      <c r="C37" s="766"/>
      <c r="D37" s="766"/>
      <c r="E37" s="766"/>
      <c r="F37" s="766"/>
    </row>
    <row r="38" spans="1:6" x14ac:dyDescent="0.25">
      <c r="A38" s="767"/>
      <c r="B38" s="766"/>
      <c r="C38" s="766"/>
      <c r="D38" s="766"/>
      <c r="E38" s="766"/>
      <c r="F38" s="766"/>
    </row>
    <row r="39" spans="1:6" x14ac:dyDescent="0.25">
      <c r="A39" s="767" t="s">
        <v>744</v>
      </c>
      <c r="B39" s="766"/>
      <c r="C39" s="766"/>
      <c r="D39" s="766"/>
      <c r="E39" s="766"/>
      <c r="F39" s="766"/>
    </row>
    <row r="40" spans="1:6" x14ac:dyDescent="0.25">
      <c r="A40" s="767" t="s">
        <v>745</v>
      </c>
      <c r="B40" s="766"/>
      <c r="C40" s="766"/>
      <c r="D40" s="766"/>
      <c r="E40" s="766"/>
      <c r="F40" s="766"/>
    </row>
    <row r="41" spans="1:6" x14ac:dyDescent="0.25">
      <c r="A41" s="767"/>
      <c r="B41" s="766"/>
      <c r="C41" s="766"/>
      <c r="D41" s="766"/>
      <c r="E41" s="766"/>
      <c r="F41" s="766"/>
    </row>
    <row r="42" spans="1:6" x14ac:dyDescent="0.25">
      <c r="A42" s="767" t="s">
        <v>806</v>
      </c>
      <c r="B42" s="766"/>
      <c r="C42" s="766"/>
      <c r="D42" s="766"/>
      <c r="E42" s="766"/>
      <c r="F42" s="766"/>
    </row>
    <row r="43" spans="1:6" x14ac:dyDescent="0.25">
      <c r="A43" s="767" t="s">
        <v>807</v>
      </c>
      <c r="B43" s="766"/>
      <c r="C43" s="766"/>
      <c r="D43" s="766"/>
      <c r="E43" s="766"/>
      <c r="F43" s="766"/>
    </row>
    <row r="44" spans="1:6" x14ac:dyDescent="0.25">
      <c r="A44" s="767" t="s">
        <v>808</v>
      </c>
      <c r="B44" s="766"/>
      <c r="C44" s="766"/>
      <c r="D44" s="766"/>
      <c r="E44" s="766"/>
      <c r="F44" s="766"/>
    </row>
    <row r="45" spans="1:6" x14ac:dyDescent="0.25">
      <c r="A45" s="767"/>
      <c r="B45" s="766"/>
      <c r="C45" s="766"/>
      <c r="D45" s="766"/>
      <c r="E45" s="766"/>
      <c r="F45" s="766"/>
    </row>
    <row r="46" spans="1:6" x14ac:dyDescent="0.25">
      <c r="A46" s="767" t="s">
        <v>809</v>
      </c>
      <c r="B46" s="766"/>
      <c r="C46" s="766"/>
      <c r="D46" s="766"/>
      <c r="E46" s="766"/>
      <c r="F46" s="766"/>
    </row>
    <row r="47" spans="1:6" x14ac:dyDescent="0.25">
      <c r="A47" s="767" t="s">
        <v>810</v>
      </c>
      <c r="B47" s="766"/>
      <c r="C47" s="766"/>
      <c r="D47" s="766"/>
      <c r="E47" s="766"/>
      <c r="F47" s="766"/>
    </row>
    <row r="48" spans="1:6" x14ac:dyDescent="0.25">
      <c r="A48" s="767" t="s">
        <v>811</v>
      </c>
    </row>
    <row r="50" spans="1:1" x14ac:dyDescent="0.25">
      <c r="A50" s="1" t="s">
        <v>812</v>
      </c>
    </row>
    <row r="51" spans="1:1" x14ac:dyDescent="0.25">
      <c r="A51" s="1" t="s">
        <v>813</v>
      </c>
    </row>
    <row r="52" spans="1:1" x14ac:dyDescent="0.25">
      <c r="A52" s="1" t="s">
        <v>814</v>
      </c>
    </row>
    <row r="53" spans="1:1" x14ac:dyDescent="0.25">
      <c r="A53" s="1" t="s">
        <v>815</v>
      </c>
    </row>
    <row r="55" spans="1:1" x14ac:dyDescent="0.25">
      <c r="A55" s="1" t="s">
        <v>300</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7C705-2D9C-4F09-8BB9-713052C73012}">
  <sheetPr codeName="Sheet49">
    <tabColor rgb="FFFF0000"/>
  </sheetPr>
  <dimension ref="A1:G59"/>
  <sheetViews>
    <sheetView workbookViewId="0">
      <selection sqref="A1:G2"/>
    </sheetView>
  </sheetViews>
  <sheetFormatPr defaultRowHeight="15.75" x14ac:dyDescent="0.25"/>
  <cols>
    <col min="1" max="1" width="66.77734375" style="1" customWidth="1"/>
  </cols>
  <sheetData>
    <row r="1" spans="1:7" ht="15.75" customHeight="1" x14ac:dyDescent="0.2">
      <c r="A1" s="948" t="s">
        <v>667</v>
      </c>
    </row>
    <row r="2" spans="1:7" ht="15.75" customHeight="1" x14ac:dyDescent="0.2">
      <c r="A2" s="948"/>
    </row>
    <row r="3" spans="1:7" x14ac:dyDescent="0.25">
      <c r="A3" s="741" t="s">
        <v>308</v>
      </c>
      <c r="B3" s="765"/>
      <c r="C3" s="765"/>
      <c r="D3" s="765"/>
      <c r="E3" s="765"/>
      <c r="F3" s="765"/>
      <c r="G3" s="765"/>
    </row>
    <row r="4" spans="1:7" x14ac:dyDescent="0.25">
      <c r="A4" s="741"/>
      <c r="B4" s="765"/>
      <c r="C4" s="765"/>
      <c r="D4" s="765"/>
      <c r="E4" s="765"/>
      <c r="F4" s="765"/>
      <c r="G4" s="765"/>
    </row>
    <row r="5" spans="1:7" x14ac:dyDescent="0.25">
      <c r="A5" s="1" t="str">
        <f>CONCATENATE("Welcome.  You have been directed to this tab because your ",inputPrYr!C6," estimated expenditures show")</f>
        <v>Welcome.  You have been directed to this tab because your 2025 estimated expenditures show</v>
      </c>
    </row>
    <row r="6" spans="1:7" x14ac:dyDescent="0.25">
      <c r="A6" s="1" t="s">
        <v>816</v>
      </c>
    </row>
    <row r="8" spans="1:7" x14ac:dyDescent="0.25">
      <c r="A8" s="1" t="s">
        <v>761</v>
      </c>
    </row>
    <row r="9" spans="1:7" x14ac:dyDescent="0.25">
      <c r="A9" s="1" t="s">
        <v>304</v>
      </c>
    </row>
    <row r="10" spans="1:7" x14ac:dyDescent="0.25">
      <c r="A10" s="741"/>
      <c r="B10" s="765"/>
      <c r="C10" s="765"/>
      <c r="D10" s="765"/>
      <c r="E10" s="765"/>
      <c r="F10" s="765"/>
      <c r="G10" s="765"/>
    </row>
    <row r="11" spans="1:7" x14ac:dyDescent="0.25">
      <c r="A11" s="742" t="s">
        <v>310</v>
      </c>
    </row>
    <row r="13" spans="1:7" x14ac:dyDescent="0.25">
      <c r="A13" s="1" t="s">
        <v>817</v>
      </c>
    </row>
    <row r="14" spans="1:7" x14ac:dyDescent="0.25">
      <c r="A14" s="1" t="s">
        <v>311</v>
      </c>
    </row>
    <row r="16" spans="1:7" x14ac:dyDescent="0.25">
      <c r="A16" s="1" t="s">
        <v>818</v>
      </c>
    </row>
    <row r="17" spans="1:7" x14ac:dyDescent="0.25">
      <c r="A17" s="1" t="s">
        <v>819</v>
      </c>
    </row>
    <row r="19" spans="1:7" x14ac:dyDescent="0.25">
      <c r="A19" s="742" t="s">
        <v>307</v>
      </c>
    </row>
    <row r="20" spans="1:7" x14ac:dyDescent="0.25">
      <c r="A20" s="742"/>
    </row>
    <row r="21" spans="1:7" x14ac:dyDescent="0.25">
      <c r="A21" s="1" t="s">
        <v>820</v>
      </c>
    </row>
    <row r="22" spans="1:7" x14ac:dyDescent="0.25">
      <c r="A22" s="1" t="s">
        <v>821</v>
      </c>
      <c r="B22" s="766"/>
      <c r="C22" s="766"/>
      <c r="D22" s="766"/>
      <c r="E22" s="766"/>
      <c r="F22" s="766"/>
    </row>
    <row r="23" spans="1:7" x14ac:dyDescent="0.25">
      <c r="B23" s="766"/>
      <c r="C23" s="766"/>
      <c r="D23" s="766"/>
      <c r="E23" s="766"/>
      <c r="F23" s="766"/>
    </row>
    <row r="25" spans="1:7" x14ac:dyDescent="0.25">
      <c r="A25" s="742" t="s">
        <v>798</v>
      </c>
      <c r="B25" s="247"/>
      <c r="C25" s="247"/>
      <c r="D25" s="247"/>
      <c r="E25" s="247"/>
      <c r="F25" s="247"/>
      <c r="G25" s="247"/>
    </row>
    <row r="26" spans="1:7" x14ac:dyDescent="0.25">
      <c r="A26" s="742"/>
      <c r="B26" s="247"/>
      <c r="C26" s="247"/>
      <c r="D26" s="247"/>
      <c r="E26" s="247"/>
      <c r="F26" s="247"/>
      <c r="G26" s="247"/>
    </row>
    <row r="27" spans="1:7" x14ac:dyDescent="0.25">
      <c r="A27" s="1" t="s">
        <v>822</v>
      </c>
      <c r="B27" s="766"/>
      <c r="C27" s="766"/>
      <c r="D27" s="766"/>
      <c r="E27" s="766"/>
      <c r="F27" s="766"/>
      <c r="G27" s="766"/>
    </row>
    <row r="28" spans="1:7" x14ac:dyDescent="0.25">
      <c r="A28" s="1" t="s">
        <v>823</v>
      </c>
      <c r="B28" s="766"/>
      <c r="C28" s="766"/>
      <c r="D28" s="766"/>
      <c r="E28" s="766"/>
      <c r="F28" s="766"/>
      <c r="G28" s="766"/>
    </row>
    <row r="29" spans="1:7" x14ac:dyDescent="0.25">
      <c r="A29" s="1" t="s">
        <v>824</v>
      </c>
      <c r="B29" s="766"/>
      <c r="C29" s="766"/>
      <c r="D29" s="766"/>
      <c r="E29" s="766"/>
      <c r="F29" s="766"/>
      <c r="G29" s="766"/>
    </row>
    <row r="30" spans="1:7" x14ac:dyDescent="0.25">
      <c r="A30" s="742"/>
      <c r="B30" s="247"/>
      <c r="C30" s="247"/>
      <c r="D30" s="247"/>
      <c r="E30" s="247"/>
      <c r="F30" s="247"/>
      <c r="G30" s="247"/>
    </row>
    <row r="31" spans="1:7" x14ac:dyDescent="0.25">
      <c r="A31" s="767" t="str">
        <f>CONCATENATE("So, let's look to see if any of your ",inputPrYr!C6-1," expenditures can be reduced or eliminated. For example,")</f>
        <v>So, let's look to see if any of your 2024 expenditures can be reduced or eliminated. For example,</v>
      </c>
      <c r="B31" s="766"/>
      <c r="C31" s="766"/>
      <c r="D31" s="766"/>
      <c r="E31" s="766"/>
      <c r="F31" s="766"/>
    </row>
    <row r="32" spans="1:7" x14ac:dyDescent="0.25">
      <c r="A32" s="767" t="s">
        <v>737</v>
      </c>
      <c r="B32" s="766"/>
      <c r="C32" s="766"/>
      <c r="D32" s="766"/>
      <c r="E32" s="766"/>
      <c r="F32" s="766"/>
    </row>
    <row r="33" spans="1:7" x14ac:dyDescent="0.25">
      <c r="A33" s="767" t="s">
        <v>738</v>
      </c>
      <c r="B33" s="766"/>
      <c r="C33" s="766"/>
      <c r="D33" s="766"/>
      <c r="E33" s="766"/>
      <c r="F33" s="766"/>
    </row>
    <row r="35" spans="1:7" x14ac:dyDescent="0.25">
      <c r="A35" s="767" t="str">
        <f>CONCATENATE("Additionally, do your ",inputPrYr!C6-1," receipts contain a reimbursement (e.g. FEMA)?  If so, instead of")</f>
        <v>Additionally, do your 2024 receipts contain a reimbursement (e.g. FEMA)?  If so, instead of</v>
      </c>
      <c r="B35" s="766"/>
      <c r="C35" s="766"/>
      <c r="D35" s="766"/>
      <c r="E35" s="766"/>
      <c r="F35" s="766"/>
    </row>
    <row r="36" spans="1:7" x14ac:dyDescent="0.25">
      <c r="A36" s="767" t="s">
        <v>825</v>
      </c>
      <c r="B36" s="766"/>
      <c r="C36" s="766"/>
      <c r="D36" s="766"/>
      <c r="E36" s="766"/>
      <c r="F36" s="766"/>
    </row>
    <row r="37" spans="1:7" x14ac:dyDescent="0.25">
      <c r="B37" s="766"/>
      <c r="C37" s="766"/>
      <c r="D37" s="766"/>
      <c r="E37" s="766"/>
      <c r="F37" s="766"/>
      <c r="G37" s="766"/>
    </row>
    <row r="38" spans="1:7" x14ac:dyDescent="0.25">
      <c r="A38" s="1" t="s">
        <v>826</v>
      </c>
      <c r="B38" s="766"/>
      <c r="C38" s="766"/>
      <c r="D38" s="766"/>
      <c r="E38" s="766"/>
      <c r="F38" s="766"/>
      <c r="G38" s="766"/>
    </row>
    <row r="39" spans="1:7" x14ac:dyDescent="0.25">
      <c r="A39" s="1" t="s">
        <v>827</v>
      </c>
      <c r="B39" s="766"/>
      <c r="C39" s="766"/>
      <c r="D39" s="766"/>
      <c r="E39" s="766"/>
      <c r="F39" s="766"/>
      <c r="G39" s="766"/>
    </row>
    <row r="40" spans="1:7" x14ac:dyDescent="0.25">
      <c r="A40" s="1" t="s">
        <v>828</v>
      </c>
      <c r="B40" s="766"/>
      <c r="C40" s="766"/>
      <c r="D40" s="766"/>
      <c r="E40" s="766"/>
      <c r="F40" s="766"/>
      <c r="G40" s="766"/>
    </row>
    <row r="41" spans="1:7" x14ac:dyDescent="0.25">
      <c r="B41" s="766"/>
      <c r="C41" s="766"/>
      <c r="D41" s="766"/>
      <c r="E41" s="766"/>
      <c r="F41" s="766"/>
      <c r="G41" s="766"/>
    </row>
    <row r="42" spans="1:7" x14ac:dyDescent="0.25">
      <c r="A42" s="767" t="s">
        <v>744</v>
      </c>
      <c r="B42" s="766"/>
      <c r="C42" s="766"/>
      <c r="D42" s="766"/>
      <c r="E42" s="766"/>
      <c r="F42" s="766"/>
    </row>
    <row r="43" spans="1:7" x14ac:dyDescent="0.25">
      <c r="A43" s="767" t="s">
        <v>745</v>
      </c>
      <c r="B43" s="766"/>
      <c r="C43" s="766"/>
      <c r="D43" s="766"/>
      <c r="E43" s="766"/>
      <c r="F43" s="766"/>
    </row>
    <row r="44" spans="1:7" x14ac:dyDescent="0.25">
      <c r="A44" s="767"/>
      <c r="B44" s="766"/>
      <c r="C44" s="766"/>
      <c r="D44" s="766"/>
      <c r="E44" s="766"/>
      <c r="F44" s="766"/>
    </row>
    <row r="45" spans="1:7" x14ac:dyDescent="0.25">
      <c r="A45" s="1" t="s">
        <v>829</v>
      </c>
      <c r="B45" s="766"/>
      <c r="C45" s="766"/>
      <c r="D45" s="766"/>
      <c r="E45" s="766"/>
      <c r="F45" s="766"/>
      <c r="G45" s="766"/>
    </row>
    <row r="46" spans="1:7" x14ac:dyDescent="0.25">
      <c r="A46" s="1" t="s">
        <v>830</v>
      </c>
      <c r="B46" s="766"/>
      <c r="C46" s="766"/>
      <c r="D46" s="766"/>
      <c r="E46" s="766"/>
      <c r="F46" s="766"/>
      <c r="G46" s="766"/>
    </row>
    <row r="47" spans="1:7" x14ac:dyDescent="0.25">
      <c r="A47" s="1" t="s">
        <v>831</v>
      </c>
      <c r="B47" s="766"/>
      <c r="C47" s="766"/>
      <c r="D47" s="766"/>
      <c r="E47" s="766"/>
      <c r="F47" s="766"/>
      <c r="G47" s="766"/>
    </row>
    <row r="49" spans="1:6" x14ac:dyDescent="0.25">
      <c r="A49" s="767" t="s">
        <v>806</v>
      </c>
      <c r="B49" s="766"/>
      <c r="C49" s="766"/>
      <c r="D49" s="766"/>
      <c r="E49" s="766"/>
      <c r="F49" s="766"/>
    </row>
    <row r="50" spans="1:6" x14ac:dyDescent="0.25">
      <c r="A50" s="767" t="s">
        <v>832</v>
      </c>
      <c r="B50" s="766"/>
      <c r="C50" s="766"/>
      <c r="D50" s="766"/>
      <c r="E50" s="766"/>
      <c r="F50" s="766"/>
    </row>
    <row r="51" spans="1:6" x14ac:dyDescent="0.25">
      <c r="A51" s="767" t="s">
        <v>833</v>
      </c>
      <c r="B51" s="766"/>
      <c r="C51" s="766"/>
      <c r="D51" s="766"/>
      <c r="E51" s="766"/>
      <c r="F51" s="766"/>
    </row>
    <row r="53" spans="1:6" x14ac:dyDescent="0.25">
      <c r="A53" s="1" t="s">
        <v>300</v>
      </c>
    </row>
    <row r="59" spans="1:6" x14ac:dyDescent="0.25">
      <c r="A59" s="742"/>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A40"/>
  <sheetViews>
    <sheetView topLeftCell="A7" workbookViewId="0">
      <selection activeCell="L17" sqref="L17"/>
    </sheetView>
  </sheetViews>
  <sheetFormatPr defaultRowHeight="15" x14ac:dyDescent="0.2"/>
  <cols>
    <col min="1" max="1" width="132.44140625" customWidth="1"/>
  </cols>
  <sheetData>
    <row r="1" spans="1:1" x14ac:dyDescent="0.2">
      <c r="A1" s="827" t="s">
        <v>530</v>
      </c>
    </row>
    <row r="2" spans="1:1" x14ac:dyDescent="0.2">
      <c r="A2" s="827"/>
    </row>
    <row r="3" spans="1:1" x14ac:dyDescent="0.2">
      <c r="A3" s="827"/>
    </row>
    <row r="4" spans="1:1" x14ac:dyDescent="0.2">
      <c r="A4" s="827"/>
    </row>
    <row r="5" spans="1:1" x14ac:dyDescent="0.2">
      <c r="A5" s="827"/>
    </row>
    <row r="6" spans="1:1" x14ac:dyDescent="0.2">
      <c r="A6" s="827"/>
    </row>
    <row r="7" spans="1:1" x14ac:dyDescent="0.2">
      <c r="A7" s="827"/>
    </row>
    <row r="8" spans="1:1" x14ac:dyDescent="0.2">
      <c r="A8" s="827"/>
    </row>
    <row r="9" spans="1:1" x14ac:dyDescent="0.2">
      <c r="A9" s="827"/>
    </row>
    <row r="10" spans="1:1" x14ac:dyDescent="0.2">
      <c r="A10" s="827"/>
    </row>
    <row r="11" spans="1:1" x14ac:dyDescent="0.2">
      <c r="A11" s="827"/>
    </row>
    <row r="12" spans="1:1" x14ac:dyDescent="0.2">
      <c r="A12" s="827"/>
    </row>
    <row r="13" spans="1:1" x14ac:dyDescent="0.2">
      <c r="A13" s="827"/>
    </row>
    <row r="14" spans="1:1" x14ac:dyDescent="0.2">
      <c r="A14" s="827"/>
    </row>
    <row r="15" spans="1:1" x14ac:dyDescent="0.2">
      <c r="A15" s="827"/>
    </row>
    <row r="16" spans="1:1" x14ac:dyDescent="0.2">
      <c r="A16" s="827"/>
    </row>
    <row r="17" spans="1:1" x14ac:dyDescent="0.2">
      <c r="A17" s="827"/>
    </row>
    <row r="18" spans="1:1" x14ac:dyDescent="0.2">
      <c r="A18" s="827"/>
    </row>
    <row r="19" spans="1:1" x14ac:dyDescent="0.2">
      <c r="A19" s="827"/>
    </row>
    <row r="20" spans="1:1" x14ac:dyDescent="0.2">
      <c r="A20" s="827"/>
    </row>
    <row r="21" spans="1:1" x14ac:dyDescent="0.2">
      <c r="A21" s="827"/>
    </row>
    <row r="22" spans="1:1" x14ac:dyDescent="0.2">
      <c r="A22" s="827"/>
    </row>
    <row r="23" spans="1:1" x14ac:dyDescent="0.2">
      <c r="A23" s="827"/>
    </row>
    <row r="24" spans="1:1" x14ac:dyDescent="0.2">
      <c r="A24" s="827"/>
    </row>
    <row r="25" spans="1:1" x14ac:dyDescent="0.2">
      <c r="A25" s="827"/>
    </row>
    <row r="26" spans="1:1" x14ac:dyDescent="0.2">
      <c r="A26" s="827"/>
    </row>
    <row r="27" spans="1:1" x14ac:dyDescent="0.2">
      <c r="A27" s="827"/>
    </row>
    <row r="28" spans="1:1" x14ac:dyDescent="0.2">
      <c r="A28" s="827"/>
    </row>
    <row r="29" spans="1:1" x14ac:dyDescent="0.2">
      <c r="A29" s="827"/>
    </row>
    <row r="30" spans="1:1" x14ac:dyDescent="0.2">
      <c r="A30" s="827"/>
    </row>
    <row r="31" spans="1:1" x14ac:dyDescent="0.2">
      <c r="A31" s="827"/>
    </row>
    <row r="32" spans="1:1" x14ac:dyDescent="0.2">
      <c r="A32" s="827"/>
    </row>
    <row r="33" spans="1:1" x14ac:dyDescent="0.2">
      <c r="A33" s="827"/>
    </row>
    <row r="34" spans="1:1" x14ac:dyDescent="0.2">
      <c r="A34" s="827"/>
    </row>
    <row r="35" spans="1:1" x14ac:dyDescent="0.2">
      <c r="A35" s="827"/>
    </row>
    <row r="36" spans="1:1" x14ac:dyDescent="0.2">
      <c r="A36" s="827"/>
    </row>
    <row r="37" spans="1:1" x14ac:dyDescent="0.2">
      <c r="A37" s="827"/>
    </row>
    <row r="38" spans="1:1" x14ac:dyDescent="0.2">
      <c r="A38" s="827"/>
    </row>
    <row r="39" spans="1:1" x14ac:dyDescent="0.2">
      <c r="A39" s="827"/>
    </row>
    <row r="40" spans="1:1" x14ac:dyDescent="0.2">
      <c r="A40" s="827"/>
    </row>
  </sheetData>
  <sheetProtection sheet="1"/>
  <mergeCells count="1">
    <mergeCell ref="A1:A40"/>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FFDC1-801C-49C8-9E70-BA626E3B38EA}">
  <sheetPr codeName="Sheet50">
    <tabColor rgb="FFFF0000"/>
  </sheetPr>
  <dimension ref="A1:G39"/>
  <sheetViews>
    <sheetView workbookViewId="0">
      <selection sqref="A1:G2"/>
    </sheetView>
  </sheetViews>
  <sheetFormatPr defaultRowHeight="15.75" x14ac:dyDescent="0.25"/>
  <cols>
    <col min="1" max="1" width="66.77734375" style="1" customWidth="1"/>
  </cols>
  <sheetData>
    <row r="1" spans="1:7" ht="15.75" customHeight="1" x14ac:dyDescent="0.2">
      <c r="A1" s="948" t="s">
        <v>668</v>
      </c>
    </row>
    <row r="2" spans="1:7" ht="15.75" customHeight="1" x14ac:dyDescent="0.2">
      <c r="A2" s="948"/>
    </row>
    <row r="3" spans="1:7" x14ac:dyDescent="0.25">
      <c r="A3" s="741" t="s">
        <v>834</v>
      </c>
      <c r="B3" s="765"/>
      <c r="C3" s="765"/>
      <c r="D3" s="765"/>
      <c r="E3" s="765"/>
      <c r="F3" s="765"/>
      <c r="G3" s="765"/>
    </row>
    <row r="4" spans="1:7" x14ac:dyDescent="0.25">
      <c r="A4" s="741"/>
      <c r="B4" s="765"/>
      <c r="C4" s="765"/>
      <c r="D4" s="765"/>
      <c r="E4" s="765"/>
      <c r="F4" s="765"/>
      <c r="G4" s="765"/>
    </row>
    <row r="5" spans="1:7" x14ac:dyDescent="0.25">
      <c r="A5" s="741"/>
      <c r="B5" s="765"/>
      <c r="C5" s="765"/>
      <c r="D5" s="765"/>
      <c r="E5" s="765"/>
      <c r="F5" s="765"/>
      <c r="G5" s="765"/>
    </row>
    <row r="6" spans="1:7" x14ac:dyDescent="0.25">
      <c r="A6" s="1" t="str">
        <f>CONCATENATE("Welcome. You have been directed to this tab because your estimated ",inputPrYr!C6," total expenditures")</f>
        <v>Welcome. You have been directed to this tab because your estimated 2025 total expenditures</v>
      </c>
    </row>
    <row r="7" spans="1:7" x14ac:dyDescent="0.25">
      <c r="A7" s="1" t="str">
        <f>CONCATENATE("your ",inputPrYr!C6," unemcumbered cash balance Dec 31.")</f>
        <v>your 2025 unemcumbered cash balance Dec 31.</v>
      </c>
    </row>
    <row r="9" spans="1:7" x14ac:dyDescent="0.25">
      <c r="A9" s="1" t="s">
        <v>835</v>
      </c>
    </row>
    <row r="10" spans="1:7" x14ac:dyDescent="0.25">
      <c r="A10" s="1" t="s">
        <v>836</v>
      </c>
    </row>
    <row r="12" spans="1:7" x14ac:dyDescent="0.25">
      <c r="A12" s="742" t="s">
        <v>312</v>
      </c>
    </row>
    <row r="13" spans="1:7" x14ac:dyDescent="0.25">
      <c r="A13" s="741"/>
      <c r="B13" s="765"/>
      <c r="C13" s="765"/>
      <c r="D13" s="765"/>
      <c r="E13" s="765"/>
      <c r="F13" s="765"/>
      <c r="G13" s="765"/>
    </row>
    <row r="14" spans="1:7" x14ac:dyDescent="0.25">
      <c r="A14" s="1" t="s">
        <v>837</v>
      </c>
    </row>
    <row r="15" spans="1:7" x14ac:dyDescent="0.25">
      <c r="A15" s="1" t="s">
        <v>838</v>
      </c>
    </row>
    <row r="17" spans="1:1" x14ac:dyDescent="0.25">
      <c r="A17" s="742" t="s">
        <v>313</v>
      </c>
    </row>
    <row r="19" spans="1:1" x14ac:dyDescent="0.25">
      <c r="A19" s="1" t="s">
        <v>839</v>
      </c>
    </row>
    <row r="20" spans="1:1" x14ac:dyDescent="0.25">
      <c r="A20" s="1" t="s">
        <v>840</v>
      </c>
    </row>
    <row r="22" spans="1:1" x14ac:dyDescent="0.25">
      <c r="A22" s="742" t="s">
        <v>314</v>
      </c>
    </row>
    <row r="24" spans="1:1" x14ac:dyDescent="0.25">
      <c r="A24" s="1" t="s">
        <v>841</v>
      </c>
    </row>
    <row r="25" spans="1:1" x14ac:dyDescent="0.25">
      <c r="A25" s="1" t="s">
        <v>842</v>
      </c>
    </row>
    <row r="26" spans="1:1" x14ac:dyDescent="0.25">
      <c r="A26" s="1" t="s">
        <v>843</v>
      </c>
    </row>
    <row r="28" spans="1:1" x14ac:dyDescent="0.25">
      <c r="A28" s="1" t="s">
        <v>844</v>
      </c>
    </row>
    <row r="29" spans="1:1" x14ac:dyDescent="0.25">
      <c r="A29" s="1" t="s">
        <v>845</v>
      </c>
    </row>
    <row r="30" spans="1:1" x14ac:dyDescent="0.25">
      <c r="A30" s="1" t="s">
        <v>846</v>
      </c>
    </row>
    <row r="32" spans="1:1" x14ac:dyDescent="0.25">
      <c r="A32" s="1" t="s">
        <v>847</v>
      </c>
    </row>
    <row r="33" spans="1:1" x14ac:dyDescent="0.25">
      <c r="A33" s="1" t="s">
        <v>848</v>
      </c>
    </row>
    <row r="34" spans="1:1" x14ac:dyDescent="0.25">
      <c r="A34" s="1" t="s">
        <v>849</v>
      </c>
    </row>
    <row r="36" spans="1:1" x14ac:dyDescent="0.25">
      <c r="A36" s="1" t="s">
        <v>850</v>
      </c>
    </row>
    <row r="37" spans="1:1" x14ac:dyDescent="0.25">
      <c r="A37" s="1" t="s">
        <v>851</v>
      </c>
    </row>
    <row r="39" spans="1:1" x14ac:dyDescent="0.25">
      <c r="A39" s="1" t="s">
        <v>300</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04187-1B8C-4A53-BA89-7993277DE820}">
  <sheetPr codeName="Sheet51"/>
  <dimension ref="A1:N245"/>
  <sheetViews>
    <sheetView workbookViewId="0">
      <selection sqref="A1:G2"/>
    </sheetView>
  </sheetViews>
  <sheetFormatPr defaultRowHeight="15" x14ac:dyDescent="0.2"/>
  <cols>
    <col min="1" max="1" width="3.44140625" customWidth="1"/>
    <col min="2" max="2" width="8" customWidth="1"/>
  </cols>
  <sheetData>
    <row r="1" spans="1:5" ht="15.75" customHeight="1" x14ac:dyDescent="0.2"/>
    <row r="2" spans="1:5" ht="9.75" customHeight="1" x14ac:dyDescent="0.2"/>
    <row r="3" spans="1:5" ht="18" x14ac:dyDescent="0.25">
      <c r="A3" s="768" t="s">
        <v>547</v>
      </c>
    </row>
    <row r="4" spans="1:5" ht="9.75" customHeight="1" x14ac:dyDescent="0.55000000000000004">
      <c r="B4" s="769"/>
    </row>
    <row r="5" spans="1:5" ht="15.75" x14ac:dyDescent="0.2">
      <c r="B5" s="770" t="s">
        <v>852</v>
      </c>
    </row>
    <row r="6" spans="1:5" ht="8.1" customHeight="1" x14ac:dyDescent="0.2">
      <c r="B6" s="770"/>
    </row>
    <row r="7" spans="1:5" ht="15.75" x14ac:dyDescent="0.2">
      <c r="B7" s="770" t="s">
        <v>853</v>
      </c>
    </row>
    <row r="8" spans="1:5" ht="15.75" x14ac:dyDescent="0.2">
      <c r="B8" s="771" t="s">
        <v>854</v>
      </c>
    </row>
    <row r="9" spans="1:5" ht="8.1" customHeight="1" x14ac:dyDescent="0.2">
      <c r="B9" s="771"/>
    </row>
    <row r="10" spans="1:5" ht="15.75" x14ac:dyDescent="0.2">
      <c r="C10" s="772" t="s">
        <v>855</v>
      </c>
      <c r="D10" s="770" t="s">
        <v>856</v>
      </c>
    </row>
    <row r="11" spans="1:5" ht="15.75" customHeight="1" x14ac:dyDescent="0.2">
      <c r="B11" s="770"/>
      <c r="D11" s="770" t="s">
        <v>857</v>
      </c>
    </row>
    <row r="12" spans="1:5" ht="15.75" customHeight="1" x14ac:dyDescent="0.2">
      <c r="B12" s="770"/>
      <c r="D12" s="770"/>
    </row>
    <row r="13" spans="1:5" ht="15.75" customHeight="1" x14ac:dyDescent="0.2">
      <c r="B13" s="770" t="s">
        <v>858</v>
      </c>
      <c r="E13" s="770" t="s">
        <v>859</v>
      </c>
    </row>
    <row r="14" spans="1:5" ht="15.75" customHeight="1" x14ac:dyDescent="0.2">
      <c r="B14" s="770"/>
      <c r="E14" s="770" t="s">
        <v>860</v>
      </c>
    </row>
    <row r="15" spans="1:5" ht="15.75" customHeight="1" x14ac:dyDescent="0.2">
      <c r="B15" s="770"/>
      <c r="E15" s="770" t="s">
        <v>861</v>
      </c>
    </row>
    <row r="16" spans="1:5" ht="15.75" customHeight="1" x14ac:dyDescent="0.2">
      <c r="B16" s="770"/>
      <c r="E16" s="770" t="s">
        <v>862</v>
      </c>
    </row>
    <row r="17" spans="2:5" ht="15.75" customHeight="1" x14ac:dyDescent="0.2">
      <c r="B17" s="770"/>
      <c r="E17" s="770"/>
    </row>
    <row r="18" spans="2:5" ht="15.75" customHeight="1" x14ac:dyDescent="0.2">
      <c r="B18" s="770"/>
      <c r="E18" s="770"/>
    </row>
    <row r="19" spans="2:5" ht="15.75" customHeight="1" x14ac:dyDescent="0.2">
      <c r="B19" s="770"/>
      <c r="E19" s="770"/>
    </row>
    <row r="20" spans="2:5" ht="15.75" customHeight="1" x14ac:dyDescent="0.2">
      <c r="B20" s="770"/>
      <c r="E20" s="770"/>
    </row>
    <row r="21" spans="2:5" ht="15.75" customHeight="1" x14ac:dyDescent="0.2">
      <c r="B21" s="770"/>
      <c r="E21" s="770"/>
    </row>
    <row r="22" spans="2:5" ht="15.75" customHeight="1" x14ac:dyDescent="0.2">
      <c r="B22" s="770"/>
      <c r="E22" s="770"/>
    </row>
    <row r="23" spans="2:5" ht="15.75" customHeight="1" x14ac:dyDescent="0.2">
      <c r="B23" s="770"/>
      <c r="E23" s="770"/>
    </row>
    <row r="24" spans="2:5" ht="15.75" customHeight="1" x14ac:dyDescent="0.2">
      <c r="B24" s="770"/>
      <c r="E24" s="770"/>
    </row>
    <row r="25" spans="2:5" ht="15.75" customHeight="1" x14ac:dyDescent="0.2">
      <c r="B25" s="770"/>
      <c r="E25" s="770"/>
    </row>
    <row r="26" spans="2:5" ht="15.75" customHeight="1" x14ac:dyDescent="0.2">
      <c r="B26" s="770"/>
      <c r="E26" s="770"/>
    </row>
    <row r="27" spans="2:5" ht="15.75" customHeight="1" x14ac:dyDescent="0.2">
      <c r="B27" s="770"/>
      <c r="E27" s="770"/>
    </row>
    <row r="28" spans="2:5" ht="15.75" customHeight="1" x14ac:dyDescent="0.2">
      <c r="B28" s="770"/>
      <c r="E28" s="770"/>
    </row>
    <row r="29" spans="2:5" ht="15.75" customHeight="1" x14ac:dyDescent="0.2">
      <c r="B29" s="770"/>
      <c r="E29" s="770"/>
    </row>
    <row r="30" spans="2:5" ht="15.75" customHeight="1" x14ac:dyDescent="0.2">
      <c r="B30" s="770"/>
      <c r="E30" s="770"/>
    </row>
    <row r="31" spans="2:5" ht="15.75" customHeight="1" x14ac:dyDescent="0.2">
      <c r="B31" s="770"/>
      <c r="E31" s="770"/>
    </row>
    <row r="32" spans="2:5" ht="15.75" customHeight="1" x14ac:dyDescent="0.2">
      <c r="B32" s="770"/>
      <c r="E32" s="770"/>
    </row>
    <row r="33" spans="2:5" ht="15.75" customHeight="1" x14ac:dyDescent="0.2">
      <c r="B33" s="770"/>
      <c r="E33" s="770"/>
    </row>
    <row r="34" spans="2:5" ht="15.75" customHeight="1" x14ac:dyDescent="0.2">
      <c r="B34" s="770"/>
      <c r="E34" s="770"/>
    </row>
    <row r="35" spans="2:5" ht="15.75" customHeight="1" x14ac:dyDescent="0.2">
      <c r="B35" s="770"/>
      <c r="E35" s="770"/>
    </row>
    <row r="36" spans="2:5" ht="15.75" customHeight="1" x14ac:dyDescent="0.2">
      <c r="B36" s="770" t="s">
        <v>863</v>
      </c>
      <c r="D36" s="770"/>
      <c r="E36" s="770" t="s">
        <v>864</v>
      </c>
    </row>
    <row r="37" spans="2:5" ht="15.75" customHeight="1" x14ac:dyDescent="0.2">
      <c r="B37" s="770"/>
      <c r="D37" s="770"/>
      <c r="E37" s="770" t="s">
        <v>865</v>
      </c>
    </row>
    <row r="38" spans="2:5" ht="15.75" customHeight="1" x14ac:dyDescent="0.2">
      <c r="B38" s="770"/>
      <c r="D38" s="770"/>
      <c r="E38" s="770" t="s">
        <v>866</v>
      </c>
    </row>
    <row r="39" spans="2:5" ht="15.75" customHeight="1" x14ac:dyDescent="0.2">
      <c r="B39" s="770"/>
      <c r="D39" s="770"/>
      <c r="E39" s="770" t="s">
        <v>867</v>
      </c>
    </row>
    <row r="40" spans="2:5" ht="15.75" customHeight="1" x14ac:dyDescent="0.2"/>
    <row r="41" spans="2:5" ht="15.75" customHeight="1" x14ac:dyDescent="0.2">
      <c r="B41" s="770" t="s">
        <v>547</v>
      </c>
      <c r="E41" s="773" t="s">
        <v>868</v>
      </c>
    </row>
    <row r="42" spans="2:5" ht="15.75" customHeight="1" x14ac:dyDescent="0.2">
      <c r="B42" s="770"/>
      <c r="E42" s="773"/>
    </row>
    <row r="43" spans="2:5" ht="15.75" customHeight="1" x14ac:dyDescent="0.2">
      <c r="E43" s="773"/>
    </row>
    <row r="44" spans="2:5" ht="15.75" customHeight="1" x14ac:dyDescent="0.2">
      <c r="B44" s="770" t="s">
        <v>869</v>
      </c>
      <c r="D44" s="770"/>
      <c r="E44" s="773" t="s">
        <v>870</v>
      </c>
    </row>
    <row r="45" spans="2:5" ht="15.75" customHeight="1" x14ac:dyDescent="0.2">
      <c r="B45" s="770"/>
      <c r="D45" s="770"/>
      <c r="E45" s="770"/>
    </row>
    <row r="46" spans="2:5" ht="15.75" customHeight="1" x14ac:dyDescent="0.2">
      <c r="B46" s="770"/>
      <c r="D46" s="770"/>
    </row>
    <row r="47" spans="2:5" ht="15.75" customHeight="1" x14ac:dyDescent="0.2">
      <c r="B47" s="770"/>
      <c r="D47" s="770"/>
    </row>
    <row r="48" spans="2:5" ht="15.75" customHeight="1" x14ac:dyDescent="0.2">
      <c r="B48" s="770"/>
      <c r="D48" s="770"/>
    </row>
    <row r="49" spans="1:14" ht="15.75" customHeight="1" x14ac:dyDescent="0.2">
      <c r="B49" s="770"/>
      <c r="D49" s="770"/>
    </row>
    <row r="50" spans="1:14" ht="15.75" customHeight="1" x14ac:dyDescent="0.2">
      <c r="B50" s="770"/>
      <c r="D50" s="770"/>
    </row>
    <row r="51" spans="1:14" ht="15.75" customHeight="1" x14ac:dyDescent="0.2">
      <c r="B51" s="770"/>
      <c r="D51" s="770"/>
    </row>
    <row r="52" spans="1:14" ht="15.75" customHeight="1" x14ac:dyDescent="0.2">
      <c r="B52" s="770"/>
      <c r="D52" s="770"/>
    </row>
    <row r="53" spans="1:14" ht="15.75" customHeight="1" x14ac:dyDescent="0.2">
      <c r="B53" s="770"/>
      <c r="D53" s="770"/>
    </row>
    <row r="54" spans="1:14" ht="15.75" customHeight="1" x14ac:dyDescent="0.2">
      <c r="B54" s="770"/>
      <c r="D54" s="770"/>
    </row>
    <row r="55" spans="1:14" ht="15.75" customHeight="1" x14ac:dyDescent="0.2">
      <c r="B55" s="770"/>
    </row>
    <row r="56" spans="1:14" ht="15.75" customHeight="1" x14ac:dyDescent="0.2">
      <c r="B56" s="770"/>
    </row>
    <row r="57" spans="1:14" ht="15.75" customHeight="1" x14ac:dyDescent="0.2">
      <c r="B57" s="770"/>
    </row>
    <row r="58" spans="1:14" ht="15.75" customHeight="1" x14ac:dyDescent="0.2">
      <c r="B58" s="770"/>
    </row>
    <row r="59" spans="1:14" ht="3" customHeight="1" x14ac:dyDescent="0.2">
      <c r="A59" s="774"/>
      <c r="B59" s="775"/>
      <c r="C59" s="774"/>
      <c r="D59" s="774"/>
      <c r="E59" s="774"/>
      <c r="F59" s="774"/>
      <c r="G59" s="774"/>
      <c r="H59" s="774"/>
      <c r="I59" s="774"/>
      <c r="J59" s="774"/>
      <c r="K59" s="774"/>
      <c r="L59" s="774"/>
      <c r="M59" s="774"/>
      <c r="N59" s="774"/>
    </row>
    <row r="60" spans="1:14" ht="15.75" customHeight="1" x14ac:dyDescent="0.2">
      <c r="B60" s="770"/>
    </row>
    <row r="61" spans="1:14" ht="15.75" customHeight="1" x14ac:dyDescent="0.25">
      <c r="A61" s="949" t="s">
        <v>506</v>
      </c>
      <c r="B61" s="949"/>
      <c r="C61" s="949"/>
      <c r="D61" s="949"/>
      <c r="E61" s="949"/>
      <c r="F61" s="949"/>
      <c r="G61" s="949"/>
      <c r="H61" s="949"/>
      <c r="I61" s="949"/>
      <c r="J61" s="949"/>
      <c r="K61" s="776"/>
    </row>
    <row r="62" spans="1:14" ht="21.75" customHeight="1" x14ac:dyDescent="0.25">
      <c r="A62" s="949"/>
      <c r="B62" s="949"/>
      <c r="C62" s="949"/>
      <c r="D62" s="949"/>
      <c r="E62" s="949"/>
      <c r="F62" s="949"/>
      <c r="G62" s="949"/>
      <c r="H62" s="949"/>
      <c r="I62" s="949"/>
      <c r="J62" s="949"/>
      <c r="K62" s="776"/>
    </row>
    <row r="63" spans="1:14" ht="15.75" customHeight="1" x14ac:dyDescent="0.2">
      <c r="B63" s="770"/>
    </row>
    <row r="64" spans="1:14" ht="15.75" x14ac:dyDescent="0.2">
      <c r="B64" s="770"/>
    </row>
    <row r="65" spans="2:2" ht="18.75" customHeight="1" x14ac:dyDescent="0.2">
      <c r="B65" s="770"/>
    </row>
    <row r="66" spans="2:2" ht="13.5" customHeight="1" x14ac:dyDescent="0.2">
      <c r="B66" s="770"/>
    </row>
    <row r="67" spans="2:2" ht="15.75" x14ac:dyDescent="0.2">
      <c r="B67" s="770"/>
    </row>
    <row r="82" spans="12:12" x14ac:dyDescent="0.2">
      <c r="L82" s="777"/>
    </row>
    <row r="214" spans="1:14" ht="3" customHeight="1" x14ac:dyDescent="0.2">
      <c r="A214" s="774"/>
      <c r="B214" s="775"/>
      <c r="C214" s="774"/>
      <c r="D214" s="774"/>
      <c r="E214" s="774"/>
      <c r="F214" s="774"/>
      <c r="G214" s="774"/>
      <c r="H214" s="774"/>
      <c r="I214" s="774"/>
      <c r="J214" s="774"/>
      <c r="K214" s="774"/>
      <c r="L214" s="774"/>
      <c r="M214" s="774"/>
      <c r="N214" s="774"/>
    </row>
    <row r="217" spans="1:14" ht="18" x14ac:dyDescent="0.25">
      <c r="A217" s="778" t="s">
        <v>342</v>
      </c>
      <c r="B217" s="779"/>
    </row>
    <row r="218" spans="1:14" ht="15.75" x14ac:dyDescent="0.25">
      <c r="B218" s="1"/>
    </row>
    <row r="219" spans="1:14" ht="30" customHeight="1" x14ac:dyDescent="0.25">
      <c r="B219" s="929" t="s">
        <v>343</v>
      </c>
      <c r="C219" s="929"/>
      <c r="D219" s="929"/>
      <c r="E219" s="929"/>
      <c r="F219" s="929"/>
      <c r="G219" s="929"/>
      <c r="H219" s="929"/>
      <c r="I219" s="929"/>
      <c r="J219" s="317"/>
    </row>
    <row r="220" spans="1:14" ht="15.75" x14ac:dyDescent="0.25">
      <c r="B220" s="780" t="s">
        <v>669</v>
      </c>
    </row>
    <row r="221" spans="1:14" ht="15.75" x14ac:dyDescent="0.25">
      <c r="B221" s="1"/>
    </row>
    <row r="222" spans="1:14" ht="45.75" customHeight="1" x14ac:dyDescent="0.25">
      <c r="B222" s="929" t="s">
        <v>344</v>
      </c>
      <c r="C222" s="929"/>
      <c r="D222" s="929"/>
      <c r="E222" s="929"/>
      <c r="F222" s="929"/>
      <c r="G222" s="929"/>
      <c r="H222" s="929"/>
    </row>
    <row r="223" spans="1:14" ht="15.75" x14ac:dyDescent="0.25">
      <c r="B223" s="780" t="s">
        <v>670</v>
      </c>
    </row>
    <row r="224" spans="1:14" ht="15.75" x14ac:dyDescent="0.25">
      <c r="B224" s="1"/>
    </row>
    <row r="225" spans="2:2" ht="15.75" x14ac:dyDescent="0.25">
      <c r="B225" s="1" t="s">
        <v>671</v>
      </c>
    </row>
    <row r="226" spans="2:2" ht="15.75" x14ac:dyDescent="0.25">
      <c r="B226" s="780" t="s">
        <v>672</v>
      </c>
    </row>
    <row r="227" spans="2:2" ht="15.75" x14ac:dyDescent="0.25">
      <c r="B227" s="1"/>
    </row>
    <row r="228" spans="2:2" ht="15.75" x14ac:dyDescent="0.25">
      <c r="B228" s="1" t="s">
        <v>345</v>
      </c>
    </row>
    <row r="229" spans="2:2" ht="15.75" x14ac:dyDescent="0.25">
      <c r="B229" s="780" t="s">
        <v>673</v>
      </c>
    </row>
    <row r="230" spans="2:2" ht="15.75" x14ac:dyDescent="0.25">
      <c r="B230" s="1"/>
    </row>
    <row r="231" spans="2:2" ht="15.75" x14ac:dyDescent="0.25">
      <c r="B231" s="1" t="s">
        <v>346</v>
      </c>
    </row>
    <row r="232" spans="2:2" ht="15.75" x14ac:dyDescent="0.25">
      <c r="B232" s="780" t="s">
        <v>674</v>
      </c>
    </row>
    <row r="233" spans="2:2" ht="15.75" x14ac:dyDescent="0.25">
      <c r="B233" s="1"/>
    </row>
    <row r="234" spans="2:2" ht="15.75" x14ac:dyDescent="0.25">
      <c r="B234" s="1" t="s">
        <v>675</v>
      </c>
    </row>
    <row r="235" spans="2:2" ht="15.75" x14ac:dyDescent="0.25">
      <c r="B235" s="780" t="s">
        <v>676</v>
      </c>
    </row>
    <row r="236" spans="2:2" ht="15.75" x14ac:dyDescent="0.25">
      <c r="B236" s="1"/>
    </row>
    <row r="237" spans="2:2" ht="15.75" x14ac:dyDescent="0.25">
      <c r="B237" s="1" t="s">
        <v>347</v>
      </c>
    </row>
    <row r="238" spans="2:2" ht="15.75" x14ac:dyDescent="0.25">
      <c r="B238" s="780" t="s">
        <v>677</v>
      </c>
    </row>
    <row r="239" spans="2:2" ht="15.75" x14ac:dyDescent="0.25">
      <c r="B239" s="1"/>
    </row>
    <row r="240" spans="2:2" ht="15.75" x14ac:dyDescent="0.25">
      <c r="B240" s="1" t="s">
        <v>348</v>
      </c>
    </row>
    <row r="241" spans="2:2" ht="15.75" x14ac:dyDescent="0.25">
      <c r="B241" s="780" t="s">
        <v>678</v>
      </c>
    </row>
    <row r="242" spans="2:2" ht="15.75" x14ac:dyDescent="0.25">
      <c r="B242" s="1"/>
    </row>
    <row r="243" spans="2:2" ht="15.75" x14ac:dyDescent="0.25">
      <c r="B243" s="1" t="s">
        <v>349</v>
      </c>
    </row>
    <row r="244" spans="2:2" ht="15.75" x14ac:dyDescent="0.25">
      <c r="B244" s="780" t="s">
        <v>679</v>
      </c>
    </row>
    <row r="245" spans="2:2" ht="15.75" x14ac:dyDescent="0.25">
      <c r="B245" s="1"/>
    </row>
  </sheetData>
  <sheetProtection sheet="1" objects="1" scenarios="1"/>
  <mergeCells count="3">
    <mergeCell ref="A61:J62"/>
    <mergeCell ref="B219:I219"/>
    <mergeCell ref="B222:H222"/>
  </mergeCells>
  <hyperlinks>
    <hyperlink ref="B244" r:id="rId1" xr:uid="{2CC3EBE0-5267-4D70-B4B2-E3B17B3723B9}"/>
  </hyperlinks>
  <pageMargins left="0.7" right="0.7" top="0.75" bottom="0.75" header="0.3" footer="0.3"/>
  <pageSetup orientation="landscape" r:id="rId2"/>
  <drawing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5F3AF-57A2-4CD2-88C0-8C96EC557DDF}">
  <sheetPr codeName="Sheet52"/>
  <dimension ref="A1:A318"/>
  <sheetViews>
    <sheetView tabSelected="1" workbookViewId="0"/>
  </sheetViews>
  <sheetFormatPr defaultColWidth="8.88671875" defaultRowHeight="15.75" x14ac:dyDescent="0.2"/>
  <cols>
    <col min="1" max="1" width="83.6640625" style="17" customWidth="1"/>
    <col min="2" max="16384" width="8.88671875" style="16"/>
  </cols>
  <sheetData>
    <row r="1" spans="1:1" x14ac:dyDescent="0.2">
      <c r="A1" s="744" t="s">
        <v>996</v>
      </c>
    </row>
    <row r="2" spans="1:1" x14ac:dyDescent="0.2">
      <c r="A2" s="17" t="s">
        <v>992</v>
      </c>
    </row>
    <row r="3" spans="1:1" x14ac:dyDescent="0.2">
      <c r="A3" s="17" t="s">
        <v>993</v>
      </c>
    </row>
    <row r="4" spans="1:1" x14ac:dyDescent="0.2">
      <c r="A4" s="16" t="s">
        <v>994</v>
      </c>
    </row>
    <row r="5" spans="1:1" x14ac:dyDescent="0.2">
      <c r="A5" s="16" t="s">
        <v>997</v>
      </c>
    </row>
    <row r="7" spans="1:1" x14ac:dyDescent="0.2">
      <c r="A7" s="744" t="s">
        <v>990</v>
      </c>
    </row>
    <row r="8" spans="1:1" x14ac:dyDescent="0.2">
      <c r="A8" s="17" t="s">
        <v>991</v>
      </c>
    </row>
    <row r="10" spans="1:1" x14ac:dyDescent="0.2">
      <c r="A10" s="744" t="s">
        <v>871</v>
      </c>
    </row>
    <row r="11" spans="1:1" x14ac:dyDescent="0.2">
      <c r="A11" s="17" t="s">
        <v>872</v>
      </c>
    </row>
    <row r="12" spans="1:1" ht="17.25" customHeight="1" x14ac:dyDescent="0.2">
      <c r="A12" s="17" t="s">
        <v>873</v>
      </c>
    </row>
    <row r="13" spans="1:1" x14ac:dyDescent="0.2">
      <c r="A13" s="17" t="s">
        <v>874</v>
      </c>
    </row>
    <row r="14" spans="1:1" x14ac:dyDescent="0.2">
      <c r="A14" s="17" t="s">
        <v>875</v>
      </c>
    </row>
    <row r="15" spans="1:1" x14ac:dyDescent="0.2">
      <c r="A15" s="17" t="s">
        <v>876</v>
      </c>
    </row>
    <row r="17" spans="1:1" x14ac:dyDescent="0.2">
      <c r="A17" s="744" t="s">
        <v>680</v>
      </c>
    </row>
    <row r="18" spans="1:1" x14ac:dyDescent="0.2">
      <c r="A18" s="17" t="s">
        <v>681</v>
      </c>
    </row>
    <row r="19" spans="1:1" x14ac:dyDescent="0.2">
      <c r="A19" s="17" t="s">
        <v>682</v>
      </c>
    </row>
    <row r="20" spans="1:1" ht="31.5" x14ac:dyDescent="0.2">
      <c r="A20" s="17" t="s">
        <v>683</v>
      </c>
    </row>
    <row r="21" spans="1:1" ht="31.5" x14ac:dyDescent="0.2">
      <c r="A21" s="17" t="s">
        <v>684</v>
      </c>
    </row>
    <row r="22" spans="1:1" x14ac:dyDescent="0.2">
      <c r="A22" s="17" t="s">
        <v>685</v>
      </c>
    </row>
    <row r="23" spans="1:1" ht="31.5" x14ac:dyDescent="0.2">
      <c r="A23" s="17" t="s">
        <v>686</v>
      </c>
    </row>
    <row r="24" spans="1:1" x14ac:dyDescent="0.2">
      <c r="A24" s="17" t="s">
        <v>687</v>
      </c>
    </row>
    <row r="25" spans="1:1" x14ac:dyDescent="0.2">
      <c r="A25" s="17" t="s">
        <v>688</v>
      </c>
    </row>
    <row r="26" spans="1:1" x14ac:dyDescent="0.2">
      <c r="A26" s="17" t="s">
        <v>689</v>
      </c>
    </row>
    <row r="27" spans="1:1" x14ac:dyDescent="0.2">
      <c r="A27" s="17" t="s">
        <v>877</v>
      </c>
    </row>
    <row r="29" spans="1:1" x14ac:dyDescent="0.2">
      <c r="A29" s="744" t="s">
        <v>548</v>
      </c>
    </row>
    <row r="30" spans="1:1" x14ac:dyDescent="0.2">
      <c r="A30" s="17" t="s">
        <v>549</v>
      </c>
    </row>
    <row r="31" spans="1:1" x14ac:dyDescent="0.2">
      <c r="A31" s="17" t="s">
        <v>550</v>
      </c>
    </row>
    <row r="32" spans="1:1" x14ac:dyDescent="0.2">
      <c r="A32" s="17" t="s">
        <v>551</v>
      </c>
    </row>
    <row r="33" spans="1:1" x14ac:dyDescent="0.2">
      <c r="A33" s="17" t="s">
        <v>552</v>
      </c>
    </row>
    <row r="34" spans="1:1" x14ac:dyDescent="0.2">
      <c r="A34" s="17" t="s">
        <v>878</v>
      </c>
    </row>
    <row r="36" spans="1:1" x14ac:dyDescent="0.25">
      <c r="A36" s="781" t="s">
        <v>879</v>
      </c>
    </row>
    <row r="37" spans="1:1" x14ac:dyDescent="0.2">
      <c r="A37" s="17" t="s">
        <v>542</v>
      </c>
    </row>
    <row r="38" spans="1:1" ht="31.5" x14ac:dyDescent="0.2">
      <c r="A38" s="17" t="s">
        <v>543</v>
      </c>
    </row>
    <row r="39" spans="1:1" x14ac:dyDescent="0.2">
      <c r="A39" s="17" t="s">
        <v>544</v>
      </c>
    </row>
    <row r="40" spans="1:1" x14ac:dyDescent="0.2">
      <c r="A40" s="17" t="s">
        <v>545</v>
      </c>
    </row>
    <row r="41" spans="1:1" x14ac:dyDescent="0.2">
      <c r="A41" s="17" t="s">
        <v>546</v>
      </c>
    </row>
    <row r="44" spans="1:1" x14ac:dyDescent="0.25">
      <c r="A44" s="781" t="s">
        <v>880</v>
      </c>
    </row>
    <row r="45" spans="1:1" x14ac:dyDescent="0.2">
      <c r="A45" s="17" t="s">
        <v>881</v>
      </c>
    </row>
    <row r="46" spans="1:1" x14ac:dyDescent="0.2">
      <c r="A46" s="17" t="s">
        <v>882</v>
      </c>
    </row>
    <row r="47" spans="1:1" x14ac:dyDescent="0.2">
      <c r="A47" s="17" t="s">
        <v>883</v>
      </c>
    </row>
    <row r="48" spans="1:1" x14ac:dyDescent="0.2">
      <c r="A48" s="17" t="s">
        <v>884</v>
      </c>
    </row>
    <row r="49" spans="1:1" x14ac:dyDescent="0.2">
      <c r="A49" s="17" t="s">
        <v>885</v>
      </c>
    </row>
    <row r="50" spans="1:1" x14ac:dyDescent="0.2">
      <c r="A50" s="17" t="s">
        <v>886</v>
      </c>
    </row>
    <row r="52" spans="1:1" x14ac:dyDescent="0.25">
      <c r="A52" s="781" t="s">
        <v>532</v>
      </c>
    </row>
    <row r="53" spans="1:1" x14ac:dyDescent="0.2">
      <c r="A53" s="17" t="s">
        <v>533</v>
      </c>
    </row>
    <row r="54" spans="1:1" x14ac:dyDescent="0.2">
      <c r="A54" s="17" t="s">
        <v>534</v>
      </c>
    </row>
    <row r="55" spans="1:1" x14ac:dyDescent="0.2">
      <c r="A55" s="17" t="s">
        <v>535</v>
      </c>
    </row>
    <row r="56" spans="1:1" x14ac:dyDescent="0.2">
      <c r="A56" s="17" t="s">
        <v>536</v>
      </c>
    </row>
    <row r="57" spans="1:1" x14ac:dyDescent="0.2">
      <c r="A57" s="17" t="s">
        <v>537</v>
      </c>
    </row>
    <row r="58" spans="1:1" x14ac:dyDescent="0.2">
      <c r="A58" s="17" t="s">
        <v>538</v>
      </c>
    </row>
    <row r="59" spans="1:1" x14ac:dyDescent="0.2">
      <c r="A59" s="17" t="s">
        <v>539</v>
      </c>
    </row>
    <row r="60" spans="1:1" x14ac:dyDescent="0.2">
      <c r="A60" s="17" t="s">
        <v>540</v>
      </c>
    </row>
    <row r="62" spans="1:1" x14ac:dyDescent="0.25">
      <c r="A62" s="781" t="s">
        <v>526</v>
      </c>
    </row>
    <row r="63" spans="1:1" x14ac:dyDescent="0.2">
      <c r="A63" s="782" t="s">
        <v>527</v>
      </c>
    </row>
    <row r="64" spans="1:1" x14ac:dyDescent="0.2">
      <c r="A64" s="782" t="s">
        <v>528</v>
      </c>
    </row>
    <row r="66" spans="1:1" x14ac:dyDescent="0.25">
      <c r="A66" s="783" t="s">
        <v>887</v>
      </c>
    </row>
    <row r="67" spans="1:1" x14ac:dyDescent="0.25">
      <c r="A67" s="317" t="s">
        <v>525</v>
      </c>
    </row>
    <row r="69" spans="1:1" x14ac:dyDescent="0.25">
      <c r="A69" s="783" t="s">
        <v>888</v>
      </c>
    </row>
    <row r="70" spans="1:1" x14ac:dyDescent="0.25">
      <c r="A70" s="317" t="s">
        <v>889</v>
      </c>
    </row>
    <row r="71" spans="1:1" x14ac:dyDescent="0.25">
      <c r="A71" s="317" t="s">
        <v>890</v>
      </c>
    </row>
    <row r="72" spans="1:1" x14ac:dyDescent="0.25">
      <c r="A72" s="317" t="s">
        <v>891</v>
      </c>
    </row>
    <row r="73" spans="1:1" x14ac:dyDescent="0.25">
      <c r="A73" s="317" t="s">
        <v>892</v>
      </c>
    </row>
    <row r="74" spans="1:1" x14ac:dyDescent="0.25">
      <c r="A74" s="317" t="s">
        <v>893</v>
      </c>
    </row>
    <row r="75" spans="1:1" x14ac:dyDescent="0.25">
      <c r="A75" s="317" t="s">
        <v>894</v>
      </c>
    </row>
    <row r="77" spans="1:1" x14ac:dyDescent="0.2">
      <c r="A77" s="784" t="s">
        <v>522</v>
      </c>
    </row>
    <row r="78" spans="1:1" x14ac:dyDescent="0.2">
      <c r="A78" s="782" t="s">
        <v>523</v>
      </c>
    </row>
    <row r="79" spans="1:1" x14ac:dyDescent="0.2">
      <c r="A79" s="17" t="s">
        <v>524</v>
      </c>
    </row>
    <row r="81" spans="1:1" x14ac:dyDescent="0.2">
      <c r="A81" s="784" t="s">
        <v>895</v>
      </c>
    </row>
    <row r="82" spans="1:1" x14ac:dyDescent="0.2">
      <c r="A82" s="782" t="s">
        <v>521</v>
      </c>
    </row>
    <row r="84" spans="1:1" x14ac:dyDescent="0.2">
      <c r="A84" s="784" t="s">
        <v>896</v>
      </c>
    </row>
    <row r="85" spans="1:1" x14ac:dyDescent="0.2">
      <c r="A85" s="782" t="s">
        <v>897</v>
      </c>
    </row>
    <row r="87" spans="1:1" x14ac:dyDescent="0.2">
      <c r="A87" s="784" t="s">
        <v>898</v>
      </c>
    </row>
    <row r="88" spans="1:1" x14ac:dyDescent="0.2">
      <c r="A88" s="782" t="s">
        <v>498</v>
      </c>
    </row>
    <row r="90" spans="1:1" x14ac:dyDescent="0.2">
      <c r="A90" s="784" t="s">
        <v>496</v>
      </c>
    </row>
    <row r="91" spans="1:1" x14ac:dyDescent="0.2">
      <c r="A91" s="782" t="s">
        <v>497</v>
      </c>
    </row>
    <row r="93" spans="1:1" x14ac:dyDescent="0.2">
      <c r="A93" s="784" t="s">
        <v>899</v>
      </c>
    </row>
    <row r="94" spans="1:1" x14ac:dyDescent="0.2">
      <c r="A94" s="782" t="s">
        <v>485</v>
      </c>
    </row>
    <row r="96" spans="1:1" x14ac:dyDescent="0.2">
      <c r="A96" s="784" t="s">
        <v>900</v>
      </c>
    </row>
    <row r="97" spans="1:1" x14ac:dyDescent="0.2">
      <c r="A97" s="717" t="s">
        <v>484</v>
      </c>
    </row>
    <row r="99" spans="1:1" x14ac:dyDescent="0.2">
      <c r="A99" s="784" t="s">
        <v>901</v>
      </c>
    </row>
    <row r="100" spans="1:1" x14ac:dyDescent="0.2">
      <c r="A100" s="17" t="s">
        <v>902</v>
      </c>
    </row>
    <row r="102" spans="1:1" x14ac:dyDescent="0.2">
      <c r="A102" s="784" t="s">
        <v>486</v>
      </c>
    </row>
    <row r="103" spans="1:1" x14ac:dyDescent="0.2">
      <c r="A103" s="17" t="s">
        <v>483</v>
      </c>
    </row>
    <row r="105" spans="1:1" x14ac:dyDescent="0.2">
      <c r="A105" s="784" t="s">
        <v>903</v>
      </c>
    </row>
    <row r="106" spans="1:1" x14ac:dyDescent="0.2">
      <c r="A106" s="17" t="s">
        <v>904</v>
      </c>
    </row>
    <row r="108" spans="1:1" x14ac:dyDescent="0.2">
      <c r="A108" s="784" t="s">
        <v>487</v>
      </c>
    </row>
    <row r="109" spans="1:1" x14ac:dyDescent="0.2">
      <c r="A109" s="785" t="s">
        <v>482</v>
      </c>
    </row>
    <row r="111" spans="1:1" x14ac:dyDescent="0.2">
      <c r="A111" s="784" t="s">
        <v>488</v>
      </c>
    </row>
    <row r="112" spans="1:1" x14ac:dyDescent="0.2">
      <c r="A112" s="17" t="s">
        <v>481</v>
      </c>
    </row>
    <row r="114" spans="1:1" x14ac:dyDescent="0.2">
      <c r="A114" s="784" t="s">
        <v>905</v>
      </c>
    </row>
    <row r="115" spans="1:1" x14ac:dyDescent="0.2">
      <c r="A115" s="17" t="s">
        <v>906</v>
      </c>
    </row>
    <row r="116" spans="1:1" x14ac:dyDescent="0.2">
      <c r="A116" s="17" t="s">
        <v>907</v>
      </c>
    </row>
    <row r="118" spans="1:1" x14ac:dyDescent="0.2">
      <c r="A118" s="784" t="s">
        <v>489</v>
      </c>
    </row>
    <row r="119" spans="1:1" x14ac:dyDescent="0.2">
      <c r="A119" s="786" t="s">
        <v>480</v>
      </c>
    </row>
    <row r="121" spans="1:1" x14ac:dyDescent="0.2">
      <c r="A121" s="784" t="s">
        <v>490</v>
      </c>
    </row>
    <row r="122" spans="1:1" x14ac:dyDescent="0.2">
      <c r="A122" s="785" t="s">
        <v>446</v>
      </c>
    </row>
    <row r="123" spans="1:1" x14ac:dyDescent="0.2">
      <c r="A123" s="17" t="s">
        <v>447</v>
      </c>
    </row>
    <row r="124" spans="1:1" x14ac:dyDescent="0.2">
      <c r="A124" s="17" t="s">
        <v>448</v>
      </c>
    </row>
    <row r="125" spans="1:1" x14ac:dyDescent="0.2">
      <c r="A125" s="17" t="s">
        <v>449</v>
      </c>
    </row>
    <row r="126" spans="1:1" x14ac:dyDescent="0.2">
      <c r="A126" s="17" t="s">
        <v>450</v>
      </c>
    </row>
    <row r="127" spans="1:1" x14ac:dyDescent="0.2">
      <c r="A127" s="17" t="s">
        <v>451</v>
      </c>
    </row>
    <row r="128" spans="1:1" x14ac:dyDescent="0.2">
      <c r="A128" s="17" t="s">
        <v>452</v>
      </c>
    </row>
    <row r="129" spans="1:1" x14ac:dyDescent="0.2">
      <c r="A129" s="17" t="s">
        <v>453</v>
      </c>
    </row>
    <row r="130" spans="1:1" ht="48.75" customHeight="1" x14ac:dyDescent="0.2">
      <c r="A130" s="17" t="s">
        <v>454</v>
      </c>
    </row>
    <row r="131" spans="1:1" x14ac:dyDescent="0.2">
      <c r="A131" s="17" t="s">
        <v>455</v>
      </c>
    </row>
    <row r="132" spans="1:1" ht="36" customHeight="1" x14ac:dyDescent="0.2">
      <c r="A132" s="17" t="s">
        <v>456</v>
      </c>
    </row>
    <row r="133" spans="1:1" x14ac:dyDescent="0.2">
      <c r="A133" s="17" t="s">
        <v>457</v>
      </c>
    </row>
    <row r="134" spans="1:1" x14ac:dyDescent="0.2">
      <c r="A134" s="17" t="s">
        <v>458</v>
      </c>
    </row>
    <row r="135" spans="1:1" x14ac:dyDescent="0.2">
      <c r="A135" s="17" t="s">
        <v>459</v>
      </c>
    </row>
    <row r="136" spans="1:1" x14ac:dyDescent="0.2">
      <c r="A136" s="17" t="s">
        <v>460</v>
      </c>
    </row>
    <row r="137" spans="1:1" x14ac:dyDescent="0.2">
      <c r="A137" s="17" t="s">
        <v>461</v>
      </c>
    </row>
    <row r="138" spans="1:1" ht="47.25" x14ac:dyDescent="0.2">
      <c r="A138" s="17" t="s">
        <v>462</v>
      </c>
    </row>
    <row r="139" spans="1:1" x14ac:dyDescent="0.2">
      <c r="A139" s="717" t="s">
        <v>463</v>
      </c>
    </row>
    <row r="140" spans="1:1" ht="31.5" x14ac:dyDescent="0.2">
      <c r="A140" s="17" t="s">
        <v>464</v>
      </c>
    </row>
    <row r="141" spans="1:1" x14ac:dyDescent="0.2">
      <c r="A141" s="17" t="s">
        <v>465</v>
      </c>
    </row>
    <row r="142" spans="1:1" x14ac:dyDescent="0.2">
      <c r="A142" s="17" t="s">
        <v>466</v>
      </c>
    </row>
    <row r="143" spans="1:1" x14ac:dyDescent="0.2">
      <c r="A143" s="17" t="s">
        <v>467</v>
      </c>
    </row>
    <row r="144" spans="1:1" x14ac:dyDescent="0.2">
      <c r="A144" s="17" t="s">
        <v>468</v>
      </c>
    </row>
    <row r="145" spans="1:1" x14ac:dyDescent="0.2">
      <c r="A145" s="17" t="s">
        <v>469</v>
      </c>
    </row>
    <row r="146" spans="1:1" ht="15.75" customHeight="1" x14ac:dyDescent="0.2">
      <c r="A146" s="17" t="s">
        <v>470</v>
      </c>
    </row>
    <row r="147" spans="1:1" x14ac:dyDescent="0.2">
      <c r="A147" s="17" t="s">
        <v>471</v>
      </c>
    </row>
    <row r="148" spans="1:1" ht="31.5" x14ac:dyDescent="0.2">
      <c r="A148" s="17" t="s">
        <v>472</v>
      </c>
    </row>
    <row r="149" spans="1:1" x14ac:dyDescent="0.2">
      <c r="A149" s="17" t="s">
        <v>473</v>
      </c>
    </row>
    <row r="150" spans="1:1" x14ac:dyDescent="0.2">
      <c r="A150" s="17" t="s">
        <v>474</v>
      </c>
    </row>
    <row r="151" spans="1:1" x14ac:dyDescent="0.2">
      <c r="A151" s="17" t="s">
        <v>475</v>
      </c>
    </row>
    <row r="152" spans="1:1" x14ac:dyDescent="0.2">
      <c r="A152" s="17" t="s">
        <v>476</v>
      </c>
    </row>
    <row r="153" spans="1:1" ht="15.75" customHeight="1" x14ac:dyDescent="0.2">
      <c r="A153" s="17" t="s">
        <v>477</v>
      </c>
    </row>
    <row r="154" spans="1:1" x14ac:dyDescent="0.2">
      <c r="A154" s="17" t="s">
        <v>478</v>
      </c>
    </row>
    <row r="155" spans="1:1" x14ac:dyDescent="0.2">
      <c r="A155" s="17" t="s">
        <v>479</v>
      </c>
    </row>
    <row r="156" spans="1:1" x14ac:dyDescent="0.2">
      <c r="A156" s="17" t="s">
        <v>908</v>
      </c>
    </row>
    <row r="158" spans="1:1" x14ac:dyDescent="0.2">
      <c r="A158" s="784" t="s">
        <v>909</v>
      </c>
    </row>
    <row r="159" spans="1:1" ht="31.5" x14ac:dyDescent="0.2">
      <c r="A159" s="17" t="s">
        <v>910</v>
      </c>
    </row>
    <row r="161" spans="1:1" x14ac:dyDescent="0.2">
      <c r="A161" s="784" t="s">
        <v>911</v>
      </c>
    </row>
    <row r="162" spans="1:1" x14ac:dyDescent="0.2">
      <c r="A162" s="17" t="s">
        <v>912</v>
      </c>
    </row>
    <row r="163" spans="1:1" ht="15.75" customHeight="1" x14ac:dyDescent="0.2">
      <c r="A163" s="17" t="s">
        <v>913</v>
      </c>
    </row>
    <row r="165" spans="1:1" x14ac:dyDescent="0.2">
      <c r="A165" s="784" t="s">
        <v>914</v>
      </c>
    </row>
    <row r="166" spans="1:1" x14ac:dyDescent="0.2">
      <c r="A166" s="17" t="s">
        <v>915</v>
      </c>
    </row>
    <row r="168" spans="1:1" ht="19.5" customHeight="1" x14ac:dyDescent="0.2">
      <c r="A168" s="784" t="s">
        <v>916</v>
      </c>
    </row>
    <row r="169" spans="1:1" x14ac:dyDescent="0.2">
      <c r="A169" s="17" t="s">
        <v>917</v>
      </c>
    </row>
    <row r="171" spans="1:1" x14ac:dyDescent="0.2">
      <c r="A171" s="784" t="s">
        <v>491</v>
      </c>
    </row>
    <row r="172" spans="1:1" x14ac:dyDescent="0.2">
      <c r="A172" s="321" t="s">
        <v>373</v>
      </c>
    </row>
    <row r="173" spans="1:1" x14ac:dyDescent="0.2">
      <c r="A173" s="321" t="s">
        <v>918</v>
      </c>
    </row>
    <row r="175" spans="1:1" x14ac:dyDescent="0.2">
      <c r="A175" s="784" t="s">
        <v>919</v>
      </c>
    </row>
    <row r="176" spans="1:1" x14ac:dyDescent="0.2">
      <c r="A176" s="17" t="s">
        <v>920</v>
      </c>
    </row>
    <row r="177" spans="1:1" x14ac:dyDescent="0.2">
      <c r="A177" s="17" t="s">
        <v>921</v>
      </c>
    </row>
    <row r="178" spans="1:1" x14ac:dyDescent="0.2">
      <c r="A178" s="17" t="s">
        <v>922</v>
      </c>
    </row>
    <row r="180" spans="1:1" x14ac:dyDescent="0.2">
      <c r="A180" s="784" t="s">
        <v>923</v>
      </c>
    </row>
    <row r="181" spans="1:1" x14ac:dyDescent="0.2">
      <c r="A181" s="321" t="s">
        <v>350</v>
      </c>
    </row>
    <row r="182" spans="1:1" x14ac:dyDescent="0.2">
      <c r="A182" s="321" t="s">
        <v>351</v>
      </c>
    </row>
    <row r="183" spans="1:1" ht="31.5" x14ac:dyDescent="0.2">
      <c r="A183" s="321" t="s">
        <v>924</v>
      </c>
    </row>
    <row r="184" spans="1:1" x14ac:dyDescent="0.2">
      <c r="A184" s="321" t="s">
        <v>925</v>
      </c>
    </row>
    <row r="185" spans="1:1" x14ac:dyDescent="0.2">
      <c r="A185" s="321" t="s">
        <v>926</v>
      </c>
    </row>
    <row r="186" spans="1:1" x14ac:dyDescent="0.2">
      <c r="A186" s="321" t="s">
        <v>927</v>
      </c>
    </row>
    <row r="187" spans="1:1" x14ac:dyDescent="0.2">
      <c r="A187" s="321" t="s">
        <v>928</v>
      </c>
    </row>
    <row r="188" spans="1:1" x14ac:dyDescent="0.2">
      <c r="A188" s="321" t="s">
        <v>929</v>
      </c>
    </row>
    <row r="189" spans="1:1" x14ac:dyDescent="0.2">
      <c r="A189" s="321" t="s">
        <v>930</v>
      </c>
    </row>
    <row r="190" spans="1:1" x14ac:dyDescent="0.2">
      <c r="A190" s="321" t="s">
        <v>931</v>
      </c>
    </row>
    <row r="191" spans="1:1" x14ac:dyDescent="0.2">
      <c r="A191" s="321" t="s">
        <v>932</v>
      </c>
    </row>
    <row r="192" spans="1:1" x14ac:dyDescent="0.2">
      <c r="A192" s="321" t="s">
        <v>933</v>
      </c>
    </row>
    <row r="193" spans="1:1" x14ac:dyDescent="0.2">
      <c r="A193" s="321" t="s">
        <v>934</v>
      </c>
    </row>
    <row r="194" spans="1:1" x14ac:dyDescent="0.2">
      <c r="A194" s="321" t="s">
        <v>935</v>
      </c>
    </row>
    <row r="195" spans="1:1" x14ac:dyDescent="0.2">
      <c r="A195" s="321" t="s">
        <v>936</v>
      </c>
    </row>
    <row r="196" spans="1:1" x14ac:dyDescent="0.2">
      <c r="A196" s="321" t="s">
        <v>937</v>
      </c>
    </row>
    <row r="197" spans="1:1" x14ac:dyDescent="0.2">
      <c r="A197" s="321" t="s">
        <v>938</v>
      </c>
    </row>
    <row r="198" spans="1:1" ht="18" customHeight="1" x14ac:dyDescent="0.2">
      <c r="A198" s="321" t="s">
        <v>939</v>
      </c>
    </row>
    <row r="199" spans="1:1" x14ac:dyDescent="0.2">
      <c r="A199" s="321" t="s">
        <v>940</v>
      </c>
    </row>
    <row r="200" spans="1:1" x14ac:dyDescent="0.2">
      <c r="A200" s="321" t="s">
        <v>941</v>
      </c>
    </row>
    <row r="201" spans="1:1" x14ac:dyDescent="0.2">
      <c r="A201" s="321" t="s">
        <v>942</v>
      </c>
    </row>
    <row r="202" spans="1:1" x14ac:dyDescent="0.2">
      <c r="A202" s="321" t="s">
        <v>943</v>
      </c>
    </row>
    <row r="203" spans="1:1" ht="16.5" customHeight="1" x14ac:dyDescent="0.2">
      <c r="A203" s="321" t="s">
        <v>944</v>
      </c>
    </row>
    <row r="204" spans="1:1" x14ac:dyDescent="0.2">
      <c r="A204" s="321" t="s">
        <v>945</v>
      </c>
    </row>
    <row r="205" spans="1:1" x14ac:dyDescent="0.2">
      <c r="A205" s="321" t="s">
        <v>946</v>
      </c>
    </row>
    <row r="206" spans="1:1" x14ac:dyDescent="0.2">
      <c r="A206" s="321" t="s">
        <v>947</v>
      </c>
    </row>
    <row r="207" spans="1:1" x14ac:dyDescent="0.2">
      <c r="A207" s="321" t="s">
        <v>948</v>
      </c>
    </row>
    <row r="208" spans="1:1" x14ac:dyDescent="0.2">
      <c r="A208" s="321" t="s">
        <v>949</v>
      </c>
    </row>
    <row r="210" spans="1:1" x14ac:dyDescent="0.2">
      <c r="A210" s="784" t="s">
        <v>492</v>
      </c>
    </row>
    <row r="211" spans="1:1" x14ac:dyDescent="0.2">
      <c r="A211" s="17" t="s">
        <v>324</v>
      </c>
    </row>
    <row r="212" spans="1:1" x14ac:dyDescent="0.2">
      <c r="A212" s="17" t="s">
        <v>325</v>
      </c>
    </row>
    <row r="213" spans="1:1" ht="17.25" customHeight="1" x14ac:dyDescent="0.2">
      <c r="A213" s="17" t="s">
        <v>326</v>
      </c>
    </row>
    <row r="215" spans="1:1" x14ac:dyDescent="0.2">
      <c r="A215" s="784" t="s">
        <v>493</v>
      </c>
    </row>
    <row r="216" spans="1:1" x14ac:dyDescent="0.2">
      <c r="A216" s="17" t="s">
        <v>323</v>
      </c>
    </row>
    <row r="217" spans="1:1" x14ac:dyDescent="0.2">
      <c r="A217" s="17" t="s">
        <v>950</v>
      </c>
    </row>
    <row r="219" spans="1:1" ht="21.75" customHeight="1" x14ac:dyDescent="0.2">
      <c r="A219" s="784" t="s">
        <v>494</v>
      </c>
    </row>
    <row r="220" spans="1:1" x14ac:dyDescent="0.2">
      <c r="A220" s="787" t="s">
        <v>292</v>
      </c>
    </row>
    <row r="221" spans="1:1" ht="16.5" customHeight="1" x14ac:dyDescent="0.2">
      <c r="A221" s="787" t="s">
        <v>293</v>
      </c>
    </row>
    <row r="222" spans="1:1" x14ac:dyDescent="0.2">
      <c r="A222" s="787" t="s">
        <v>294</v>
      </c>
    </row>
    <row r="223" spans="1:1" x14ac:dyDescent="0.2">
      <c r="A223" s="17" t="s">
        <v>316</v>
      </c>
    </row>
    <row r="225" spans="1:1" x14ac:dyDescent="0.2">
      <c r="A225" s="744" t="s">
        <v>495</v>
      </c>
    </row>
    <row r="226" spans="1:1" x14ac:dyDescent="0.2">
      <c r="A226" s="788" t="s">
        <v>278</v>
      </c>
    </row>
    <row r="227" spans="1:1" x14ac:dyDescent="0.2">
      <c r="A227" s="17" t="s">
        <v>279</v>
      </c>
    </row>
    <row r="228" spans="1:1" x14ac:dyDescent="0.2">
      <c r="A228" s="17" t="s">
        <v>280</v>
      </c>
    </row>
    <row r="229" spans="1:1" ht="31.5" x14ac:dyDescent="0.2">
      <c r="A229" s="789" t="s">
        <v>281</v>
      </c>
    </row>
    <row r="230" spans="1:1" ht="16.5" customHeight="1" x14ac:dyDescent="0.2">
      <c r="A230" s="17" t="s">
        <v>282</v>
      </c>
    </row>
    <row r="231" spans="1:1" x14ac:dyDescent="0.2">
      <c r="A231" s="17" t="s">
        <v>283</v>
      </c>
    </row>
    <row r="232" spans="1:1" x14ac:dyDescent="0.2">
      <c r="A232" s="17" t="s">
        <v>284</v>
      </c>
    </row>
    <row r="233" spans="1:1" x14ac:dyDescent="0.2">
      <c r="A233" s="17" t="s">
        <v>285</v>
      </c>
    </row>
    <row r="234" spans="1:1" x14ac:dyDescent="0.2">
      <c r="A234" s="17" t="s">
        <v>951</v>
      </c>
    </row>
    <row r="236" spans="1:1" x14ac:dyDescent="0.2">
      <c r="A236" s="744" t="s">
        <v>952</v>
      </c>
    </row>
    <row r="237" spans="1:1" x14ac:dyDescent="0.2">
      <c r="A237" s="17" t="s">
        <v>953</v>
      </c>
    </row>
    <row r="238" spans="1:1" x14ac:dyDescent="0.2">
      <c r="A238" s="17" t="s">
        <v>954</v>
      </c>
    </row>
    <row r="239" spans="1:1" x14ac:dyDescent="0.2">
      <c r="A239" s="17" t="s">
        <v>955</v>
      </c>
    </row>
    <row r="240" spans="1:1" x14ac:dyDescent="0.2">
      <c r="A240" s="17" t="s">
        <v>956</v>
      </c>
    </row>
    <row r="242" spans="1:1" x14ac:dyDescent="0.2">
      <c r="A242" s="744" t="s">
        <v>957</v>
      </c>
    </row>
    <row r="243" spans="1:1" x14ac:dyDescent="0.2">
      <c r="A243" s="17" t="s">
        <v>958</v>
      </c>
    </row>
    <row r="245" spans="1:1" x14ac:dyDescent="0.2">
      <c r="A245" s="744" t="s">
        <v>227</v>
      </c>
    </row>
    <row r="246" spans="1:1" x14ac:dyDescent="0.2">
      <c r="A246" s="17" t="s">
        <v>959</v>
      </c>
    </row>
    <row r="247" spans="1:1" ht="32.25" customHeight="1" x14ac:dyDescent="0.2"/>
    <row r="248" spans="1:1" ht="36" customHeight="1" x14ac:dyDescent="0.2">
      <c r="A248" s="744" t="s">
        <v>226</v>
      </c>
    </row>
    <row r="249" spans="1:1" ht="35.25" customHeight="1" x14ac:dyDescent="0.2">
      <c r="A249" s="17" t="s">
        <v>960</v>
      </c>
    </row>
    <row r="250" spans="1:1" ht="18" customHeight="1" x14ac:dyDescent="0.2">
      <c r="A250" s="17" t="s">
        <v>961</v>
      </c>
    </row>
    <row r="251" spans="1:1" ht="36" customHeight="1" x14ac:dyDescent="0.2">
      <c r="A251" s="17" t="s">
        <v>962</v>
      </c>
    </row>
    <row r="253" spans="1:1" ht="33.75" customHeight="1" x14ac:dyDescent="0.2">
      <c r="A253" s="744" t="s">
        <v>963</v>
      </c>
    </row>
    <row r="254" spans="1:1" ht="18.75" customHeight="1" x14ac:dyDescent="0.2">
      <c r="A254" s="17" t="s">
        <v>18</v>
      </c>
    </row>
    <row r="255" spans="1:1" ht="17.25" customHeight="1" x14ac:dyDescent="0.2">
      <c r="A255" s="17" t="s">
        <v>19</v>
      </c>
    </row>
    <row r="256" spans="1:1" ht="17.25" customHeight="1" x14ac:dyDescent="0.2">
      <c r="A256" s="17" t="s">
        <v>20</v>
      </c>
    </row>
    <row r="257" spans="1:1" x14ac:dyDescent="0.2">
      <c r="A257" s="17" t="s">
        <v>964</v>
      </c>
    </row>
    <row r="258" spans="1:1" x14ac:dyDescent="0.2">
      <c r="A258" s="17" t="s">
        <v>21</v>
      </c>
    </row>
    <row r="259" spans="1:1" x14ac:dyDescent="0.2">
      <c r="A259" s="17" t="s">
        <v>22</v>
      </c>
    </row>
    <row r="260" spans="1:1" ht="31.5" x14ac:dyDescent="0.2">
      <c r="A260" s="17" t="s">
        <v>25</v>
      </c>
    </row>
    <row r="261" spans="1:1" ht="31.5" x14ac:dyDescent="0.2">
      <c r="A261" s="17" t="s">
        <v>23</v>
      </c>
    </row>
    <row r="262" spans="1:1" ht="14.25" customHeight="1" x14ac:dyDescent="0.2">
      <c r="A262" s="17" t="s">
        <v>965</v>
      </c>
    </row>
    <row r="263" spans="1:1" x14ac:dyDescent="0.2">
      <c r="A263" s="17" t="s">
        <v>24</v>
      </c>
    </row>
    <row r="264" spans="1:1" ht="31.5" x14ac:dyDescent="0.2">
      <c r="A264" s="17" t="s">
        <v>222</v>
      </c>
    </row>
    <row r="265" spans="1:1" x14ac:dyDescent="0.2">
      <c r="A265" s="17" t="s">
        <v>223</v>
      </c>
    </row>
    <row r="266" spans="1:1" ht="31.5" x14ac:dyDescent="0.2">
      <c r="A266" s="17" t="s">
        <v>966</v>
      </c>
    </row>
    <row r="267" spans="1:1" x14ac:dyDescent="0.2">
      <c r="A267" s="17" t="s">
        <v>967</v>
      </c>
    </row>
    <row r="268" spans="1:1" x14ac:dyDescent="0.2">
      <c r="A268" s="17" t="s">
        <v>27</v>
      </c>
    </row>
    <row r="269" spans="1:1" x14ac:dyDescent="0.2">
      <c r="A269" s="17" t="s">
        <v>28</v>
      </c>
    </row>
    <row r="270" spans="1:1" x14ac:dyDescent="0.2">
      <c r="A270" s="17" t="s">
        <v>968</v>
      </c>
    </row>
    <row r="271" spans="1:1" ht="18" customHeight="1" x14ac:dyDescent="0.2">
      <c r="A271" s="17" t="s">
        <v>969</v>
      </c>
    </row>
    <row r="272" spans="1:1" ht="51" customHeight="1" x14ac:dyDescent="0.2">
      <c r="A272" s="17" t="s">
        <v>970</v>
      </c>
    </row>
    <row r="274" spans="1:1" x14ac:dyDescent="0.2">
      <c r="A274" s="744" t="s">
        <v>30</v>
      </c>
    </row>
    <row r="275" spans="1:1" x14ac:dyDescent="0.2">
      <c r="A275" s="17" t="s">
        <v>971</v>
      </c>
    </row>
    <row r="276" spans="1:1" x14ac:dyDescent="0.2">
      <c r="A276" s="17" t="s">
        <v>972</v>
      </c>
    </row>
    <row r="277" spans="1:1" x14ac:dyDescent="0.2">
      <c r="A277" s="17" t="s">
        <v>973</v>
      </c>
    </row>
    <row r="278" spans="1:1" x14ac:dyDescent="0.2">
      <c r="A278" s="17" t="s">
        <v>26</v>
      </c>
    </row>
    <row r="279" spans="1:1" x14ac:dyDescent="0.2">
      <c r="A279" s="744" t="s">
        <v>15</v>
      </c>
    </row>
    <row r="280" spans="1:1" ht="31.5" x14ac:dyDescent="0.2">
      <c r="A280" s="17" t="s">
        <v>974</v>
      </c>
    </row>
    <row r="281" spans="1:1" x14ac:dyDescent="0.2">
      <c r="A281" s="17" t="s">
        <v>975</v>
      </c>
    </row>
    <row r="284" spans="1:1" x14ac:dyDescent="0.2">
      <c r="A284" s="744" t="s">
        <v>202</v>
      </c>
    </row>
    <row r="285" spans="1:1" ht="47.25" x14ac:dyDescent="0.2">
      <c r="A285" s="17" t="s">
        <v>976</v>
      </c>
    </row>
    <row r="286" spans="1:1" x14ac:dyDescent="0.2">
      <c r="A286" s="17" t="s">
        <v>203</v>
      </c>
    </row>
    <row r="287" spans="1:1" x14ac:dyDescent="0.2">
      <c r="A287" s="17" t="s">
        <v>204</v>
      </c>
    </row>
    <row r="288" spans="1:1" x14ac:dyDescent="0.2">
      <c r="A288" s="17" t="s">
        <v>224</v>
      </c>
    </row>
    <row r="289" spans="1:1" x14ac:dyDescent="0.2">
      <c r="A289" s="17" t="s">
        <v>205</v>
      </c>
    </row>
    <row r="290" spans="1:1" x14ac:dyDescent="0.2">
      <c r="A290" s="17" t="s">
        <v>206</v>
      </c>
    </row>
    <row r="291" spans="1:1" x14ac:dyDescent="0.2">
      <c r="A291" s="17" t="s">
        <v>977</v>
      </c>
    </row>
    <row r="292" spans="1:1" x14ac:dyDescent="0.2">
      <c r="A292" s="17" t="s">
        <v>207</v>
      </c>
    </row>
    <row r="293" spans="1:1" x14ac:dyDescent="0.2">
      <c r="A293" s="17" t="s">
        <v>208</v>
      </c>
    </row>
    <row r="294" spans="1:1" ht="31.5" x14ac:dyDescent="0.2">
      <c r="A294" s="17" t="s">
        <v>209</v>
      </c>
    </row>
    <row r="295" spans="1:1" ht="31.5" x14ac:dyDescent="0.2">
      <c r="A295" s="17" t="s">
        <v>978</v>
      </c>
    </row>
    <row r="296" spans="1:1" x14ac:dyDescent="0.2">
      <c r="A296" s="17" t="s">
        <v>210</v>
      </c>
    </row>
    <row r="297" spans="1:1" x14ac:dyDescent="0.2">
      <c r="A297" s="17" t="s">
        <v>211</v>
      </c>
    </row>
    <row r="298" spans="1:1" x14ac:dyDescent="0.2">
      <c r="A298" s="17" t="s">
        <v>225</v>
      </c>
    </row>
    <row r="299" spans="1:1" x14ac:dyDescent="0.2">
      <c r="A299" s="17" t="s">
        <v>212</v>
      </c>
    </row>
    <row r="300" spans="1:1" x14ac:dyDescent="0.2">
      <c r="A300" s="17" t="s">
        <v>0</v>
      </c>
    </row>
    <row r="301" spans="1:1" ht="31.5" x14ac:dyDescent="0.2">
      <c r="A301" s="17" t="s">
        <v>1</v>
      </c>
    </row>
    <row r="302" spans="1:1" x14ac:dyDescent="0.2">
      <c r="A302" s="17" t="s">
        <v>215</v>
      </c>
    </row>
    <row r="303" spans="1:1" x14ac:dyDescent="0.2">
      <c r="A303" s="17" t="s">
        <v>216</v>
      </c>
    </row>
    <row r="304" spans="1:1" ht="31.5" x14ac:dyDescent="0.2">
      <c r="A304" s="17" t="s">
        <v>217</v>
      </c>
    </row>
    <row r="305" spans="1:1" x14ac:dyDescent="0.2">
      <c r="A305" s="17" t="s">
        <v>979</v>
      </c>
    </row>
    <row r="306" spans="1:1" x14ac:dyDescent="0.2">
      <c r="A306" s="17" t="s">
        <v>980</v>
      </c>
    </row>
    <row r="307" spans="1:1" x14ac:dyDescent="0.2">
      <c r="A307" s="17" t="s">
        <v>981</v>
      </c>
    </row>
    <row r="308" spans="1:1" ht="19.5" customHeight="1" x14ac:dyDescent="0.2">
      <c r="A308" s="17" t="s">
        <v>982</v>
      </c>
    </row>
    <row r="309" spans="1:1" ht="18" customHeight="1" x14ac:dyDescent="0.2">
      <c r="A309" s="17" t="s">
        <v>983</v>
      </c>
    </row>
    <row r="310" spans="1:1" x14ac:dyDescent="0.2">
      <c r="A310" s="17" t="s">
        <v>984</v>
      </c>
    </row>
    <row r="311" spans="1:1" x14ac:dyDescent="0.2">
      <c r="A311" s="17" t="s">
        <v>985</v>
      </c>
    </row>
    <row r="312" spans="1:1" x14ac:dyDescent="0.2">
      <c r="A312" s="17" t="s">
        <v>13</v>
      </c>
    </row>
    <row r="313" spans="1:1" x14ac:dyDescent="0.2">
      <c r="A313" s="17" t="s">
        <v>14</v>
      </c>
    </row>
    <row r="314" spans="1:1" ht="31.5" x14ac:dyDescent="0.2">
      <c r="A314" s="17" t="s">
        <v>986</v>
      </c>
    </row>
    <row r="315" spans="1:1" x14ac:dyDescent="0.2">
      <c r="A315" s="17" t="s">
        <v>987</v>
      </c>
    </row>
    <row r="317" spans="1:1" x14ac:dyDescent="0.2">
      <c r="A317" s="17" t="s">
        <v>988</v>
      </c>
    </row>
    <row r="318" spans="1:1" x14ac:dyDescent="0.2">
      <c r="A318" s="17" t="s">
        <v>989</v>
      </c>
    </row>
  </sheetData>
  <sheetProtection sheet="1" objects="1" scenarios="1"/>
  <pageMargins left="0.32" right="0.31"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J108"/>
  <sheetViews>
    <sheetView zoomScaleNormal="100" workbookViewId="0">
      <selection activeCell="F67" sqref="F67"/>
    </sheetView>
  </sheetViews>
  <sheetFormatPr defaultColWidth="8.88671875" defaultRowHeight="15.75" x14ac:dyDescent="0.2"/>
  <cols>
    <col min="1" max="1" width="24.33203125" style="18" customWidth="1"/>
    <col min="2" max="2" width="10.77734375" style="18" customWidth="1"/>
    <col min="3" max="3" width="5.77734375" style="18" customWidth="1"/>
    <col min="4" max="4" width="14" style="18" customWidth="1"/>
    <col min="5" max="5" width="13.33203125" style="18" customWidth="1"/>
    <col min="6" max="6" width="12.33203125" style="18" customWidth="1"/>
    <col min="7" max="9" width="8.88671875" style="56"/>
    <col min="10" max="10" width="12" style="56" bestFit="1" customWidth="1"/>
    <col min="11" max="16384" width="8.88671875" style="56"/>
  </cols>
  <sheetData>
    <row r="1" spans="1:7" x14ac:dyDescent="0.2">
      <c r="A1" s="20"/>
      <c r="B1" s="20"/>
      <c r="C1" s="19" t="s">
        <v>120</v>
      </c>
      <c r="D1" s="20"/>
      <c r="E1" s="20"/>
      <c r="F1" s="73"/>
      <c r="G1" s="16">
        <f>inputPrYr!C6</f>
        <v>2025</v>
      </c>
    </row>
    <row r="2" spans="1:7" x14ac:dyDescent="0.2">
      <c r="A2" s="829" t="str">
        <f>CONCATENATE("To the Clerk of ",(inputPrYr!D4),", State of Kansas")</f>
        <v>To the Clerk of , State of Kansas</v>
      </c>
      <c r="B2" s="795"/>
      <c r="C2" s="795"/>
      <c r="D2" s="795"/>
      <c r="E2" s="795"/>
      <c r="F2" s="795"/>
    </row>
    <row r="3" spans="1:7" x14ac:dyDescent="0.2">
      <c r="A3" s="75" t="s">
        <v>327</v>
      </c>
      <c r="B3" s="25"/>
      <c r="C3" s="25"/>
      <c r="D3" s="25"/>
      <c r="E3" s="25"/>
      <c r="F3" s="25"/>
    </row>
    <row r="4" spans="1:7" x14ac:dyDescent="0.2">
      <c r="A4" s="794">
        <f>(inputPrYr!D3)</f>
        <v>0</v>
      </c>
      <c r="B4" s="828"/>
      <c r="C4" s="828"/>
      <c r="D4" s="828"/>
      <c r="E4" s="828"/>
      <c r="F4" s="828"/>
    </row>
    <row r="5" spans="1:7" x14ac:dyDescent="0.2">
      <c r="A5" s="75" t="s">
        <v>38</v>
      </c>
      <c r="B5" s="25"/>
      <c r="C5" s="25"/>
      <c r="D5" s="25"/>
      <c r="E5" s="25"/>
      <c r="F5" s="25"/>
    </row>
    <row r="6" spans="1:7" x14ac:dyDescent="0.2">
      <c r="A6" s="75" t="s">
        <v>39</v>
      </c>
      <c r="B6" s="25"/>
      <c r="C6" s="25"/>
      <c r="D6" s="25"/>
      <c r="E6" s="25"/>
      <c r="F6" s="25"/>
    </row>
    <row r="7" spans="1:7" x14ac:dyDescent="0.2">
      <c r="A7" s="75" t="str">
        <f>CONCATENATE("maximum expenditures for the various funds for the year ",G1,"; and")</f>
        <v>maximum expenditures for the various funds for the year 2025; and</v>
      </c>
      <c r="B7" s="25"/>
      <c r="C7" s="25"/>
      <c r="D7" s="25"/>
      <c r="E7" s="25"/>
      <c r="F7" s="25"/>
    </row>
    <row r="8" spans="1:7" x14ac:dyDescent="0.2">
      <c r="A8" s="75" t="str">
        <f>CONCATENATE("(3) the Amounts(s) of ",G1-1," Ad Valorem Tax are within statutory limitations.")</f>
        <v>(3) the Amounts(s) of 2024 Ad Valorem Tax are within statutory limitations.</v>
      </c>
      <c r="B8" s="25"/>
      <c r="C8" s="25"/>
      <c r="D8" s="25"/>
      <c r="E8" s="25"/>
      <c r="F8" s="25"/>
    </row>
    <row r="9" spans="1:7" x14ac:dyDescent="0.2">
      <c r="A9" s="20"/>
      <c r="B9" s="20"/>
      <c r="C9" s="20"/>
      <c r="D9" s="76" t="str">
        <f>CONCATENATE("",G1," Adopted Budget")</f>
        <v>2025 Adopted Budget</v>
      </c>
      <c r="E9" s="77"/>
      <c r="F9" s="78"/>
    </row>
    <row r="10" spans="1:7" ht="21" customHeight="1" x14ac:dyDescent="0.2">
      <c r="A10" s="20"/>
      <c r="B10" s="20"/>
      <c r="C10" s="79"/>
      <c r="D10" s="80" t="s">
        <v>40</v>
      </c>
      <c r="E10" s="81" t="str">
        <f>CONCATENATE("Amount of ",G1-1,"")</f>
        <v>Amount of 2024</v>
      </c>
      <c r="F10" s="832" t="s">
        <v>690</v>
      </c>
    </row>
    <row r="11" spans="1:7" x14ac:dyDescent="0.2">
      <c r="A11" s="21"/>
      <c r="B11" s="20"/>
      <c r="C11" s="81" t="s">
        <v>41</v>
      </c>
      <c r="D11" s="314" t="s">
        <v>5</v>
      </c>
      <c r="E11" s="83" t="s">
        <v>177</v>
      </c>
      <c r="F11" s="833"/>
    </row>
    <row r="12" spans="1:7" ht="17.25" customHeight="1" x14ac:dyDescent="0.2">
      <c r="A12" s="84" t="s">
        <v>42</v>
      </c>
      <c r="B12" s="35"/>
      <c r="C12" s="85" t="s">
        <v>43</v>
      </c>
      <c r="D12" s="315" t="s">
        <v>341</v>
      </c>
      <c r="E12" s="86" t="s">
        <v>178</v>
      </c>
      <c r="F12" s="834"/>
    </row>
    <row r="13" spans="1:7" x14ac:dyDescent="0.2">
      <c r="A13" s="87" t="s">
        <v>440</v>
      </c>
      <c r="B13" s="35"/>
      <c r="C13" s="85">
        <v>2</v>
      </c>
      <c r="D13" s="82"/>
      <c r="E13" s="82"/>
      <c r="F13" s="82"/>
    </row>
    <row r="14" spans="1:7" x14ac:dyDescent="0.2">
      <c r="A14" s="87" t="s">
        <v>144</v>
      </c>
      <c r="B14" s="35"/>
      <c r="C14" s="85">
        <v>3</v>
      </c>
      <c r="D14" s="82"/>
      <c r="E14" s="82"/>
      <c r="F14" s="82"/>
    </row>
    <row r="15" spans="1:7" x14ac:dyDescent="0.2">
      <c r="A15" s="87" t="s">
        <v>44</v>
      </c>
      <c r="B15" s="46"/>
      <c r="C15" s="88">
        <v>4</v>
      </c>
      <c r="D15" s="90"/>
      <c r="E15" s="90"/>
      <c r="F15" s="90"/>
    </row>
    <row r="16" spans="1:7" x14ac:dyDescent="0.2">
      <c r="A16" s="87" t="s">
        <v>45</v>
      </c>
      <c r="B16" s="46"/>
      <c r="C16" s="88">
        <v>5</v>
      </c>
      <c r="D16" s="90"/>
      <c r="E16" s="90"/>
      <c r="F16" s="90"/>
    </row>
    <row r="17" spans="1:10" x14ac:dyDescent="0.2">
      <c r="A17" s="188" t="str">
        <f>IF(inputPrYr!D20&gt;0,"Computation to Determine State Library Grant","")</f>
        <v/>
      </c>
      <c r="B17" s="46"/>
      <c r="C17" s="88" t="str">
        <f>IF(inputPrYr!D20&gt;0,'Library Grant'!F38,"")</f>
        <v/>
      </c>
      <c r="D17" s="90"/>
      <c r="E17" s="90"/>
      <c r="F17" s="90"/>
    </row>
    <row r="18" spans="1:10" x14ac:dyDescent="0.2">
      <c r="A18" s="91" t="s">
        <v>46</v>
      </c>
      <c r="B18" s="92" t="s">
        <v>47</v>
      </c>
      <c r="C18" s="93"/>
      <c r="D18" s="94"/>
      <c r="E18" s="94"/>
      <c r="F18" s="94"/>
    </row>
    <row r="19" spans="1:10" x14ac:dyDescent="0.2">
      <c r="A19" s="29" t="s">
        <v>33</v>
      </c>
      <c r="B19" s="95" t="str">
        <f>IF(inputPrYr!C18&gt;0,(inputPrYr!C18),"  ")</f>
        <v>12-101a</v>
      </c>
      <c r="C19" s="88">
        <f>General!C58</f>
        <v>6</v>
      </c>
      <c r="D19" s="584" t="str">
        <f>IF(General!$E$108&lt;&gt;0,General!$E$108,"  ")</f>
        <v xml:space="preserve">  </v>
      </c>
      <c r="E19" s="596">
        <f>IF(General!$E$115&lt;&gt;0,General!$E$115,0)</f>
        <v>0</v>
      </c>
      <c r="F19" s="586" t="str">
        <f>IF($F$60=0,"",ROUND(E19/$F$60*1000,3))</f>
        <v/>
      </c>
      <c r="J19" s="667"/>
    </row>
    <row r="20" spans="1:10" x14ac:dyDescent="0.2">
      <c r="A20" s="29" t="s">
        <v>16</v>
      </c>
      <c r="B20" s="95" t="str">
        <f>IF(inputPrYr!C19&gt;0,(inputPrYr!C19),"  ")</f>
        <v>10-113</v>
      </c>
      <c r="C20" s="88" t="str">
        <f>IF('Debt Service'!C66&gt;0,'Debt Service'!C66,"  ")</f>
        <v xml:space="preserve">  </v>
      </c>
      <c r="D20" s="584" t="str">
        <f>IF('Debt Service'!E53&lt;&gt;0,'Debt Service'!E53,"  ")</f>
        <v xml:space="preserve">  </v>
      </c>
      <c r="E20" s="596">
        <f>IF('Debt Service'!$E$60&lt;&gt;0,'Debt Service'!$E$60,0)</f>
        <v>0</v>
      </c>
      <c r="F20" s="586" t="str">
        <f t="shared" ref="F20:F31" si="0">IF($F$60=0,"",ROUND(E20/$F$60*1000,3))</f>
        <v/>
      </c>
    </row>
    <row r="21" spans="1:10" x14ac:dyDescent="0.2">
      <c r="A21" s="44" t="str">
        <f>IF(inputPrYr!$B20&gt;"  ",(inputPrYr!$B20),"  ")</f>
        <v>Library</v>
      </c>
      <c r="B21" s="95" t="str">
        <f>IF(inputPrYr!C20&gt;0,(inputPrYr!C20),"  ")</f>
        <v>12-1220</v>
      </c>
      <c r="C21" s="88" t="str">
        <f>IF('Library-Rec'!C86&gt;0,'Library-Rec'!C86,"  ")</f>
        <v xml:space="preserve">  </v>
      </c>
      <c r="D21" s="584" t="str">
        <f>IF('Library-Rec'!E33&lt;&gt;0,'Library-Rec'!E33,"  ")</f>
        <v xml:space="preserve">  </v>
      </c>
      <c r="E21" s="596">
        <f>IF('Library-Rec'!$E$40&lt;&gt;0,'Library-Rec'!$E$40,0)</f>
        <v>0</v>
      </c>
      <c r="F21" s="586" t="str">
        <f t="shared" si="0"/>
        <v/>
      </c>
    </row>
    <row r="22" spans="1:10" x14ac:dyDescent="0.2">
      <c r="A22" s="44" t="str">
        <f>IF(inputPrYr!$B22&gt;"  ",(inputPrYr!$B22),"  ")</f>
        <v xml:space="preserve">  </v>
      </c>
      <c r="B22" s="95" t="str">
        <f>IF(inputPrYr!C22&gt;0,(inputPrYr!C22),"  ")</f>
        <v xml:space="preserve">  </v>
      </c>
      <c r="C22" s="88" t="str">
        <f>IF('Levy Page 9'!C82&gt;0,'Levy Page 9'!C82,"  ")</f>
        <v xml:space="preserve">  </v>
      </c>
      <c r="D22" s="584" t="str">
        <f>IF('Levy Page 9'!$E$31&gt;0,'Levy Page 9'!$E$31,"  ")</f>
        <v xml:space="preserve">  </v>
      </c>
      <c r="E22" s="596">
        <f>IF('Levy Page 9'!$E$38&lt;&gt;0,'Levy Page 9'!$E$38,0)</f>
        <v>0</v>
      </c>
      <c r="F22" s="586" t="str">
        <f t="shared" si="0"/>
        <v/>
      </c>
    </row>
    <row r="23" spans="1:10" x14ac:dyDescent="0.2">
      <c r="A23" s="44" t="str">
        <f>IF(inputPrYr!$B23&gt;"  ",(inputPrYr!$B23),"  ")</f>
        <v xml:space="preserve">  </v>
      </c>
      <c r="B23" s="95" t="str">
        <f>IF(inputPrYr!C23&gt;0,(inputPrYr!C23),"  ")</f>
        <v xml:space="preserve">  </v>
      </c>
      <c r="C23" s="88" t="str">
        <f>IF('Levy Page 9'!C82&gt;0,'Levy Page 9'!C82,"  ")</f>
        <v xml:space="preserve">  </v>
      </c>
      <c r="D23" s="584" t="str">
        <f>IF('Levy Page 9'!$E$70&gt;0,'Levy Page 9'!$E$70,"  ")</f>
        <v xml:space="preserve">  </v>
      </c>
      <c r="E23" s="596">
        <f>IF('Levy Page 9'!$E$77&lt;&gt;0,'Levy Page 9'!$E$77,0)</f>
        <v>0</v>
      </c>
      <c r="F23" s="586" t="str">
        <f t="shared" si="0"/>
        <v/>
      </c>
    </row>
    <row r="24" spans="1:10" x14ac:dyDescent="0.2">
      <c r="A24" s="44" t="str">
        <f>IF(inputPrYr!$B24&gt;"  ",(inputPrYr!$B24),"  ")</f>
        <v xml:space="preserve">  </v>
      </c>
      <c r="B24" s="95" t="str">
        <f>IF(inputPrYr!C24&gt;0,(inputPrYr!C24),"  ")</f>
        <v xml:space="preserve">  </v>
      </c>
      <c r="C24" s="88" t="str">
        <f>IF('Levy Page 10'!C86&gt;0,'Levy Page 10'!C86,"  ")</f>
        <v xml:space="preserve">  </v>
      </c>
      <c r="D24" s="584" t="str">
        <f>IF('Levy Page 10'!$E$32&gt;0,'Levy Page 10'!$E$32,"  ")</f>
        <v xml:space="preserve">  </v>
      </c>
      <c r="E24" s="596">
        <f>IF('Levy Page 10'!$E$39&lt;&gt;0,'Levy Page 10'!$E$39,0)</f>
        <v>0</v>
      </c>
      <c r="F24" s="586" t="str">
        <f t="shared" si="0"/>
        <v/>
      </c>
    </row>
    <row r="25" spans="1:10" x14ac:dyDescent="0.2">
      <c r="A25" s="44" t="str">
        <f>IF(inputPrYr!$B25&gt;"  ",(inputPrYr!$B25),"  ")</f>
        <v xml:space="preserve">  </v>
      </c>
      <c r="B25" s="95" t="str">
        <f>IF(inputPrYr!C25&gt;0,(inputPrYr!C25),"  ")</f>
        <v xml:space="preserve">  </v>
      </c>
      <c r="C25" s="88" t="str">
        <f>IF('Levy Page 10'!C86&gt;0,'Levy Page 10'!C86,"  ")</f>
        <v xml:space="preserve">  </v>
      </c>
      <c r="D25" s="584" t="str">
        <f>IF('Levy Page 10'!$E$73&gt;0,'Levy Page 10'!$E$73,"  ")</f>
        <v xml:space="preserve">  </v>
      </c>
      <c r="E25" s="596">
        <f>IF('Levy Page 10'!$E$80&lt;&gt;0,'Levy Page 10'!$E$80,0)</f>
        <v>0</v>
      </c>
      <c r="F25" s="586" t="str">
        <f t="shared" si="0"/>
        <v/>
      </c>
    </row>
    <row r="26" spans="1:10" x14ac:dyDescent="0.2">
      <c r="A26" s="44" t="str">
        <f>IF(inputPrYr!$B26&gt;"  ",(inputPrYr!$B26),"  ")</f>
        <v xml:space="preserve">  </v>
      </c>
      <c r="B26" s="95" t="str">
        <f>IF(inputPrYr!C26&gt;0,(inputPrYr!C26),"  ")</f>
        <v xml:space="preserve">  </v>
      </c>
      <c r="C26" s="88" t="str">
        <f>IF('Levy Page 11'!C82&gt;0,'Levy Page 11'!C82,"  ")</f>
        <v xml:space="preserve">  </v>
      </c>
      <c r="D26" s="584" t="str">
        <f>IF('Levy Page 11'!$E$32&gt;0,'Levy Page 11'!$E$32,"  ")</f>
        <v xml:space="preserve">  </v>
      </c>
      <c r="E26" s="596">
        <f>IF('Levy Page 11'!$E$39&lt;&gt;0,'Levy Page 11'!$E$39,0)</f>
        <v>0</v>
      </c>
      <c r="F26" s="586" t="str">
        <f t="shared" si="0"/>
        <v/>
      </c>
    </row>
    <row r="27" spans="1:10" x14ac:dyDescent="0.2">
      <c r="A27" s="44" t="str">
        <f>IF(inputPrYr!$B27&gt;"  ",(inputPrYr!$B27),"  ")</f>
        <v xml:space="preserve">  </v>
      </c>
      <c r="B27" s="95" t="str">
        <f>IF(inputPrYr!C27&gt;0,(inputPrYr!C27),"  ")</f>
        <v xml:space="preserve">  </v>
      </c>
      <c r="C27" s="88" t="str">
        <f>IF('Levy Page 11'!C82&gt;0,'Levy Page 11'!C82,"  ")</f>
        <v xml:space="preserve">  </v>
      </c>
      <c r="D27" s="584" t="str">
        <f>IF('Levy Page 11'!$E$70&gt;0,'Levy Page 11'!$E$70,"  ")</f>
        <v xml:space="preserve">  </v>
      </c>
      <c r="E27" s="596">
        <f>IF('Levy Page 11'!$E$77&lt;&gt;0,'Levy Page 11'!$E$77,0)</f>
        <v>0</v>
      </c>
      <c r="F27" s="586" t="str">
        <f t="shared" si="0"/>
        <v/>
      </c>
    </row>
    <row r="28" spans="1:10" x14ac:dyDescent="0.2">
      <c r="A28" s="44" t="str">
        <f>IF(inputPrYr!$B28&gt;"  ",(inputPrYr!$B28),"  ")</f>
        <v xml:space="preserve">  </v>
      </c>
      <c r="B28" s="95" t="str">
        <f>IF(inputPrYr!C28&gt;0,(inputPrYr!C28),"  ")</f>
        <v xml:space="preserve">  </v>
      </c>
      <c r="C28" s="88" t="str">
        <f>IF('Levy Page 12'!C84&gt;0,'Levy Page 12'!C84,"  ")</f>
        <v xml:space="preserve">  </v>
      </c>
      <c r="D28" s="584" t="str">
        <f>IF('Levy Page 12'!$E$32&gt;0,'Levy Page 12'!$E$32,"  ")</f>
        <v xml:space="preserve">  </v>
      </c>
      <c r="E28" s="596">
        <f>IF('Levy Page 12'!$E$39&lt;&gt;0,'Levy Page 12'!$E$39,0)</f>
        <v>0</v>
      </c>
      <c r="F28" s="586" t="str">
        <f t="shared" si="0"/>
        <v/>
      </c>
    </row>
    <row r="29" spans="1:10" x14ac:dyDescent="0.2">
      <c r="A29" s="44" t="str">
        <f>IF(inputPrYr!$B29&gt;"  ",(inputPrYr!$B29),"  ")</f>
        <v xml:space="preserve">  </v>
      </c>
      <c r="B29" s="95" t="str">
        <f>IF(inputPrYr!C29&gt;0,(inputPrYr!C29),"  ")</f>
        <v xml:space="preserve">  </v>
      </c>
      <c r="C29" s="88" t="str">
        <f>IF('Levy Page 12'!C84&gt;0,'Levy Page 12'!C84,"  ")</f>
        <v xml:space="preserve">  </v>
      </c>
      <c r="D29" s="584" t="str">
        <f>IF('Levy Page 12'!$E$71&gt;0,'Levy Page 12'!$E$71,"  ")</f>
        <v xml:space="preserve">  </v>
      </c>
      <c r="E29" s="596">
        <f>IF('Levy Page 12'!$E$78&lt;&gt;0,'Levy Page 12'!$E$78,0)</f>
        <v>0</v>
      </c>
      <c r="F29" s="586" t="str">
        <f t="shared" si="0"/>
        <v/>
      </c>
    </row>
    <row r="30" spans="1:10" x14ac:dyDescent="0.2">
      <c r="A30" s="44" t="str">
        <f>IF(inputPrYr!$B30&gt;"  ",(inputPrYr!$B30),"  ")</f>
        <v xml:space="preserve">  </v>
      </c>
      <c r="B30" s="95" t="str">
        <f>IF(inputPrYr!C30&gt;0,(inputPrYr!C30),"  ")</f>
        <v xml:space="preserve">  </v>
      </c>
      <c r="C30" s="88" t="str">
        <f>IF('Levy Page 13'!C85&gt;0,'Levy Page 13'!C85,"  ")</f>
        <v xml:space="preserve">  </v>
      </c>
      <c r="D30" s="584" t="str">
        <f>IF('Levy Page 13'!$E$33&gt;0,'Levy Page 13'!$E$33,"  ")</f>
        <v xml:space="preserve">  </v>
      </c>
      <c r="E30" s="596">
        <f>IF('Levy Page 13'!$E$40&lt;&gt;0,'Levy Page 13'!$E$40,0)</f>
        <v>0</v>
      </c>
      <c r="F30" s="586" t="str">
        <f t="shared" si="0"/>
        <v/>
      </c>
    </row>
    <row r="31" spans="1:10" x14ac:dyDescent="0.2">
      <c r="A31" s="44" t="str">
        <f>IF(inputPrYr!$B31&gt;"  ",(inputPrYr!$B31),"  ")</f>
        <v xml:space="preserve">  </v>
      </c>
      <c r="B31" s="95" t="str">
        <f>IF(inputPrYr!C31&gt;0,(inputPrYr!C31),"  ")</f>
        <v xml:space="preserve">  </v>
      </c>
      <c r="C31" s="88" t="str">
        <f>IF('Levy Page 13'!C85&gt;0,'Levy Page 13'!C85,"  ")</f>
        <v xml:space="preserve">  </v>
      </c>
      <c r="D31" s="584" t="str">
        <f>IF('Levy Page 13'!$E$72&gt;0,'Levy Page 13'!$E$72,"  ")</f>
        <v xml:space="preserve">  </v>
      </c>
      <c r="E31" s="596">
        <f>IF('Levy Page 13'!$E$79&lt;&gt;0,'Levy Page 13'!$E$79,0)</f>
        <v>0</v>
      </c>
      <c r="F31" s="586" t="str">
        <f t="shared" si="0"/>
        <v/>
      </c>
    </row>
    <row r="32" spans="1:10" x14ac:dyDescent="0.2">
      <c r="A32" s="96" t="str">
        <f>IF(inputPrYr!$B37&gt;"  ",(inputPrYr!$B37),"  ")</f>
        <v>Special Highway</v>
      </c>
      <c r="B32" s="97"/>
      <c r="C32" s="98" t="str">
        <f>IF('Spec Hwy'!C65&gt;0,'Spec Hwy'!C65,"  ")</f>
        <v xml:space="preserve">  </v>
      </c>
      <c r="D32" s="584" t="str">
        <f>IF('Spec Hwy'!$E$26&gt;0,'Spec Hwy'!$E$26,"  ")</f>
        <v xml:space="preserve">  </v>
      </c>
      <c r="E32" s="584"/>
      <c r="F32" s="597"/>
    </row>
    <row r="33" spans="1:6" x14ac:dyDescent="0.2">
      <c r="A33" s="96" t="str">
        <f>IF(inputPrYr!$B38&gt;"  ",(inputPrYr!$B38),"  ")</f>
        <v xml:space="preserve">  </v>
      </c>
      <c r="B33" s="97"/>
      <c r="C33" s="98" t="str">
        <f>IF('Spec Hwy'!C65&gt;0,'Spec Hwy'!C65,"  ")</f>
        <v xml:space="preserve">  </v>
      </c>
      <c r="D33" s="584" t="str">
        <f>IF('Spec Hwy'!$E$57&gt;0,'Spec Hwy'!$E$57,"  ")</f>
        <v xml:space="preserve">  </v>
      </c>
      <c r="E33" s="584"/>
      <c r="F33" s="597"/>
    </row>
    <row r="34" spans="1:6" x14ac:dyDescent="0.2">
      <c r="A34" s="748" t="str">
        <f>IF(inputPrYr!$B39&gt;"  ",(inputPrYr!$B39),"  ")</f>
        <v xml:space="preserve">  </v>
      </c>
      <c r="B34" s="99"/>
      <c r="C34" s="98" t="str">
        <f>IF('No Levy Page 15'!C64&gt;0,'No Levy Page 15'!C64,"  ")</f>
        <v xml:space="preserve">  </v>
      </c>
      <c r="D34" s="584" t="str">
        <f>IF('No Levy Page 15'!$E$26&gt;0,'No Levy Page 15'!$E$26,"  ")</f>
        <v xml:space="preserve">  </v>
      </c>
      <c r="E34" s="584"/>
      <c r="F34" s="597"/>
    </row>
    <row r="35" spans="1:6" x14ac:dyDescent="0.2">
      <c r="A35" s="842" t="str">
        <f>IF(inputPrYr!B40&gt;0, inputPrYr!B40, " ")</f>
        <v xml:space="preserve"> </v>
      </c>
      <c r="B35" s="842"/>
      <c r="C35" s="98" t="str">
        <f>IF('No Levy Page 15'!C64&gt;0, 'No Levy Page 15'!C64, " ")</f>
        <v xml:space="preserve"> </v>
      </c>
      <c r="D35" s="584" t="str">
        <f>IF('No Levy Page 15'!$E$56&gt;0,'No Levy Page 15'!$E$56,"  ")</f>
        <v xml:space="preserve">  </v>
      </c>
      <c r="E35" s="584"/>
      <c r="F35" s="597"/>
    </row>
    <row r="36" spans="1:6" x14ac:dyDescent="0.2">
      <c r="A36" s="842" t="str">
        <f>IF(inputPrYr!B41&gt;0, inputPrYr!B41, " ")</f>
        <v xml:space="preserve"> </v>
      </c>
      <c r="B36" s="842"/>
      <c r="C36" s="98" t="str">
        <f>IF('No Levy Page 16'!C65&gt;0, 'No Levy Page 16'!C65, " ")</f>
        <v xml:space="preserve"> </v>
      </c>
      <c r="D36" s="584" t="str">
        <f>IF('No Levy Page 16'!$E$26&gt;0,'No Levy Page 16'!$E$26,"  ")</f>
        <v xml:space="preserve">  </v>
      </c>
      <c r="E36" s="584"/>
      <c r="F36" s="597"/>
    </row>
    <row r="37" spans="1:6" x14ac:dyDescent="0.2">
      <c r="A37" s="842" t="str">
        <f>IF(inputPrYr!B42&gt;0, inputPrYr!B42, " ")</f>
        <v xml:space="preserve"> </v>
      </c>
      <c r="B37" s="842"/>
      <c r="C37" s="98" t="str">
        <f>IF('No Levy Page 16'!C65&gt;0, 'No Levy Page 16'!C65, " ")</f>
        <v xml:space="preserve"> </v>
      </c>
      <c r="D37" s="584" t="str">
        <f>IF('No Levy Page 16'!$E$57&gt;0,'No Levy Page 16'!$E$57,"  ")</f>
        <v xml:space="preserve">  </v>
      </c>
      <c r="E37" s="584"/>
      <c r="F37" s="597"/>
    </row>
    <row r="38" spans="1:6" x14ac:dyDescent="0.2">
      <c r="A38" s="842" t="str">
        <f>IF(inputPrYr!B43&gt;0, inputPrYr!B43, " ")</f>
        <v xml:space="preserve"> </v>
      </c>
      <c r="B38" s="842"/>
      <c r="C38" s="98" t="str">
        <f>IF('No Levy Page 17'!C65&gt;0, 'No Levy Page 17'!C65, " ")</f>
        <v xml:space="preserve"> </v>
      </c>
      <c r="D38" s="584" t="str">
        <f>IF('No Levy Page 17'!$E$26&gt;0,'No Levy Page 17'!$E$26,"  ")</f>
        <v xml:space="preserve">  </v>
      </c>
      <c r="E38" s="584"/>
      <c r="F38" s="597"/>
    </row>
    <row r="39" spans="1:6" x14ac:dyDescent="0.2">
      <c r="A39" s="96" t="str">
        <f>IF(inputPrYr!$B44&gt;"  ",(inputPrYr!$B44),"  ")</f>
        <v xml:space="preserve">  </v>
      </c>
      <c r="B39" s="100"/>
      <c r="C39" s="98" t="str">
        <f>IF('No Levy Page 17'!C65&gt;0,'No Levy Page 17'!C65,"  ")</f>
        <v xml:space="preserve">  </v>
      </c>
      <c r="D39" s="584" t="str">
        <f>IF('No Levy Page 17'!$E$57&gt;0,'No Levy Page 17'!$E$57,"  ")</f>
        <v xml:space="preserve">  </v>
      </c>
      <c r="E39" s="584"/>
      <c r="F39" s="597"/>
    </row>
    <row r="40" spans="1:6" x14ac:dyDescent="0.2">
      <c r="A40" s="96" t="str">
        <f>IF(inputPrYr!$B45&gt;"  ",(inputPrYr!$B45),"  ")</f>
        <v xml:space="preserve">  </v>
      </c>
      <c r="B40" s="97"/>
      <c r="C40" s="98" t="str">
        <f>IF('No Levy Page 18'!C66&gt;0,'No Levy Page 18'!C66,"  ")</f>
        <v xml:space="preserve">  </v>
      </c>
      <c r="D40" s="584" t="str">
        <f>IF('No Levy Page 18'!$E$28&gt;0,'No Levy Page 18'!$E$28,"  ")</f>
        <v xml:space="preserve">  </v>
      </c>
      <c r="E40" s="584"/>
      <c r="F40" s="597"/>
    </row>
    <row r="41" spans="1:6" x14ac:dyDescent="0.2">
      <c r="A41" s="96" t="str">
        <f>IF(inputPrYr!$B46&gt;"  ",(inputPrYr!$B46),"  ")</f>
        <v xml:space="preserve">  </v>
      </c>
      <c r="B41" s="97"/>
      <c r="C41" s="98" t="str">
        <f>IF('No Levy Page 18'!C66&gt;0,'No Levy Page 18'!C66,"  ")</f>
        <v xml:space="preserve">  </v>
      </c>
      <c r="D41" s="584" t="str">
        <f>IF('No Levy Page 18'!$E$58&gt;0,'No Levy Page 18'!$E$58,"  ")</f>
        <v xml:space="preserve">  </v>
      </c>
      <c r="E41" s="584"/>
      <c r="F41" s="597"/>
    </row>
    <row r="42" spans="1:6" x14ac:dyDescent="0.2">
      <c r="A42" s="96" t="str">
        <f>IF(inputPrYr!$B47&gt;"  ",(inputPrYr!$B47),"  ")</f>
        <v xml:space="preserve">  </v>
      </c>
      <c r="B42" s="97"/>
      <c r="C42" s="98" t="str">
        <f>IF('No Levy Page 19'!C66&gt;0,'No Levy Page 19'!C66,"  ")</f>
        <v xml:space="preserve">  </v>
      </c>
      <c r="D42" s="584" t="str">
        <f>IF('No Levy Page 19'!$E$28&gt;0,'No Levy Page 19'!$E$28,"  ")</f>
        <v xml:space="preserve">  </v>
      </c>
      <c r="E42" s="584"/>
      <c r="F42" s="597"/>
    </row>
    <row r="43" spans="1:6" x14ac:dyDescent="0.2">
      <c r="A43" s="96" t="str">
        <f>IF(inputPrYr!$B48&gt;"  ",(inputPrYr!$B48),"  ")</f>
        <v xml:space="preserve">  </v>
      </c>
      <c r="B43" s="97"/>
      <c r="C43" s="98" t="str">
        <f>IF('No Levy Page 19'!C66&gt;0,'No Levy Page 19'!C66,"  ")</f>
        <v xml:space="preserve">  </v>
      </c>
      <c r="D43" s="584" t="str">
        <f>IF('No Levy Page 19'!$E$58&gt;0,'No Levy Page 19'!$E$58,"  ")</f>
        <v xml:space="preserve">  </v>
      </c>
      <c r="E43" s="584"/>
      <c r="F43" s="597"/>
    </row>
    <row r="44" spans="1:6" x14ac:dyDescent="0.2">
      <c r="A44" s="96" t="str">
        <f>IF(inputPrYr!$B49&gt;"  ",(inputPrYr!$B49),"  ")</f>
        <v xml:space="preserve">  </v>
      </c>
      <c r="B44" s="97"/>
      <c r="C44" s="98" t="str">
        <f>IF('No Levy Page 20'!C66&gt;0,'No Levy Page 20'!C66,"  ")</f>
        <v xml:space="preserve">  </v>
      </c>
      <c r="D44" s="584" t="str">
        <f>IF('No Levy Page 20'!$E$28&gt;0,'No Levy Page 20'!$E$28,"  ")</f>
        <v xml:space="preserve">  </v>
      </c>
      <c r="E44" s="584"/>
      <c r="F44" s="597"/>
    </row>
    <row r="45" spans="1:6" x14ac:dyDescent="0.2">
      <c r="A45" s="96" t="str">
        <f>IF(inputPrYr!$B50&gt;"  ",(inputPrYr!$B50),"  ")</f>
        <v xml:space="preserve">  </v>
      </c>
      <c r="B45" s="97"/>
      <c r="C45" s="98" t="str">
        <f>IF('No Levy Page 20'!C66&gt;0,'No Levy Page 20'!C66,"  ")</f>
        <v xml:space="preserve">  </v>
      </c>
      <c r="D45" s="584" t="str">
        <f>IF('No Levy Page 20'!$E$58&gt;0,'No Levy Page 20'!$E$58,"  ")</f>
        <v xml:space="preserve">  </v>
      </c>
      <c r="E45" s="584"/>
      <c r="F45" s="597"/>
    </row>
    <row r="46" spans="1:6" x14ac:dyDescent="0.2">
      <c r="A46" s="96" t="str">
        <f>IF(inputPrYr!$B51&gt;"  ",(inputPrYr!$B51),"  ")</f>
        <v xml:space="preserve">  </v>
      </c>
      <c r="B46" s="99"/>
      <c r="C46" s="98" t="str">
        <f>IF('No Levy Page 21'!C66&gt;0,'No Levy Page 21'!C66,"  ")</f>
        <v xml:space="preserve">  </v>
      </c>
      <c r="D46" s="584" t="str">
        <f>IF('No Levy Page 21'!$E$28&gt;0,'No Levy Page 21'!$E$28,"  ")</f>
        <v xml:space="preserve">  </v>
      </c>
      <c r="E46" s="584"/>
      <c r="F46" s="597"/>
    </row>
    <row r="47" spans="1:6" x14ac:dyDescent="0.2">
      <c r="A47" s="96" t="str">
        <f>IF(inputPrYr!$B52&gt;"  ",(inputPrYr!$B52),"  ")</f>
        <v xml:space="preserve">  </v>
      </c>
      <c r="B47" s="100"/>
      <c r="C47" s="98" t="str">
        <f>IF('No Levy Page 21'!C66&gt;0,'No Levy Page 21'!C66,"  ")</f>
        <v xml:space="preserve">  </v>
      </c>
      <c r="D47" s="584" t="str">
        <f>IF('No Levy Page 21'!$E$58&gt;0,'No Levy Page 21'!$E$58,"  ")</f>
        <v xml:space="preserve">  </v>
      </c>
      <c r="E47" s="584"/>
      <c r="F47" s="597"/>
    </row>
    <row r="48" spans="1:6" x14ac:dyDescent="0.2">
      <c r="A48" s="96" t="str">
        <f>IF(inputPrYr!$B54&gt;"  ",(inputPrYr!$B54),"  ")</f>
        <v xml:space="preserve">  </v>
      </c>
      <c r="B48" s="97"/>
      <c r="C48" s="98" t="str">
        <f>IF('Single No Levy Page 22'!C52&gt;0,'Single No Levy Page 22'!C52,"  ")</f>
        <v xml:space="preserve">  </v>
      </c>
      <c r="D48" s="584" t="str">
        <f>IF('Single No Levy Page 22'!$E$44&gt;0,'Single No Levy Page 22'!$E$44,"  ")</f>
        <v xml:space="preserve">  </v>
      </c>
      <c r="E48" s="584"/>
      <c r="F48" s="597"/>
    </row>
    <row r="49" spans="1:7" x14ac:dyDescent="0.2">
      <c r="A49" s="96" t="str">
        <f>IF(inputPrYr!$B55&gt;"  ",(inputPrYr!$B55),"  ")</f>
        <v xml:space="preserve">  </v>
      </c>
      <c r="B49" s="97"/>
      <c r="C49" s="98" t="str">
        <f>IF('Single No Levy Page 23'!C48&gt;0,'Single No Levy Page 23'!C48,"  ")</f>
        <v xml:space="preserve">  </v>
      </c>
      <c r="D49" s="584" t="str">
        <f>IF('Single No Levy Page 23'!$E$40&gt;0,'Single No Levy Page 23'!$E$40,"  ")</f>
        <v xml:space="preserve">  </v>
      </c>
      <c r="E49" s="584"/>
      <c r="F49" s="597"/>
    </row>
    <row r="50" spans="1:7" x14ac:dyDescent="0.2">
      <c r="A50" s="96" t="str">
        <f>IF(inputPrYr!$B56&gt;"  ",(inputPrYr!$B56),"  ")</f>
        <v xml:space="preserve">  </v>
      </c>
      <c r="B50" s="99"/>
      <c r="C50" s="98" t="str">
        <f>IF('Single No Levy Page 24'!C52&gt;0,'Single No Levy Page 24'!C52,"  ")</f>
        <v xml:space="preserve">  </v>
      </c>
      <c r="D50" s="584" t="str">
        <f>IF('Single No Levy Page 24'!$E$44&gt;0,'Single No Levy Page 24'!$E$44,"  ")</f>
        <v xml:space="preserve">  </v>
      </c>
      <c r="E50" s="584"/>
      <c r="F50" s="597"/>
    </row>
    <row r="51" spans="1:7" x14ac:dyDescent="0.2">
      <c r="A51" s="96" t="str">
        <f>IF(inputPrYr!$B57&gt;"  ",(inputPrYr!$B57),"  ")</f>
        <v xml:space="preserve">  </v>
      </c>
      <c r="B51" s="100"/>
      <c r="C51" s="98" t="str">
        <f>IF('Single No Levy Page 25'!C53&gt;0,'Single No Levy Page 25'!C53,"  ")</f>
        <v xml:space="preserve">  </v>
      </c>
      <c r="D51" s="584" t="str">
        <f>IF('Single No Levy Page 25'!$E$44&gt;0,'Single No Levy Page 25'!$E$44,"  ")</f>
        <v xml:space="preserve">  </v>
      </c>
      <c r="E51" s="584"/>
      <c r="F51" s="597"/>
    </row>
    <row r="52" spans="1:7" x14ac:dyDescent="0.2">
      <c r="A52" s="96" t="str">
        <f>IF(inputPrYr!$B60&gt;"  ",('Non-Budgeted Funds A'!$A3),"  ")</f>
        <v xml:space="preserve">  </v>
      </c>
      <c r="B52" s="100"/>
      <c r="C52" s="98" t="str">
        <f>IF('Non-Budgeted Funds A'!F37&gt;0,'Non-Budgeted Funds A'!F37,"  ")</f>
        <v xml:space="preserve">  </v>
      </c>
      <c r="D52" s="584"/>
      <c r="E52" s="584"/>
      <c r="F52" s="597"/>
    </row>
    <row r="53" spans="1:7" x14ac:dyDescent="0.2">
      <c r="A53" s="96" t="str">
        <f>IF(inputPrYr!$B66&gt;"  ",('Non-Budgeted Funds B'!$A3),"  ")</f>
        <v xml:space="preserve">  </v>
      </c>
      <c r="B53" s="100"/>
      <c r="C53" s="98" t="str">
        <f>IF('Non-Budgeted Funds B'!F37&gt;0,'Non-Budgeted Funds B'!F37,"  ")</f>
        <v xml:space="preserve">  </v>
      </c>
      <c r="D53" s="584"/>
      <c r="E53" s="584"/>
      <c r="F53" s="597"/>
    </row>
    <row r="54" spans="1:7" x14ac:dyDescent="0.2">
      <c r="A54" s="96" t="str">
        <f>IF(inputPrYr!$B72&gt;"  ",('Non-Budgeted Funds C'!$A3),"  ")</f>
        <v xml:space="preserve">  </v>
      </c>
      <c r="B54" s="97"/>
      <c r="C54" s="98" t="str">
        <f>IF('Non-Budgeted Funds C'!F37&gt;0,'Non-Budgeted Funds C'!F37,"  ")</f>
        <v xml:space="preserve">  </v>
      </c>
      <c r="D54" s="584"/>
      <c r="E54" s="584"/>
      <c r="F54" s="597"/>
    </row>
    <row r="55" spans="1:7" ht="16.5" thickBot="1" x14ac:dyDescent="0.25">
      <c r="A55" s="96" t="str">
        <f>IF(inputPrYr!$B78&gt;"  ",('Non-Budgeted Funds D'!$A3),"  ")</f>
        <v xml:space="preserve">  </v>
      </c>
      <c r="B55" s="99"/>
      <c r="C55" s="98" t="str">
        <f>IF('Non-Budgeted Funds D'!F37&gt;0,'Non-Budgeted Funds D'!F37,"  ")</f>
        <v xml:space="preserve">  </v>
      </c>
      <c r="D55" s="598"/>
      <c r="E55" s="598"/>
      <c r="F55" s="599"/>
    </row>
    <row r="56" spans="1:7" x14ac:dyDescent="0.2">
      <c r="A56" s="282" t="s">
        <v>336</v>
      </c>
      <c r="B56" s="46"/>
      <c r="C56" s="165" t="s">
        <v>49</v>
      </c>
      <c r="D56" s="750">
        <f>SUM(D19:D55)</f>
        <v>0</v>
      </c>
      <c r="E56" s="750">
        <f>SUM(E19:E55)</f>
        <v>0</v>
      </c>
      <c r="F56" s="751" t="str">
        <f>IF(SUM(F19:F31)=0,"",SUM(F19:F31))</f>
        <v/>
      </c>
    </row>
    <row r="57" spans="1:7" x14ac:dyDescent="0.2">
      <c r="A57" s="87" t="str">
        <f>inputPrYr!B34</f>
        <v>Recreation</v>
      </c>
      <c r="B57" s="255" t="s">
        <v>335</v>
      </c>
      <c r="C57" s="88" t="str">
        <f>IF('Library-Rec'!C86&gt;0,'Library-Rec'!C86,"  ")</f>
        <v xml:space="preserve">  </v>
      </c>
      <c r="D57" s="147" t="str">
        <f>IF('Library-Rec'!E73&lt;&gt;0,'Library-Rec'!E73,"  ")</f>
        <v xml:space="preserve">  </v>
      </c>
      <c r="E57" s="752">
        <f>IF('Library-Rec'!E80&lt;&gt;0,'Library-Rec'!E80,0)</f>
        <v>0</v>
      </c>
      <c r="F57" s="752" t="str">
        <f>IF($F$60=0,"",ROUND(E57/$F$60*1000,3))</f>
        <v/>
      </c>
      <c r="G57" s="16"/>
    </row>
    <row r="58" spans="1:7" x14ac:dyDescent="0.2">
      <c r="A58" s="307" t="s">
        <v>696</v>
      </c>
      <c r="B58" s="308"/>
      <c r="C58" s="165" t="s">
        <v>49</v>
      </c>
      <c r="D58" s="753">
        <f>SUM(D56:D57)</f>
        <v>0</v>
      </c>
      <c r="E58" s="753">
        <f>SUM(E56:E57)</f>
        <v>0</v>
      </c>
      <c r="F58" s="754" t="str">
        <f>IF(SUM(F56:F57)=0,"",SUM(F56:F57))</f>
        <v/>
      </c>
    </row>
    <row r="59" spans="1:7" x14ac:dyDescent="0.2">
      <c r="A59" s="835" t="s">
        <v>691</v>
      </c>
      <c r="B59" s="836"/>
      <c r="C59" s="88" t="str">
        <f>IF('Budget Hearing Notice'!D75&gt;0, 'Budget Hearing Notice'!D75, " ")</f>
        <v xml:space="preserve"> </v>
      </c>
      <c r="D59" s="20"/>
      <c r="E59" s="20"/>
      <c r="F59" s="745" t="s">
        <v>148</v>
      </c>
    </row>
    <row r="60" spans="1:7" x14ac:dyDescent="0.2">
      <c r="A60" s="835" t="s">
        <v>692</v>
      </c>
      <c r="B60" s="836"/>
      <c r="C60" s="88" t="str">
        <f>IF('Combined Rate-Bud Hearing Notic'!D75&gt;0, 'Combined Rate-Bud Hearing Notic'!D75, " ")</f>
        <v xml:space="preserve"> </v>
      </c>
      <c r="D60" s="20"/>
      <c r="E60" s="20"/>
      <c r="F60" s="837"/>
    </row>
    <row r="61" spans="1:7" x14ac:dyDescent="0.2">
      <c r="A61" s="835" t="s">
        <v>693</v>
      </c>
      <c r="B61" s="836"/>
      <c r="C61" s="88" t="str">
        <f>IF('RNR Hearing Notice'!E17&gt;0, 'RNR Hearing Notice'!E17, " ")</f>
        <v xml:space="preserve"> </v>
      </c>
      <c r="D61" s="20"/>
      <c r="E61" s="20"/>
      <c r="F61" s="838"/>
    </row>
    <row r="62" spans="1:7" ht="15.75" customHeight="1" x14ac:dyDescent="0.2">
      <c r="A62" s="835" t="s">
        <v>694</v>
      </c>
      <c r="B62" s="836"/>
      <c r="C62" s="88" t="str">
        <f>IF('NR Rebate'!C40&gt;0,'NR Rebate'!C40,"")</f>
        <v/>
      </c>
      <c r="D62" s="20"/>
      <c r="E62" s="20"/>
      <c r="F62" s="839" t="str">
        <f>CONCATENATE("Nov 1, ",G1-1," Total Assessed Valuation")</f>
        <v>Nov 1, 2024 Total Assessed Valuation</v>
      </c>
    </row>
    <row r="63" spans="1:7" x14ac:dyDescent="0.2">
      <c r="A63" s="21"/>
      <c r="B63" s="20"/>
      <c r="C63" s="74"/>
      <c r="D63" s="20"/>
      <c r="E63" s="20"/>
      <c r="F63" s="839"/>
    </row>
    <row r="64" spans="1:7" x14ac:dyDescent="0.2">
      <c r="A64" s="21"/>
      <c r="B64" s="20"/>
      <c r="C64" s="74"/>
      <c r="D64" s="20"/>
      <c r="E64" s="20"/>
      <c r="F64" s="20"/>
    </row>
    <row r="65" spans="1:6" x14ac:dyDescent="0.2">
      <c r="A65" s="21"/>
      <c r="B65" s="20"/>
      <c r="C65" s="74"/>
      <c r="D65" s="840" t="s">
        <v>695</v>
      </c>
      <c r="E65" s="841"/>
      <c r="F65" s="738">
        <f>inputOth!D22</f>
        <v>0</v>
      </c>
    </row>
    <row r="66" spans="1:6" x14ac:dyDescent="0.2">
      <c r="A66" s="843" t="s">
        <v>995</v>
      </c>
      <c r="B66" s="844"/>
      <c r="C66" s="844"/>
      <c r="D66" s="844"/>
      <c r="E66" s="844"/>
      <c r="F66" s="738" t="str">
        <f>IF(E56&gt;inputPrYr!E32, "YES", "NO")</f>
        <v>NO</v>
      </c>
    </row>
    <row r="67" spans="1:6" x14ac:dyDescent="0.2">
      <c r="A67" s="21"/>
      <c r="B67" s="20"/>
      <c r="C67" s="74"/>
      <c r="D67" s="790"/>
      <c r="E67" s="790"/>
      <c r="F67" s="791"/>
    </row>
    <row r="68" spans="1:6" x14ac:dyDescent="0.2">
      <c r="A68" s="21" t="s">
        <v>50</v>
      </c>
      <c r="B68" s="20"/>
      <c r="C68" s="20"/>
      <c r="D68" s="20"/>
      <c r="E68" s="20"/>
      <c r="F68" s="20"/>
    </row>
    <row r="69" spans="1:6" x14ac:dyDescent="0.2">
      <c r="A69" s="243"/>
      <c r="B69" s="20"/>
      <c r="C69" s="20"/>
      <c r="D69" s="191"/>
      <c r="E69" s="20"/>
      <c r="F69" s="20"/>
    </row>
    <row r="70" spans="1:6" x14ac:dyDescent="0.2">
      <c r="A70" s="244"/>
      <c r="B70" s="20"/>
      <c r="C70" s="20" t="s">
        <v>439</v>
      </c>
      <c r="D70" s="191"/>
      <c r="E70" s="20"/>
      <c r="F70" s="20"/>
    </row>
    <row r="71" spans="1:6" x14ac:dyDescent="0.2">
      <c r="A71" s="21" t="s">
        <v>151</v>
      </c>
      <c r="B71" s="20"/>
      <c r="C71" s="21"/>
      <c r="D71" s="191"/>
      <c r="E71" s="20"/>
      <c r="F71" s="20"/>
    </row>
    <row r="72" spans="1:6" x14ac:dyDescent="0.2">
      <c r="A72" s="243"/>
      <c r="B72" s="20"/>
      <c r="C72" s="20" t="s">
        <v>439</v>
      </c>
      <c r="D72" s="191"/>
      <c r="E72" s="191"/>
      <c r="F72" s="191"/>
    </row>
    <row r="73" spans="1:6" x14ac:dyDescent="0.2">
      <c r="A73" s="244"/>
      <c r="B73" s="101"/>
      <c r="C73" s="20"/>
      <c r="D73" s="20"/>
      <c r="E73" s="49"/>
      <c r="F73" s="49"/>
    </row>
    <row r="74" spans="1:6" x14ac:dyDescent="0.2">
      <c r="A74" s="39" t="s">
        <v>438</v>
      </c>
      <c r="B74" s="101"/>
      <c r="C74" s="20" t="s">
        <v>439</v>
      </c>
      <c r="D74" s="20"/>
      <c r="E74" s="497"/>
      <c r="F74" s="497"/>
    </row>
    <row r="75" spans="1:6" x14ac:dyDescent="0.2">
      <c r="A75" s="243"/>
      <c r="B75" s="73"/>
      <c r="C75" s="20"/>
      <c r="D75" s="20"/>
      <c r="E75" s="49"/>
      <c r="F75" s="49"/>
    </row>
    <row r="76" spans="1:6" x14ac:dyDescent="0.2">
      <c r="A76" s="191"/>
      <c r="B76" s="73"/>
      <c r="C76" s="20" t="s">
        <v>439</v>
      </c>
      <c r="D76" s="20"/>
      <c r="E76" s="497"/>
      <c r="F76" s="497"/>
    </row>
    <row r="77" spans="1:6" x14ac:dyDescent="0.2">
      <c r="A77" s="21" t="s">
        <v>3</v>
      </c>
      <c r="B77" s="102">
        <f>G1-1</f>
        <v>2024</v>
      </c>
      <c r="C77" s="20"/>
      <c r="D77" s="20"/>
      <c r="E77" s="75"/>
      <c r="F77" s="20"/>
    </row>
    <row r="78" spans="1:6" x14ac:dyDescent="0.2">
      <c r="A78" s="79"/>
      <c r="B78" s="20"/>
      <c r="C78" s="20" t="s">
        <v>439</v>
      </c>
      <c r="D78" s="20"/>
      <c r="E78" s="20"/>
      <c r="F78" s="20"/>
    </row>
    <row r="79" spans="1:6" x14ac:dyDescent="0.2">
      <c r="A79" s="74" t="s">
        <v>52</v>
      </c>
      <c r="B79" s="20"/>
      <c r="C79" s="830" t="s">
        <v>51</v>
      </c>
      <c r="D79" s="831"/>
      <c r="E79" s="831"/>
      <c r="F79" s="831"/>
    </row>
    <row r="80" spans="1:6" x14ac:dyDescent="0.2">
      <c r="A80" s="191"/>
      <c r="B80" s="73"/>
      <c r="C80" s="20"/>
      <c r="D80" s="20"/>
      <c r="E80" s="497"/>
      <c r="F80" s="497"/>
    </row>
    <row r="81" spans="1:6" x14ac:dyDescent="0.2">
      <c r="A81" s="697" t="s">
        <v>529</v>
      </c>
      <c r="B81" s="668"/>
      <c r="C81" s="61"/>
      <c r="D81" s="61"/>
      <c r="E81" s="669"/>
      <c r="F81" s="670"/>
    </row>
    <row r="82" spans="1:6" x14ac:dyDescent="0.2">
      <c r="A82" s="671"/>
      <c r="B82" s="73"/>
      <c r="C82" s="20"/>
      <c r="D82" s="20"/>
      <c r="E82" s="497"/>
      <c r="F82" s="672"/>
    </row>
    <row r="83" spans="1:6" x14ac:dyDescent="0.2">
      <c r="A83" s="673"/>
      <c r="B83" s="674"/>
      <c r="C83" s="35"/>
      <c r="D83" s="35"/>
      <c r="E83" s="675"/>
      <c r="F83" s="676"/>
    </row>
    <row r="84" spans="1:6" x14ac:dyDescent="0.2">
      <c r="A84" s="191"/>
      <c r="B84" s="73"/>
      <c r="C84" s="20"/>
      <c r="D84" s="20"/>
      <c r="E84" s="497"/>
      <c r="F84" s="497"/>
    </row>
    <row r="90" spans="1:6" ht="15" x14ac:dyDescent="0.2">
      <c r="A90" s="56"/>
      <c r="B90" s="56"/>
      <c r="C90" s="56"/>
      <c r="D90" s="56"/>
      <c r="E90" s="56"/>
      <c r="F90" s="56"/>
    </row>
    <row r="91" spans="1:6" ht="15" x14ac:dyDescent="0.2">
      <c r="A91" s="56"/>
      <c r="B91" s="56"/>
      <c r="C91" s="56"/>
      <c r="D91" s="56"/>
      <c r="E91" s="56"/>
      <c r="F91" s="56"/>
    </row>
    <row r="92" spans="1:6" ht="15" x14ac:dyDescent="0.2">
      <c r="A92" s="56"/>
      <c r="B92" s="56"/>
      <c r="C92" s="56"/>
      <c r="D92" s="56"/>
      <c r="E92" s="56"/>
      <c r="F92" s="56"/>
    </row>
    <row r="93" spans="1:6" ht="15" x14ac:dyDescent="0.2">
      <c r="A93" s="56"/>
      <c r="B93" s="56"/>
      <c r="C93" s="56"/>
      <c r="D93" s="56"/>
      <c r="E93" s="56"/>
      <c r="F93" s="56"/>
    </row>
    <row r="94" spans="1:6" ht="15" x14ac:dyDescent="0.2">
      <c r="A94" s="56"/>
      <c r="B94" s="56"/>
      <c r="C94" s="56"/>
      <c r="D94" s="56"/>
      <c r="E94" s="56"/>
      <c r="F94" s="56"/>
    </row>
    <row r="95" spans="1:6" ht="15" x14ac:dyDescent="0.2">
      <c r="A95" s="56"/>
      <c r="B95" s="56"/>
      <c r="C95" s="56"/>
      <c r="D95" s="56"/>
      <c r="E95" s="56"/>
      <c r="F95" s="56"/>
    </row>
    <row r="96" spans="1:6" ht="15" x14ac:dyDescent="0.2">
      <c r="A96" s="56"/>
      <c r="B96" s="56"/>
      <c r="C96" s="56"/>
      <c r="D96" s="56"/>
      <c r="E96" s="56"/>
      <c r="F96" s="56"/>
    </row>
    <row r="97" spans="1:6" ht="15" x14ac:dyDescent="0.2">
      <c r="A97" s="56"/>
      <c r="B97" s="56"/>
      <c r="C97" s="56"/>
      <c r="D97" s="56"/>
      <c r="E97" s="56"/>
      <c r="F97" s="56"/>
    </row>
    <row r="98" spans="1:6" ht="15" x14ac:dyDescent="0.2">
      <c r="A98" s="56"/>
      <c r="B98" s="56"/>
      <c r="C98" s="56"/>
      <c r="D98" s="56"/>
      <c r="E98" s="56"/>
      <c r="F98" s="56"/>
    </row>
    <row r="99" spans="1:6" ht="15" x14ac:dyDescent="0.2">
      <c r="A99" s="56"/>
      <c r="B99" s="56"/>
      <c r="C99" s="56"/>
      <c r="D99" s="56"/>
      <c r="E99" s="56"/>
      <c r="F99" s="56"/>
    </row>
    <row r="100" spans="1:6" ht="15" x14ac:dyDescent="0.2">
      <c r="A100" s="56"/>
      <c r="B100" s="56"/>
      <c r="C100" s="56"/>
      <c r="D100" s="56"/>
      <c r="E100" s="56"/>
      <c r="F100" s="56"/>
    </row>
    <row r="101" spans="1:6" ht="15" x14ac:dyDescent="0.2">
      <c r="A101" s="56"/>
      <c r="B101" s="56"/>
      <c r="C101" s="56"/>
      <c r="D101" s="56"/>
      <c r="E101" s="56"/>
      <c r="F101" s="56"/>
    </row>
    <row r="102" spans="1:6" ht="15" x14ac:dyDescent="0.2">
      <c r="A102" s="56"/>
      <c r="B102" s="56"/>
      <c r="C102" s="56"/>
      <c r="D102" s="56"/>
      <c r="E102" s="56"/>
      <c r="F102" s="56"/>
    </row>
    <row r="103" spans="1:6" ht="15" x14ac:dyDescent="0.2">
      <c r="A103" s="56"/>
      <c r="B103" s="56"/>
      <c r="C103" s="56"/>
      <c r="D103" s="56"/>
      <c r="E103" s="56"/>
      <c r="F103" s="56"/>
    </row>
    <row r="104" spans="1:6" ht="15" x14ac:dyDescent="0.2">
      <c r="A104" s="56"/>
      <c r="B104" s="56"/>
      <c r="C104" s="56"/>
      <c r="D104" s="56"/>
      <c r="E104" s="56"/>
      <c r="F104" s="56"/>
    </row>
    <row r="105" spans="1:6" ht="15" x14ac:dyDescent="0.2">
      <c r="A105" s="56"/>
      <c r="B105" s="56"/>
      <c r="C105" s="56"/>
      <c r="D105" s="56"/>
      <c r="E105" s="56"/>
      <c r="F105" s="56"/>
    </row>
    <row r="108" spans="1:6" x14ac:dyDescent="0.2">
      <c r="A108" s="16"/>
      <c r="B108" s="16"/>
      <c r="C108" s="16"/>
      <c r="D108" s="16"/>
      <c r="E108" s="16"/>
      <c r="F108" s="16"/>
    </row>
  </sheetData>
  <sheetProtection sheet="1" objects="1" scenarios="1"/>
  <mergeCells count="16">
    <mergeCell ref="A4:F4"/>
    <mergeCell ref="A2:F2"/>
    <mergeCell ref="C79:F79"/>
    <mergeCell ref="F10:F12"/>
    <mergeCell ref="A59:B59"/>
    <mergeCell ref="A60:B60"/>
    <mergeCell ref="A61:B61"/>
    <mergeCell ref="A62:B62"/>
    <mergeCell ref="F60:F61"/>
    <mergeCell ref="F62:F63"/>
    <mergeCell ref="D65:E65"/>
    <mergeCell ref="A35:B35"/>
    <mergeCell ref="A36:B36"/>
    <mergeCell ref="A37:B37"/>
    <mergeCell ref="A38:B38"/>
    <mergeCell ref="A66:E66"/>
  </mergeCells>
  <phoneticPr fontId="0" type="noConversion"/>
  <conditionalFormatting sqref="F66">
    <cfRule type="containsText" dxfId="339" priority="1" operator="containsText" text="YES">
      <formula>NOT(ISERROR(SEARCH("YES",F66)))</formula>
    </cfRule>
  </conditionalFormatting>
  <pageMargins left="0.82" right="0.5" top="1" bottom="0.5" header="0.5" footer="0.25"/>
  <pageSetup scale="56" orientation="portrait" blackAndWhite="1" horizontalDpi="120" verticalDpi="144" r:id="rId1"/>
  <headerFooter alignWithMargins="0">
    <oddHeader xml:space="preserve">&amp;RState of Kansas
City
</oddHeader>
    <oddFooter>&amp;C   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pageSetUpPr fitToPage="1"/>
  </sheetPr>
  <dimension ref="A1:I36"/>
  <sheetViews>
    <sheetView zoomScaleNormal="100" workbookViewId="0">
      <selection activeCell="L17" sqref="L17"/>
    </sheetView>
  </sheetViews>
  <sheetFormatPr defaultColWidth="8.88671875" defaultRowHeight="15.75" x14ac:dyDescent="0.2"/>
  <cols>
    <col min="1" max="1" width="8.88671875" style="18"/>
    <col min="2" max="2" width="17.88671875" style="18" customWidth="1"/>
    <col min="3" max="3" width="16.109375" style="18" customWidth="1"/>
    <col min="4" max="8" width="12.77734375" style="18" customWidth="1"/>
    <col min="9" max="9" width="10.21875" style="18" customWidth="1"/>
    <col min="10" max="16384" width="8.88671875" style="18"/>
  </cols>
  <sheetData>
    <row r="1" spans="1:9" x14ac:dyDescent="0.2">
      <c r="A1" s="20"/>
      <c r="B1" s="39">
        <f>inputPrYr!D3</f>
        <v>0</v>
      </c>
      <c r="C1" s="39"/>
      <c r="D1" s="20"/>
      <c r="E1" s="20"/>
      <c r="F1" s="20"/>
      <c r="G1" s="20"/>
      <c r="H1" s="20"/>
      <c r="I1" s="20">
        <f>inputPrYr!C6</f>
        <v>2025</v>
      </c>
    </row>
    <row r="2" spans="1:9" x14ac:dyDescent="0.2">
      <c r="A2" s="20"/>
      <c r="B2" s="20"/>
      <c r="C2" s="20"/>
      <c r="D2" s="20"/>
      <c r="E2" s="20"/>
      <c r="F2" s="20"/>
      <c r="G2" s="20"/>
      <c r="H2" s="20"/>
      <c r="I2" s="20"/>
    </row>
    <row r="3" spans="1:9" x14ac:dyDescent="0.2">
      <c r="A3" s="848" t="s">
        <v>520</v>
      </c>
      <c r="B3" s="848"/>
      <c r="C3" s="848"/>
      <c r="D3" s="848"/>
      <c r="E3" s="848"/>
      <c r="F3" s="848"/>
      <c r="G3" s="848"/>
      <c r="H3" s="848"/>
      <c r="I3" s="848"/>
    </row>
    <row r="4" spans="1:9" x14ac:dyDescent="0.2">
      <c r="A4" s="20"/>
      <c r="B4" s="20"/>
      <c r="C4" s="107"/>
      <c r="D4" s="25"/>
      <c r="E4" s="25"/>
      <c r="F4" s="20"/>
      <c r="G4" s="20"/>
      <c r="H4" s="20"/>
      <c r="I4" s="20"/>
    </row>
    <row r="5" spans="1:9" ht="21" customHeight="1" x14ac:dyDescent="0.2">
      <c r="A5" s="20"/>
      <c r="B5" s="108" t="s">
        <v>192</v>
      </c>
      <c r="C5" s="661" t="s">
        <v>509</v>
      </c>
      <c r="D5" s="845" t="str">
        <f>CONCATENATE("Allocation for Year ",I1,"")</f>
        <v>Allocation for Year 2025</v>
      </c>
      <c r="E5" s="846"/>
      <c r="F5" s="846"/>
      <c r="G5" s="846"/>
      <c r="H5" s="847"/>
      <c r="I5" s="20"/>
    </row>
    <row r="6" spans="1:9" x14ac:dyDescent="0.2">
      <c r="A6" s="20"/>
      <c r="B6" s="86" t="str">
        <f>CONCATENATE("for ",I1-1,"")</f>
        <v>for 2024</v>
      </c>
      <c r="C6" s="86" t="str">
        <f>CONCATENATE("Tax Year ",I1-2,"")</f>
        <v>Tax Year 2023</v>
      </c>
      <c r="D6" s="85" t="s">
        <v>129</v>
      </c>
      <c r="E6" s="85" t="s">
        <v>130</v>
      </c>
      <c r="F6" s="85" t="s">
        <v>128</v>
      </c>
      <c r="G6" s="662" t="s">
        <v>510</v>
      </c>
      <c r="H6" s="662" t="s">
        <v>511</v>
      </c>
      <c r="I6" s="103"/>
    </row>
    <row r="7" spans="1:9" x14ac:dyDescent="0.2">
      <c r="A7" s="20"/>
      <c r="B7" s="44" t="str">
        <f>(inputPrYr!B18)</f>
        <v>General</v>
      </c>
      <c r="C7" s="88">
        <f>(inputPrYr!E18)</f>
        <v>0</v>
      </c>
      <c r="D7" s="88">
        <f>IF(inputPrYr!E18=0,0,D23-SUM(D8:D19))</f>
        <v>0</v>
      </c>
      <c r="E7" s="88">
        <f>IF(inputPrYr!E18=0,0,E24-SUM(E8:E19))</f>
        <v>0</v>
      </c>
      <c r="F7" s="88">
        <f>IF(inputPrYr!E18=0,0,F25-SUM(F8:F19))</f>
        <v>0</v>
      </c>
      <c r="G7" s="88">
        <f>IF(inputPrYr!E18=0,0,G26-SUM(G8:G19))</f>
        <v>0</v>
      </c>
      <c r="H7" s="88">
        <f>IF(inputPrYr!E18=0,0,H27-SUM(H8:H19))</f>
        <v>0</v>
      </c>
      <c r="I7" s="74"/>
    </row>
    <row r="8" spans="1:9" x14ac:dyDescent="0.2">
      <c r="A8" s="20"/>
      <c r="B8" s="44" t="str">
        <f>IF(inputPrYr!$B19&gt;"  ",(inputPrYr!$B19),"  ")</f>
        <v>Debt Service</v>
      </c>
      <c r="C8" s="88" t="str">
        <f>IF(inputPrYr!$E19&gt;0,(inputPrYr!$E19),"  ")</f>
        <v xml:space="preserve">  </v>
      </c>
      <c r="D8" s="88" t="str">
        <f>IF(inputPrYr!E19&gt;0,ROUND(C8*$D$30,0),"  ")</f>
        <v xml:space="preserve">  </v>
      </c>
      <c r="E8" s="88" t="str">
        <f>IF(inputPrYr!E19&gt;0,ROUND(+C8*E$31,0)," ")</f>
        <v xml:space="preserve"> </v>
      </c>
      <c r="F8" s="88" t="str">
        <f>IF(inputPrYr!E19&gt;0,ROUND(C8*F$32,0)," ")</f>
        <v xml:space="preserve"> </v>
      </c>
      <c r="G8" s="88" t="str">
        <f>IF(inputPrYr!E19&gt;0,ROUND(C8*G$33,0)," ")</f>
        <v xml:space="preserve"> </v>
      </c>
      <c r="H8" s="88" t="str">
        <f>IF(inputPrYr!E19&gt;0,ROUND(C8*H$34,0)," ")</f>
        <v xml:space="preserve"> </v>
      </c>
      <c r="I8" s="74"/>
    </row>
    <row r="9" spans="1:9" x14ac:dyDescent="0.2">
      <c r="A9" s="20"/>
      <c r="B9" s="44" t="str">
        <f>IF(inputPrYr!$B20&gt;"  ",(inputPrYr!$B20),"  ")</f>
        <v>Library</v>
      </c>
      <c r="C9" s="88" t="str">
        <f>IF(inputPrYr!$E20&gt;0,(inputPrYr!$E20),"  ")</f>
        <v xml:space="preserve">  </v>
      </c>
      <c r="D9" s="88" t="str">
        <f>IF(inputPrYr!E20&gt;0,ROUND(C9*$D$30,0),"  ")</f>
        <v xml:space="preserve">  </v>
      </c>
      <c r="E9" s="88" t="str">
        <f>IF(inputPrYr!E20&gt;0,ROUND(+C9*E$31,0)," ")</f>
        <v xml:space="preserve"> </v>
      </c>
      <c r="F9" s="88" t="str">
        <f>IF(inputPrYr!E20&gt;0,ROUND(C9*F$32,0)," ")</f>
        <v xml:space="preserve"> </v>
      </c>
      <c r="G9" s="88" t="str">
        <f>IF(inputPrYr!E20&gt;0,ROUND(C9*G$33,0)," ")</f>
        <v xml:space="preserve"> </v>
      </c>
      <c r="H9" s="88" t="str">
        <f>IF(inputPrYr!E20&gt;0,ROUND(C9*H$34,0)," ")</f>
        <v xml:space="preserve"> </v>
      </c>
      <c r="I9" s="74"/>
    </row>
    <row r="10" spans="1:9" x14ac:dyDescent="0.2">
      <c r="A10" s="20"/>
      <c r="B10" s="44" t="str">
        <f>IF(inputPrYr!$B22&gt;"  ",(inputPrYr!$B22),"  ")</f>
        <v xml:space="preserve">  </v>
      </c>
      <c r="C10" s="88" t="str">
        <f>IF(inputPrYr!$E22&gt;0,(inputPrYr!$E22),"  ")</f>
        <v xml:space="preserve">  </v>
      </c>
      <c r="D10" s="88" t="str">
        <f>IF(inputPrYr!E22&gt;0,ROUND(C10*$D$30,0),"  ")</f>
        <v xml:space="preserve">  </v>
      </c>
      <c r="E10" s="88" t="str">
        <f>IF(inputPrYr!E22&gt;0,ROUND(+C10*E$31,0)," ")</f>
        <v xml:space="preserve"> </v>
      </c>
      <c r="F10" s="88" t="str">
        <f>IF(inputPrYr!E22&gt;0,ROUND(+C10*F$32,0)," ")</f>
        <v xml:space="preserve"> </v>
      </c>
      <c r="G10" s="88" t="str">
        <f>IF(inputPrYr!E22&gt;0,ROUND(C10*G$33,0)," ")</f>
        <v xml:space="preserve"> </v>
      </c>
      <c r="H10" s="88" t="str">
        <f>IF(inputPrYr!E22&gt;0,ROUND(C10*H$34,0)," ")</f>
        <v xml:space="preserve"> </v>
      </c>
      <c r="I10" s="74"/>
    </row>
    <row r="11" spans="1:9" x14ac:dyDescent="0.2">
      <c r="A11" s="20"/>
      <c r="B11" s="44" t="str">
        <f>IF(inputPrYr!$B23&gt;"  ",(inputPrYr!$B23),"  ")</f>
        <v xml:space="preserve">  </v>
      </c>
      <c r="C11" s="88" t="str">
        <f>IF(inputPrYr!$E23&gt;0,(inputPrYr!$E23),"  ")</f>
        <v xml:space="preserve">  </v>
      </c>
      <c r="D11" s="88" t="str">
        <f>IF(inputPrYr!E23&gt;0,ROUND(C11*$D$30,0),"  ")</f>
        <v xml:space="preserve">  </v>
      </c>
      <c r="E11" s="88" t="str">
        <f>IF(inputPrYr!E23&gt;0,ROUND(+C11*E$31,0)," ")</f>
        <v xml:space="preserve"> </v>
      </c>
      <c r="F11" s="88" t="str">
        <f>IF(inputPrYr!E23&gt;0,ROUND(+C11*F$32,0)," ")</f>
        <v xml:space="preserve"> </v>
      </c>
      <c r="G11" s="88" t="str">
        <f>IF(inputPrYr!E23&gt;0,ROUND(C11*G$33,0)," ")</f>
        <v xml:space="preserve"> </v>
      </c>
      <c r="H11" s="88" t="str">
        <f>IF(inputPrYr!E23&gt;0,ROUND(C11*H$34,0)," ")</f>
        <v xml:space="preserve"> </v>
      </c>
      <c r="I11" s="74"/>
    </row>
    <row r="12" spans="1:9" x14ac:dyDescent="0.2">
      <c r="A12" s="20"/>
      <c r="B12" s="44" t="str">
        <f>IF(inputPrYr!$B24&gt;"  ",(inputPrYr!$B24),"  ")</f>
        <v xml:space="preserve">  </v>
      </c>
      <c r="C12" s="88" t="str">
        <f>IF(inputPrYr!$E24&gt;0,(inputPrYr!$E24),"  ")</f>
        <v xml:space="preserve">  </v>
      </c>
      <c r="D12" s="88" t="str">
        <f>IF(inputPrYr!E24&gt;0,ROUND(C12*$D$30,0),"  ")</f>
        <v xml:space="preserve">  </v>
      </c>
      <c r="E12" s="88" t="str">
        <f>IF(inputPrYr!E24&gt;0,ROUND(+C12*E$31,0)," ")</f>
        <v xml:space="preserve"> </v>
      </c>
      <c r="F12" s="88" t="str">
        <f>IF(inputPrYr!E24&gt;0,ROUND(+C12*F$32,0)," ")</f>
        <v xml:space="preserve"> </v>
      </c>
      <c r="G12" s="88" t="str">
        <f>IF(inputPrYr!E24&gt;0,ROUND(C12*G$33,0)," ")</f>
        <v xml:space="preserve"> </v>
      </c>
      <c r="H12" s="88" t="str">
        <f>IF(inputPrYr!E24&gt;0,ROUND(C12*H$34,0)," ")</f>
        <v xml:space="preserve"> </v>
      </c>
      <c r="I12" s="74"/>
    </row>
    <row r="13" spans="1:9" x14ac:dyDescent="0.2">
      <c r="A13" s="20"/>
      <c r="B13" s="44" t="str">
        <f>IF(inputPrYr!$B25&gt;"  ",(inputPrYr!$B25),"  ")</f>
        <v xml:space="preserve">  </v>
      </c>
      <c r="C13" s="88" t="str">
        <f>IF(inputPrYr!$E25&gt;0,(inputPrYr!$E25),"  ")</f>
        <v xml:space="preserve">  </v>
      </c>
      <c r="D13" s="88" t="str">
        <f>IF(inputPrYr!E25&gt;0,ROUND(C13*$D$30,0),"  ")</f>
        <v xml:space="preserve">  </v>
      </c>
      <c r="E13" s="88" t="str">
        <f>IF(inputPrYr!E25&gt;0,ROUND(+C13*E$31,0)," ")</f>
        <v xml:space="preserve"> </v>
      </c>
      <c r="F13" s="88" t="str">
        <f>IF(inputPrYr!E25&gt;0,ROUND(+C13*F$32,0)," ")</f>
        <v xml:space="preserve"> </v>
      </c>
      <c r="G13" s="88" t="str">
        <f>IF(inputPrYr!E25&gt;0,ROUND(C13*G$33,0)," ")</f>
        <v xml:space="preserve"> </v>
      </c>
      <c r="H13" s="88" t="str">
        <f>IF(inputPrYr!E25&gt;0,ROUND(C13*H$34,0)," ")</f>
        <v xml:space="preserve"> </v>
      </c>
      <c r="I13" s="74"/>
    </row>
    <row r="14" spans="1:9" x14ac:dyDescent="0.2">
      <c r="A14" s="20"/>
      <c r="B14" s="44" t="str">
        <f>IF(inputPrYr!$B26&gt;"  ",(inputPrYr!$B26),"  ")</f>
        <v xml:space="preserve">  </v>
      </c>
      <c r="C14" s="88" t="str">
        <f>IF(inputPrYr!$E26&gt;0,(inputPrYr!$E26),"  ")</f>
        <v xml:space="preserve">  </v>
      </c>
      <c r="D14" s="88" t="str">
        <f>IF(inputPrYr!E26&gt;0,ROUND(C14*$D$30,0),"  ")</f>
        <v xml:space="preserve">  </v>
      </c>
      <c r="E14" s="88" t="str">
        <f>IF(inputPrYr!E26&gt;0,ROUND(+C14*E$31,0)," ")</f>
        <v xml:space="preserve"> </v>
      </c>
      <c r="F14" s="88" t="str">
        <f>IF(inputPrYr!E26&gt;0,ROUND(+C14*F$32,0)," ")</f>
        <v xml:space="preserve"> </v>
      </c>
      <c r="G14" s="88" t="str">
        <f>IF(inputPrYr!E26&gt;0,ROUND(C14*G$33,0)," ")</f>
        <v xml:space="preserve"> </v>
      </c>
      <c r="H14" s="88" t="str">
        <f>IF(inputPrYr!E26&gt;0,ROUND(C14*H$34,0)," ")</f>
        <v xml:space="preserve"> </v>
      </c>
      <c r="I14" s="74"/>
    </row>
    <row r="15" spans="1:9" x14ac:dyDescent="0.2">
      <c r="A15" s="20"/>
      <c r="B15" s="44" t="str">
        <f>IF(inputPrYr!$B27&gt;"  ",(inputPrYr!$B27),"  ")</f>
        <v xml:space="preserve">  </v>
      </c>
      <c r="C15" s="88" t="str">
        <f>IF(inputPrYr!$E27&gt;0,(inputPrYr!$E27),"  ")</f>
        <v xml:space="preserve">  </v>
      </c>
      <c r="D15" s="88" t="str">
        <f>IF(inputPrYr!E27&gt;0,ROUND(C15*$D$30,0),"  ")</f>
        <v xml:space="preserve">  </v>
      </c>
      <c r="E15" s="88" t="str">
        <f>IF(inputPrYr!E27&gt;0,ROUND(+C15*E$31,0)," ")</f>
        <v xml:space="preserve"> </v>
      </c>
      <c r="F15" s="88" t="str">
        <f>IF(inputPrYr!E27&gt;0,ROUND(+C15*F$32,0)," ")</f>
        <v xml:space="preserve"> </v>
      </c>
      <c r="G15" s="88" t="str">
        <f>IF(inputPrYr!E27&gt;0,ROUND(C15*G$33,0)," ")</f>
        <v xml:space="preserve"> </v>
      </c>
      <c r="H15" s="88" t="str">
        <f>IF(inputPrYr!E27&gt;0,ROUND(C15*H$34,0)," ")</f>
        <v xml:space="preserve"> </v>
      </c>
      <c r="I15" s="74"/>
    </row>
    <row r="16" spans="1:9" x14ac:dyDescent="0.2">
      <c r="A16" s="20"/>
      <c r="B16" s="44" t="str">
        <f>IF(inputPrYr!$B28&gt;"  ",(inputPrYr!$B28),"  ")</f>
        <v xml:space="preserve">  </v>
      </c>
      <c r="C16" s="88" t="str">
        <f>IF(inputPrYr!$E28&gt;0,(inputPrYr!$E28),"  ")</f>
        <v xml:space="preserve">  </v>
      </c>
      <c r="D16" s="88" t="str">
        <f>IF(inputPrYr!E28&gt;0,ROUND(C16*$D$30,0),"  ")</f>
        <v xml:space="preserve">  </v>
      </c>
      <c r="E16" s="88" t="str">
        <f>IF(inputPrYr!E28&gt;0,ROUND(+C16*E$31,0)," ")</f>
        <v xml:space="preserve"> </v>
      </c>
      <c r="F16" s="88" t="str">
        <f>IF(inputPrYr!E28&gt;0,ROUND(+C16*F$32,0)," ")</f>
        <v xml:space="preserve"> </v>
      </c>
      <c r="G16" s="88" t="str">
        <f>IF(inputPrYr!E28&gt;0,ROUND(C16*G$33,0)," ")</f>
        <v xml:space="preserve"> </v>
      </c>
      <c r="H16" s="88" t="str">
        <f>IF(inputPrYr!E28&gt;0,ROUND(C16*H$34,0)," ")</f>
        <v xml:space="preserve"> </v>
      </c>
      <c r="I16" s="74"/>
    </row>
    <row r="17" spans="1:9" x14ac:dyDescent="0.2">
      <c r="A17" s="20"/>
      <c r="B17" s="44" t="str">
        <f>IF(inputPrYr!$B29&gt;"  ",(inputPrYr!$B29),"  ")</f>
        <v xml:space="preserve">  </v>
      </c>
      <c r="C17" s="88" t="str">
        <f>IF(inputPrYr!$E29&gt;0,(inputPrYr!$E29),"  ")</f>
        <v xml:space="preserve">  </v>
      </c>
      <c r="D17" s="88" t="str">
        <f>IF(inputPrYr!E29&gt;0,ROUND(C17*$D$30,0),"  ")</f>
        <v xml:space="preserve">  </v>
      </c>
      <c r="E17" s="88" t="str">
        <f>IF(inputPrYr!E29&gt;0,ROUND(+C17*E$31,0)," ")</f>
        <v xml:space="preserve"> </v>
      </c>
      <c r="F17" s="88" t="str">
        <f>IF(inputPrYr!E29&gt;0,ROUND(+C17*F$32,0)," ")</f>
        <v xml:space="preserve"> </v>
      </c>
      <c r="G17" s="88" t="str">
        <f>IF(inputPrYr!E29&gt;0,ROUND(C17*G$33,0)," ")</f>
        <v xml:space="preserve"> </v>
      </c>
      <c r="H17" s="88" t="str">
        <f>IF(inputPrYr!E29&gt;0,ROUND(C17*H$34,0)," ")</f>
        <v xml:space="preserve"> </v>
      </c>
      <c r="I17" s="74"/>
    </row>
    <row r="18" spans="1:9" x14ac:dyDescent="0.2">
      <c r="A18" s="20"/>
      <c r="B18" s="44" t="str">
        <f>IF(inputPrYr!$B30&gt;"  ",(inputPrYr!$B30),"  ")</f>
        <v xml:space="preserve">  </v>
      </c>
      <c r="C18" s="88" t="str">
        <f>IF(inputPrYr!$E30&gt;0,(inputPrYr!$E30),"  ")</f>
        <v xml:space="preserve">  </v>
      </c>
      <c r="D18" s="88" t="str">
        <f>IF(inputPrYr!E30&gt;0,ROUND(C18*$D$30,0),"  ")</f>
        <v xml:space="preserve">  </v>
      </c>
      <c r="E18" s="88" t="str">
        <f>IF(inputPrYr!E30&gt;0,ROUND(+C18*E$31,0)," ")</f>
        <v xml:space="preserve"> </v>
      </c>
      <c r="F18" s="88" t="str">
        <f>IF(inputPrYr!E30&gt;0,ROUND(+C18*F$32,0)," ")</f>
        <v xml:space="preserve"> </v>
      </c>
      <c r="G18" s="88" t="str">
        <f>IF(inputPrYr!E30&gt;0,ROUND(C18*G$33,0)," ")</f>
        <v xml:space="preserve"> </v>
      </c>
      <c r="H18" s="88" t="str">
        <f>IF(inputPrYr!E30&gt;0,ROUND(C18*H$34,0)," ")</f>
        <v xml:space="preserve"> </v>
      </c>
      <c r="I18" s="74"/>
    </row>
    <row r="19" spans="1:9" x14ac:dyDescent="0.2">
      <c r="A19" s="20"/>
      <c r="B19" s="44" t="str">
        <f>IF(inputPrYr!$B31&gt;"  ",(inputPrYr!$B31),"  ")</f>
        <v xml:space="preserve">  </v>
      </c>
      <c r="C19" s="88" t="str">
        <f>IF(inputPrYr!$E31&gt;0,(inputPrYr!$E31),"  ")</f>
        <v xml:space="preserve">  </v>
      </c>
      <c r="D19" s="88" t="str">
        <f>IF(inputPrYr!E31&gt;0,ROUND(C19*$D$30,0),"  ")</f>
        <v xml:space="preserve">  </v>
      </c>
      <c r="E19" s="88" t="str">
        <f>IF(inputPrYr!E31&gt;0,ROUND(+C19*E$31,0)," ")</f>
        <v xml:space="preserve"> </v>
      </c>
      <c r="F19" s="88" t="str">
        <f>IF(inputPrYr!E31&gt;0,ROUND(+C19*F$32,0)," ")</f>
        <v xml:space="preserve"> </v>
      </c>
      <c r="G19" s="88" t="str">
        <f>IF(inputPrYr!E31&gt;0,ROUND(C19*G$33,0)," ")</f>
        <v xml:space="preserve"> </v>
      </c>
      <c r="H19" s="88" t="str">
        <f>IF(inputPrYr!E31&gt;0,ROUND(C19*H$34,0)," ")</f>
        <v xml:space="preserve"> </v>
      </c>
      <c r="I19" s="74"/>
    </row>
    <row r="20" spans="1:9" x14ac:dyDescent="0.2">
      <c r="A20" s="20"/>
      <c r="B20" s="44" t="str">
        <f>inputPrYr!B34</f>
        <v>Recreation</v>
      </c>
      <c r="C20" s="81">
        <f>inputPrYr!E34</f>
        <v>0</v>
      </c>
      <c r="D20" s="88" t="str">
        <f>IF(inputPrYr!E34&gt;0,ROUND(C20*$D$30,0),"  ")</f>
        <v xml:space="preserve">  </v>
      </c>
      <c r="E20" s="88" t="str">
        <f>IF(inputPrYr!E34&gt;0,ROUND(+C20*E$31,0)," ")</f>
        <v xml:space="preserve"> </v>
      </c>
      <c r="F20" s="88" t="str">
        <f>IF(inputPrYr!E34&gt;0,ROUND(+C20*F$32,0)," ")</f>
        <v xml:space="preserve"> </v>
      </c>
      <c r="G20" s="88" t="str">
        <f>IF(inputPrYr!E34&gt;0,ROUND(C20*G$33,0)," ")</f>
        <v xml:space="preserve"> </v>
      </c>
      <c r="H20" s="88" t="str">
        <f>IF(inputPrYr!E34&gt;0,ROUND(C20*H$34,0)," ")</f>
        <v xml:space="preserve"> </v>
      </c>
      <c r="I20" s="74"/>
    </row>
    <row r="21" spans="1:9" ht="16.5" thickBot="1" x14ac:dyDescent="0.25">
      <c r="A21" s="20"/>
      <c r="B21" s="498" t="s">
        <v>55</v>
      </c>
      <c r="C21" s="95">
        <f t="shared" ref="C21:H21" si="0">SUM(C7:C19)</f>
        <v>0</v>
      </c>
      <c r="D21" s="109">
        <f t="shared" si="0"/>
        <v>0</v>
      </c>
      <c r="E21" s="109">
        <f t="shared" si="0"/>
        <v>0</v>
      </c>
      <c r="F21" s="109">
        <f t="shared" si="0"/>
        <v>0</v>
      </c>
      <c r="G21" s="109">
        <f t="shared" si="0"/>
        <v>0</v>
      </c>
      <c r="H21" s="109">
        <f t="shared" si="0"/>
        <v>0</v>
      </c>
      <c r="I21" s="20"/>
    </row>
    <row r="22" spans="1:9" ht="16.5" thickTop="1" x14ac:dyDescent="0.2">
      <c r="A22" s="20"/>
      <c r="B22" s="539"/>
      <c r="C22" s="660"/>
      <c r="D22" s="660"/>
      <c r="E22" s="660"/>
      <c r="F22" s="660"/>
      <c r="G22" s="660"/>
      <c r="H22" s="660"/>
      <c r="I22" s="539"/>
    </row>
    <row r="23" spans="1:9" x14ac:dyDescent="0.2">
      <c r="A23" s="20"/>
      <c r="B23" s="665" t="s">
        <v>56</v>
      </c>
      <c r="C23" s="659"/>
      <c r="D23" s="658">
        <f>(inputOth!E45)</f>
        <v>0</v>
      </c>
      <c r="E23" s="659"/>
      <c r="F23" s="539"/>
      <c r="G23" s="539"/>
      <c r="H23" s="539"/>
      <c r="I23" s="539"/>
    </row>
    <row r="24" spans="1:9" x14ac:dyDescent="0.2">
      <c r="A24" s="20"/>
      <c r="B24" s="665" t="s">
        <v>512</v>
      </c>
      <c r="C24" s="539"/>
      <c r="D24" s="539"/>
      <c r="E24" s="658">
        <f>(inputOth!E46)</f>
        <v>0</v>
      </c>
      <c r="F24" s="539"/>
      <c r="G24" s="539"/>
      <c r="H24" s="539"/>
      <c r="I24" s="539"/>
    </row>
    <row r="25" spans="1:9" x14ac:dyDescent="0.2">
      <c r="A25" s="20"/>
      <c r="B25" s="665" t="s">
        <v>513</v>
      </c>
      <c r="C25" s="539"/>
      <c r="D25" s="539"/>
      <c r="E25" s="539"/>
      <c r="F25" s="658">
        <f>inputOth!E47</f>
        <v>0</v>
      </c>
      <c r="G25" s="660"/>
      <c r="H25" s="660"/>
      <c r="I25" s="539"/>
    </row>
    <row r="26" spans="1:9" x14ac:dyDescent="0.2">
      <c r="A26" s="20"/>
      <c r="B26" s="648" t="s">
        <v>514</v>
      </c>
      <c r="C26" s="539"/>
      <c r="D26" s="539"/>
      <c r="E26" s="539"/>
      <c r="F26" s="660"/>
      <c r="G26" s="658">
        <f>inputOth!E48</f>
        <v>0</v>
      </c>
      <c r="H26" s="660"/>
      <c r="I26" s="539"/>
    </row>
    <row r="27" spans="1:9" x14ac:dyDescent="0.2">
      <c r="A27" s="20"/>
      <c r="B27" s="648" t="s">
        <v>515</v>
      </c>
      <c r="C27" s="539"/>
      <c r="D27" s="539"/>
      <c r="E27" s="539"/>
      <c r="F27" s="660"/>
      <c r="G27" s="660"/>
      <c r="H27" s="658">
        <f>inputOth!E49</f>
        <v>0</v>
      </c>
      <c r="I27" s="539"/>
    </row>
    <row r="28" spans="1:9" x14ac:dyDescent="0.2">
      <c r="A28" s="20"/>
      <c r="B28" s="657"/>
      <c r="C28" s="539"/>
      <c r="D28" s="539"/>
      <c r="E28" s="539"/>
      <c r="F28" s="660"/>
      <c r="G28" s="660"/>
      <c r="H28" s="660"/>
      <c r="I28" s="539"/>
    </row>
    <row r="29" spans="1:9" x14ac:dyDescent="0.2">
      <c r="A29" s="20"/>
      <c r="B29" s="657"/>
      <c r="C29" s="539"/>
      <c r="D29" s="539"/>
      <c r="E29" s="539"/>
      <c r="F29" s="660"/>
      <c r="G29" s="660"/>
      <c r="H29" s="660"/>
      <c r="I29" s="656"/>
    </row>
    <row r="30" spans="1:9" x14ac:dyDescent="0.2">
      <c r="A30" s="20"/>
      <c r="B30" s="657" t="s">
        <v>57</v>
      </c>
      <c r="C30" s="539"/>
      <c r="D30" s="655">
        <f>IF(C21=0,0,D23/C21)</f>
        <v>0</v>
      </c>
      <c r="E30" s="539"/>
      <c r="F30" s="539"/>
      <c r="G30" s="539"/>
      <c r="H30" s="539"/>
      <c r="I30" s="539"/>
    </row>
    <row r="31" spans="1:9" x14ac:dyDescent="0.2">
      <c r="A31" s="20"/>
      <c r="B31" s="539"/>
      <c r="C31" s="657" t="s">
        <v>58</v>
      </c>
      <c r="D31" s="539"/>
      <c r="E31" s="655">
        <f>IF(C21=0,0,E24/C21)</f>
        <v>0</v>
      </c>
      <c r="F31" s="539"/>
      <c r="G31" s="539"/>
      <c r="H31" s="539"/>
      <c r="I31" s="539"/>
    </row>
    <row r="32" spans="1:9" x14ac:dyDescent="0.2">
      <c r="A32" s="20"/>
      <c r="B32" s="539"/>
      <c r="C32" s="539"/>
      <c r="D32" s="657" t="s">
        <v>131</v>
      </c>
      <c r="E32" s="539"/>
      <c r="F32" s="655">
        <f>IF(C21=0,0,F25/C21)</f>
        <v>0</v>
      </c>
      <c r="G32" s="654"/>
      <c r="H32" s="654"/>
      <c r="I32" s="539"/>
    </row>
    <row r="33" spans="1:9" x14ac:dyDescent="0.2">
      <c r="A33" s="20"/>
      <c r="B33" s="539"/>
      <c r="C33" s="539"/>
      <c r="D33" s="657"/>
      <c r="E33" s="664" t="s">
        <v>516</v>
      </c>
      <c r="F33" s="663"/>
      <c r="G33" s="655">
        <f>IF(C21=0,0,G26/C21)</f>
        <v>0</v>
      </c>
      <c r="H33" s="654"/>
      <c r="I33" s="539"/>
    </row>
    <row r="34" spans="1:9" x14ac:dyDescent="0.2">
      <c r="A34" s="20"/>
      <c r="B34" s="539"/>
      <c r="C34" s="539"/>
      <c r="D34" s="657"/>
      <c r="E34" s="648"/>
      <c r="F34" s="664" t="s">
        <v>517</v>
      </c>
      <c r="G34" s="654"/>
      <c r="H34" s="655">
        <f>IF(C21=0,0,H27/C21)</f>
        <v>0</v>
      </c>
      <c r="I34" s="539"/>
    </row>
    <row r="35" spans="1:9" x14ac:dyDescent="0.2">
      <c r="A35" s="20"/>
      <c r="B35" s="539"/>
      <c r="C35" s="539"/>
      <c r="D35" s="539"/>
      <c r="E35" s="539"/>
      <c r="F35" s="539"/>
      <c r="G35" s="539"/>
      <c r="H35" s="539"/>
      <c r="I35" s="539"/>
    </row>
    <row r="36" spans="1:9" x14ac:dyDescent="0.2">
      <c r="A36" s="20"/>
      <c r="B36" s="32"/>
      <c r="C36" s="32"/>
      <c r="D36" s="32"/>
      <c r="E36" s="32"/>
      <c r="F36" s="32"/>
      <c r="G36" s="32"/>
      <c r="H36" s="32"/>
      <c r="I36" s="32"/>
    </row>
  </sheetData>
  <sheetProtection sheet="1"/>
  <mergeCells count="2">
    <mergeCell ref="D5:H5"/>
    <mergeCell ref="A3:I3"/>
  </mergeCells>
  <phoneticPr fontId="0" type="noConversion"/>
  <pageMargins left="0.83" right="0.5" top="1" bottom="0.5" header="0.5" footer="0.5"/>
  <pageSetup scale="65" orientation="portrait" blackAndWhite="1" horizontalDpi="120" verticalDpi="144" r:id="rId1"/>
  <headerFooter alignWithMargins="0">
    <oddHeader xml:space="preserve">&amp;RState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F0"/>
    <pageSetUpPr fitToPage="1"/>
  </sheetPr>
  <dimension ref="A1:F32"/>
  <sheetViews>
    <sheetView workbookViewId="0">
      <selection activeCell="L17" sqref="L17"/>
    </sheetView>
  </sheetViews>
  <sheetFormatPr defaultColWidth="8.88671875" defaultRowHeight="15.75" x14ac:dyDescent="0.2"/>
  <cols>
    <col min="1" max="2" width="17.77734375" style="16" customWidth="1"/>
    <col min="3" max="6" width="12.77734375" style="16" customWidth="1"/>
    <col min="7" max="16384" width="8.88671875" style="16"/>
  </cols>
  <sheetData>
    <row r="1" spans="1:6" x14ac:dyDescent="0.2">
      <c r="A1" s="39">
        <f>inputPrYr!D3</f>
        <v>0</v>
      </c>
      <c r="B1" s="39"/>
      <c r="C1" s="20"/>
      <c r="D1" s="20"/>
      <c r="E1" s="20"/>
      <c r="F1" s="20">
        <f>inputPrYr!$C$6</f>
        <v>2025</v>
      </c>
    </row>
    <row r="2" spans="1:6" x14ac:dyDescent="0.2">
      <c r="A2" s="20"/>
      <c r="B2" s="20"/>
      <c r="C2" s="20"/>
      <c r="D2" s="20"/>
      <c r="E2" s="20"/>
      <c r="F2" s="20"/>
    </row>
    <row r="3" spans="1:6" x14ac:dyDescent="0.2">
      <c r="A3" s="849" t="s">
        <v>144</v>
      </c>
      <c r="B3" s="849"/>
      <c r="C3" s="849"/>
      <c r="D3" s="849"/>
      <c r="E3" s="849"/>
      <c r="F3" s="849"/>
    </row>
    <row r="4" spans="1:6" x14ac:dyDescent="0.2">
      <c r="A4" s="111"/>
      <c r="B4" s="111"/>
      <c r="C4" s="111"/>
      <c r="D4" s="111"/>
      <c r="E4" s="111"/>
      <c r="F4" s="111"/>
    </row>
    <row r="5" spans="1:6" x14ac:dyDescent="0.2">
      <c r="A5" s="112" t="s">
        <v>319</v>
      </c>
      <c r="B5" s="112" t="s">
        <v>320</v>
      </c>
      <c r="C5" s="112" t="s">
        <v>82</v>
      </c>
      <c r="D5" s="112" t="s">
        <v>149</v>
      </c>
      <c r="E5" s="112" t="s">
        <v>150</v>
      </c>
      <c r="F5" s="112" t="s">
        <v>184</v>
      </c>
    </row>
    <row r="6" spans="1:6" x14ac:dyDescent="0.2">
      <c r="A6" s="113" t="s">
        <v>321</v>
      </c>
      <c r="B6" s="113" t="s">
        <v>322</v>
      </c>
      <c r="C6" s="113" t="s">
        <v>185</v>
      </c>
      <c r="D6" s="113" t="s">
        <v>185</v>
      </c>
      <c r="E6" s="113" t="s">
        <v>185</v>
      </c>
      <c r="F6" s="113" t="s">
        <v>186</v>
      </c>
    </row>
    <row r="7" spans="1:6" ht="15" customHeight="1" x14ac:dyDescent="0.2">
      <c r="A7" s="114" t="s">
        <v>187</v>
      </c>
      <c r="B7" s="114" t="s">
        <v>188</v>
      </c>
      <c r="C7" s="115">
        <f>F1-2</f>
        <v>2023</v>
      </c>
      <c r="D7" s="115">
        <f>F1-1</f>
        <v>2024</v>
      </c>
      <c r="E7" s="115">
        <f>F1</f>
        <v>2025</v>
      </c>
      <c r="F7" s="114" t="s">
        <v>189</v>
      </c>
    </row>
    <row r="8" spans="1:6" ht="14.25" customHeight="1" x14ac:dyDescent="0.2">
      <c r="A8" s="116"/>
      <c r="B8" s="116"/>
      <c r="C8" s="117"/>
      <c r="D8" s="117"/>
      <c r="E8" s="117"/>
      <c r="F8" s="118"/>
    </row>
    <row r="9" spans="1:6" ht="15" customHeight="1" x14ac:dyDescent="0.2">
      <c r="A9" s="119"/>
      <c r="B9" s="119"/>
      <c r="C9" s="120"/>
      <c r="D9" s="120"/>
      <c r="E9" s="120"/>
      <c r="F9" s="118"/>
    </row>
    <row r="10" spans="1:6" ht="15" customHeight="1" x14ac:dyDescent="0.2">
      <c r="A10" s="119"/>
      <c r="B10" s="119"/>
      <c r="C10" s="120"/>
      <c r="D10" s="120"/>
      <c r="E10" s="120"/>
      <c r="F10" s="118"/>
    </row>
    <row r="11" spans="1:6" ht="15" customHeight="1" x14ac:dyDescent="0.2">
      <c r="A11" s="119"/>
      <c r="B11" s="119"/>
      <c r="C11" s="120"/>
      <c r="D11" s="120"/>
      <c r="E11" s="120"/>
      <c r="F11" s="118"/>
    </row>
    <row r="12" spans="1:6" ht="15" customHeight="1" x14ac:dyDescent="0.2">
      <c r="A12" s="119"/>
      <c r="B12" s="119"/>
      <c r="C12" s="120"/>
      <c r="D12" s="120"/>
      <c r="E12" s="120"/>
      <c r="F12" s="118"/>
    </row>
    <row r="13" spans="1:6" ht="15" customHeight="1" x14ac:dyDescent="0.2">
      <c r="A13" s="119"/>
      <c r="B13" s="119"/>
      <c r="C13" s="120"/>
      <c r="D13" s="120"/>
      <c r="E13" s="120"/>
      <c r="F13" s="118"/>
    </row>
    <row r="14" spans="1:6" ht="15" customHeight="1" x14ac:dyDescent="0.2">
      <c r="A14" s="119"/>
      <c r="B14" s="119"/>
      <c r="C14" s="120"/>
      <c r="D14" s="120"/>
      <c r="E14" s="120"/>
      <c r="F14" s="118"/>
    </row>
    <row r="15" spans="1:6" ht="15" customHeight="1" x14ac:dyDescent="0.2">
      <c r="A15" s="119"/>
      <c r="B15" s="119"/>
      <c r="C15" s="120"/>
      <c r="D15" s="120"/>
      <c r="E15" s="120"/>
      <c r="F15" s="118"/>
    </row>
    <row r="16" spans="1:6" ht="15" customHeight="1" x14ac:dyDescent="0.2">
      <c r="A16" s="119"/>
      <c r="B16" s="119"/>
      <c r="C16" s="120"/>
      <c r="D16" s="120"/>
      <c r="E16" s="120"/>
      <c r="F16" s="118"/>
    </row>
    <row r="17" spans="1:6" ht="15" customHeight="1" x14ac:dyDescent="0.2">
      <c r="A17" s="119"/>
      <c r="B17" s="119"/>
      <c r="C17" s="120"/>
      <c r="D17" s="120"/>
      <c r="E17" s="120"/>
      <c r="F17" s="118"/>
    </row>
    <row r="18" spans="1:6" ht="15" customHeight="1" x14ac:dyDescent="0.2">
      <c r="A18" s="119"/>
      <c r="B18" s="119"/>
      <c r="C18" s="120"/>
      <c r="D18" s="120"/>
      <c r="E18" s="120"/>
      <c r="F18" s="118"/>
    </row>
    <row r="19" spans="1:6" ht="15" customHeight="1" x14ac:dyDescent="0.2">
      <c r="A19" s="119"/>
      <c r="B19" s="119"/>
      <c r="C19" s="120"/>
      <c r="D19" s="120"/>
      <c r="E19" s="120"/>
      <c r="F19" s="118"/>
    </row>
    <row r="20" spans="1:6" ht="15" customHeight="1" x14ac:dyDescent="0.2">
      <c r="A20" s="119"/>
      <c r="B20" s="119"/>
      <c r="C20" s="120"/>
      <c r="D20" s="120"/>
      <c r="E20" s="120"/>
      <c r="F20" s="118"/>
    </row>
    <row r="21" spans="1:6" ht="15" customHeight="1" x14ac:dyDescent="0.2">
      <c r="A21" s="119"/>
      <c r="B21" s="119"/>
      <c r="C21" s="120"/>
      <c r="D21" s="120"/>
      <c r="E21" s="120"/>
      <c r="F21" s="118"/>
    </row>
    <row r="22" spans="1:6" ht="15" customHeight="1" x14ac:dyDescent="0.2">
      <c r="A22" s="119"/>
      <c r="B22" s="119"/>
      <c r="C22" s="120"/>
      <c r="D22" s="120"/>
      <c r="E22" s="120"/>
      <c r="F22" s="118"/>
    </row>
    <row r="23" spans="1:6" ht="15" customHeight="1" x14ac:dyDescent="0.2">
      <c r="A23" s="119"/>
      <c r="B23" s="119"/>
      <c r="C23" s="120"/>
      <c r="D23" s="120"/>
      <c r="E23" s="120"/>
      <c r="F23" s="118"/>
    </row>
    <row r="24" spans="1:6" ht="15" customHeight="1" x14ac:dyDescent="0.2">
      <c r="A24" s="119"/>
      <c r="B24" s="119"/>
      <c r="C24" s="120"/>
      <c r="D24" s="120"/>
      <c r="E24" s="120"/>
      <c r="F24" s="118"/>
    </row>
    <row r="25" spans="1:6" ht="15" customHeight="1" x14ac:dyDescent="0.2">
      <c r="A25" s="119"/>
      <c r="B25" s="119"/>
      <c r="C25" s="120"/>
      <c r="D25" s="120"/>
      <c r="E25" s="120"/>
      <c r="F25" s="118"/>
    </row>
    <row r="26" spans="1:6" ht="15" customHeight="1" x14ac:dyDescent="0.2">
      <c r="A26" s="49"/>
      <c r="B26" s="121" t="s">
        <v>48</v>
      </c>
      <c r="C26" s="122">
        <f>SUM(C8:C25)</f>
        <v>0</v>
      </c>
      <c r="D26" s="122">
        <f>SUM(D8:D25)</f>
        <v>0</v>
      </c>
      <c r="E26" s="122">
        <f>SUM(E8:E25)</f>
        <v>0</v>
      </c>
      <c r="F26" s="123"/>
    </row>
    <row r="27" spans="1:6" ht="15" customHeight="1" x14ac:dyDescent="0.2">
      <c r="A27" s="49"/>
      <c r="B27" s="124" t="s">
        <v>190</v>
      </c>
      <c r="C27" s="93"/>
      <c r="D27" s="125"/>
      <c r="E27" s="125"/>
      <c r="F27" s="123"/>
    </row>
    <row r="28" spans="1:6" ht="15" customHeight="1" x14ac:dyDescent="0.2">
      <c r="A28" s="49"/>
      <c r="B28" s="121" t="s">
        <v>191</v>
      </c>
      <c r="C28" s="122">
        <f>C26</f>
        <v>0</v>
      </c>
      <c r="D28" s="122">
        <f>SUM(D26-D27)</f>
        <v>0</v>
      </c>
      <c r="E28" s="122">
        <f>SUM(E26-E27)</f>
        <v>0</v>
      </c>
      <c r="F28" s="123"/>
    </row>
    <row r="29" spans="1:6" ht="15" customHeight="1" x14ac:dyDescent="0.2">
      <c r="A29" s="49"/>
      <c r="B29" s="49"/>
      <c r="C29" s="49"/>
      <c r="D29" s="49"/>
      <c r="E29" s="49"/>
      <c r="F29" s="49"/>
    </row>
    <row r="30" spans="1:6" ht="15" customHeight="1" x14ac:dyDescent="0.2">
      <c r="A30" s="49"/>
      <c r="B30" s="49"/>
      <c r="C30" s="49"/>
      <c r="D30" s="49"/>
      <c r="E30" s="49"/>
      <c r="F30" s="49"/>
    </row>
    <row r="31" spans="1:6" ht="15" customHeight="1" x14ac:dyDescent="0.2">
      <c r="A31" s="248" t="s">
        <v>318</v>
      </c>
      <c r="B31" s="249" t="str">
        <f>CONCATENATE("Adjustments are required only if the transfer is being made in ",D7," and/or ",E7," from a non-budgeted fund.")</f>
        <v>Adjustments are required only if the transfer is being made in 2024 and/or 2025 from a non-budgeted fund.</v>
      </c>
      <c r="C31" s="49"/>
      <c r="D31" s="49"/>
      <c r="E31" s="49"/>
      <c r="F31" s="49"/>
    </row>
    <row r="32" spans="1:6" ht="15" customHeight="1" x14ac:dyDescent="0.2"/>
  </sheetData>
  <sheetProtection sheet="1"/>
  <mergeCells count="1">
    <mergeCell ref="A3:F3"/>
  </mergeCells>
  <phoneticPr fontId="8" type="noConversion"/>
  <pageMargins left="0.75" right="0.75" top="1" bottom="1" header="0.5" footer="0.5"/>
  <pageSetup orientation="landscape" blackAndWhite="1" r:id="rId1"/>
  <headerFooter alignWithMargins="0">
    <oddHeader>&amp;RState of Kansas
City</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68"/>
  <sheetViews>
    <sheetView workbookViewId="0">
      <selection activeCell="L17" sqref="L17"/>
    </sheetView>
  </sheetViews>
  <sheetFormatPr defaultColWidth="8.88671875" defaultRowHeight="15" x14ac:dyDescent="0.2"/>
  <cols>
    <col min="1" max="1" width="70.5546875" style="56" customWidth="1"/>
    <col min="2" max="16384" width="8.88671875" style="56"/>
  </cols>
  <sheetData>
    <row r="1" spans="1:1" ht="18.75" x14ac:dyDescent="0.2">
      <c r="A1" s="327" t="s">
        <v>253</v>
      </c>
    </row>
    <row r="2" spans="1:1" ht="18.75" x14ac:dyDescent="0.2">
      <c r="A2" s="327"/>
    </row>
    <row r="3" spans="1:1" ht="18.75" x14ac:dyDescent="0.2">
      <c r="A3" s="327"/>
    </row>
    <row r="4" spans="1:1" ht="51.75" customHeight="1" x14ac:dyDescent="0.25">
      <c r="A4" s="335" t="s">
        <v>353</v>
      </c>
    </row>
    <row r="5" spans="1:1" ht="18.75" x14ac:dyDescent="0.2">
      <c r="A5" s="327"/>
    </row>
    <row r="6" spans="1:1" ht="15.75" x14ac:dyDescent="0.2">
      <c r="A6" s="16"/>
    </row>
    <row r="7" spans="1:1" ht="47.25" x14ac:dyDescent="0.2">
      <c r="A7" s="328" t="s">
        <v>254</v>
      </c>
    </row>
    <row r="8" spans="1:1" ht="15.75" x14ac:dyDescent="0.2">
      <c r="A8" s="16"/>
    </row>
    <row r="9" spans="1:1" ht="15.75" x14ac:dyDescent="0.2">
      <c r="A9" s="16"/>
    </row>
    <row r="10" spans="1:1" ht="63" x14ac:dyDescent="0.2">
      <c r="A10" s="328" t="s">
        <v>255</v>
      </c>
    </row>
    <row r="11" spans="1:1" ht="15.75" x14ac:dyDescent="0.2">
      <c r="A11" s="329"/>
    </row>
    <row r="12" spans="1:1" ht="15.75" x14ac:dyDescent="0.2">
      <c r="A12" s="16"/>
    </row>
    <row r="13" spans="1:1" ht="47.25" x14ac:dyDescent="0.2">
      <c r="A13" s="328" t="s">
        <v>256</v>
      </c>
    </row>
    <row r="14" spans="1:1" ht="15.75" x14ac:dyDescent="0.2">
      <c r="A14" s="329"/>
    </row>
    <row r="15" spans="1:1" ht="15.75" x14ac:dyDescent="0.2">
      <c r="A15" s="16"/>
    </row>
    <row r="16" spans="1:1" ht="47.25" x14ac:dyDescent="0.2">
      <c r="A16" s="328" t="s">
        <v>257</v>
      </c>
    </row>
    <row r="17" spans="1:1" ht="15.75" x14ac:dyDescent="0.2">
      <c r="A17" s="329"/>
    </row>
    <row r="18" spans="1:1" ht="15.75" x14ac:dyDescent="0.2">
      <c r="A18" s="329"/>
    </row>
    <row r="19" spans="1:1" ht="47.25" x14ac:dyDescent="0.2">
      <c r="A19" s="328" t="s">
        <v>258</v>
      </c>
    </row>
    <row r="20" spans="1:1" ht="15.75" x14ac:dyDescent="0.2">
      <c r="A20" s="329"/>
    </row>
    <row r="21" spans="1:1" ht="15.75" x14ac:dyDescent="0.2">
      <c r="A21" s="329"/>
    </row>
    <row r="22" spans="1:1" ht="47.25" x14ac:dyDescent="0.2">
      <c r="A22" s="328" t="s">
        <v>259</v>
      </c>
    </row>
    <row r="23" spans="1:1" ht="15.75" x14ac:dyDescent="0.2">
      <c r="A23" s="329"/>
    </row>
    <row r="24" spans="1:1" ht="15.75" x14ac:dyDescent="0.2">
      <c r="A24" s="329"/>
    </row>
    <row r="25" spans="1:1" ht="31.5" x14ac:dyDescent="0.2">
      <c r="A25" s="328" t="s">
        <v>260</v>
      </c>
    </row>
    <row r="26" spans="1:1" ht="15.75" x14ac:dyDescent="0.2">
      <c r="A26" s="16"/>
    </row>
    <row r="27" spans="1:1" ht="15.75" x14ac:dyDescent="0.2">
      <c r="A27" s="16"/>
    </row>
    <row r="28" spans="1:1" ht="60" x14ac:dyDescent="0.2">
      <c r="A28" s="330" t="s">
        <v>261</v>
      </c>
    </row>
    <row r="29" spans="1:1" x14ac:dyDescent="0.2">
      <c r="A29" s="331"/>
    </row>
    <row r="30" spans="1:1" x14ac:dyDescent="0.2">
      <c r="A30" s="331"/>
    </row>
    <row r="31" spans="1:1" ht="47.25" x14ac:dyDescent="0.2">
      <c r="A31" s="328" t="s">
        <v>262</v>
      </c>
    </row>
    <row r="32" spans="1:1" ht="15.75" x14ac:dyDescent="0.2">
      <c r="A32" s="16"/>
    </row>
    <row r="33" spans="1:1" ht="15.75" x14ac:dyDescent="0.2">
      <c r="A33" s="16"/>
    </row>
    <row r="34" spans="1:1" ht="66.75" customHeight="1" x14ac:dyDescent="0.25">
      <c r="A34" s="334" t="s">
        <v>354</v>
      </c>
    </row>
    <row r="35" spans="1:1" ht="15.75" x14ac:dyDescent="0.2">
      <c r="A35" s="16"/>
    </row>
    <row r="36" spans="1:1" ht="15.75" x14ac:dyDescent="0.2">
      <c r="A36" s="16"/>
    </row>
    <row r="37" spans="1:1" ht="63" x14ac:dyDescent="0.2">
      <c r="A37" s="332" t="s">
        <v>263</v>
      </c>
    </row>
    <row r="38" spans="1:1" ht="15.75" x14ac:dyDescent="0.2">
      <c r="A38" s="329"/>
    </row>
    <row r="39" spans="1:1" ht="15.75" x14ac:dyDescent="0.2">
      <c r="A39" s="16"/>
    </row>
    <row r="40" spans="1:1" ht="63" x14ac:dyDescent="0.2">
      <c r="A40" s="328" t="s">
        <v>264</v>
      </c>
    </row>
    <row r="41" spans="1:1" ht="15.75" x14ac:dyDescent="0.2">
      <c r="A41" s="329"/>
    </row>
    <row r="42" spans="1:1" ht="15.75" x14ac:dyDescent="0.2">
      <c r="A42" s="329"/>
    </row>
    <row r="43" spans="1:1" ht="82.5" customHeight="1" x14ac:dyDescent="0.25">
      <c r="A43" s="326" t="s">
        <v>355</v>
      </c>
    </row>
    <row r="44" spans="1:1" ht="15.75" x14ac:dyDescent="0.2">
      <c r="A44" s="329"/>
    </row>
    <row r="45" spans="1:1" ht="15.75" x14ac:dyDescent="0.2">
      <c r="A45" s="329"/>
    </row>
    <row r="46" spans="1:1" ht="69" customHeight="1" x14ac:dyDescent="0.25">
      <c r="A46" s="326" t="s">
        <v>356</v>
      </c>
    </row>
    <row r="47" spans="1:1" ht="15.75" x14ac:dyDescent="0.2">
      <c r="A47" s="329"/>
    </row>
    <row r="48" spans="1:1" ht="15.75" x14ac:dyDescent="0.2">
      <c r="A48" s="329"/>
    </row>
    <row r="49" spans="1:1" ht="69" customHeight="1" x14ac:dyDescent="0.25">
      <c r="A49" s="326" t="s">
        <v>357</v>
      </c>
    </row>
    <row r="50" spans="1:1" ht="15.75" customHeight="1" x14ac:dyDescent="0.2">
      <c r="A50" s="329"/>
    </row>
    <row r="51" spans="1:1" ht="21.75" customHeight="1" x14ac:dyDescent="0.2">
      <c r="A51" s="329"/>
    </row>
    <row r="52" spans="1:1" ht="66" customHeight="1" x14ac:dyDescent="0.25">
      <c r="A52" s="326" t="s">
        <v>433</v>
      </c>
    </row>
    <row r="53" spans="1:1" ht="15.75" x14ac:dyDescent="0.2">
      <c r="A53" s="329"/>
    </row>
    <row r="54" spans="1:1" ht="15.75" x14ac:dyDescent="0.2">
      <c r="A54" s="329"/>
    </row>
    <row r="55" spans="1:1" ht="63" x14ac:dyDescent="0.2">
      <c r="A55" s="328" t="s">
        <v>265</v>
      </c>
    </row>
    <row r="56" spans="1:1" ht="15.75" x14ac:dyDescent="0.2">
      <c r="A56" s="329"/>
    </row>
    <row r="57" spans="1:1" ht="15.75" x14ac:dyDescent="0.2">
      <c r="A57" s="329"/>
    </row>
    <row r="58" spans="1:1" ht="63" x14ac:dyDescent="0.2">
      <c r="A58" s="328" t="s">
        <v>266</v>
      </c>
    </row>
    <row r="59" spans="1:1" ht="15.75" x14ac:dyDescent="0.2">
      <c r="A59" s="329"/>
    </row>
    <row r="60" spans="1:1" ht="15.75" x14ac:dyDescent="0.2">
      <c r="A60" s="329"/>
    </row>
    <row r="61" spans="1:1" ht="47.25" x14ac:dyDescent="0.2">
      <c r="A61" s="328" t="s">
        <v>267</v>
      </c>
    </row>
    <row r="62" spans="1:1" ht="15.75" x14ac:dyDescent="0.2">
      <c r="A62" s="329"/>
    </row>
    <row r="63" spans="1:1" ht="15.75" x14ac:dyDescent="0.2">
      <c r="A63" s="329"/>
    </row>
    <row r="64" spans="1:1" ht="47.25" x14ac:dyDescent="0.2">
      <c r="A64" s="328" t="s">
        <v>268</v>
      </c>
    </row>
    <row r="65" spans="1:1" ht="15.75" x14ac:dyDescent="0.2">
      <c r="A65" s="329"/>
    </row>
    <row r="66" spans="1:1" ht="15.75" x14ac:dyDescent="0.2">
      <c r="A66" s="329"/>
    </row>
    <row r="67" spans="1:1" ht="78.75" x14ac:dyDescent="0.2">
      <c r="A67" s="328" t="s">
        <v>269</v>
      </c>
    </row>
    <row r="68" spans="1:1" x14ac:dyDescent="0.2">
      <c r="A68" s="333"/>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9" ma:contentTypeDescription="Create a new document." ma:contentTypeScope="" ma:versionID="e7fe1cf8449dd3f7a19afea7d63c3dac">
  <xsd:schema xmlns:xsd="http://www.w3.org/2001/XMLSchema" xmlns:xs="http://www.w3.org/2001/XMLSchema" xmlns:p="http://schemas.microsoft.com/office/2006/metadata/properties" xmlns:ns2="1895758b-fcac-4748-aa0a-5720d2d7d486" xmlns:ns3="7e2d0d8f-ac74-4d4c-8884-aff3748a733a" xmlns:ns4="a9343af4-2466-41a9-9238-9dddcc3e6066" targetNamespace="http://schemas.microsoft.com/office/2006/metadata/properties" ma:root="true" ma:fieldsID="97bc813d7a6bf988cbea9a149a214d39" ns2:_="" ns3:_="" ns4:_="">
    <xsd:import namespace="1895758b-fcac-4748-aa0a-5720d2d7d486"/>
    <xsd:import namespace="7e2d0d8f-ac74-4d4c-8884-aff3748a733a"/>
    <xsd:import namespace="a9343af4-2466-41a9-9238-9dddcc3e60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342C00-2030-4AE3-872C-7522B124F48E}">
  <ds:schemaRefs>
    <ds:schemaRef ds:uri="a9343af4-2466-41a9-9238-9dddcc3e6066"/>
    <ds:schemaRef ds:uri="http://purl.org/dc/terms/"/>
    <ds:schemaRef ds:uri="7e2d0d8f-ac74-4d4c-8884-aff3748a733a"/>
    <ds:schemaRef ds:uri="http://purl.org/dc/elements/1.1/"/>
    <ds:schemaRef ds:uri="http://schemas.microsoft.com/office/2006/documentManagement/types"/>
    <ds:schemaRef ds:uri="http://schemas.microsoft.com/office/infopath/2007/PartnerControls"/>
    <ds:schemaRef ds:uri="http://purl.org/dc/dcmitype/"/>
    <ds:schemaRef ds:uri="1895758b-fcac-4748-aa0a-5720d2d7d486"/>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9264D19-F90A-44F1-8EDB-449694136983}">
  <ds:schemaRefs>
    <ds:schemaRef ds:uri="http://schemas.microsoft.com/sharepoint/v3/contenttype/forms"/>
  </ds:schemaRefs>
</ds:datastoreItem>
</file>

<file path=customXml/itemProps3.xml><?xml version="1.0" encoding="utf-8"?>
<ds:datastoreItem xmlns:ds="http://schemas.openxmlformats.org/officeDocument/2006/customXml" ds:itemID="{B7346612-7208-4DFD-917D-A0F410825A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14</vt:i4>
      </vt:variant>
    </vt:vector>
  </HeadingPairs>
  <TitlesOfParts>
    <vt:vector size="66" baseType="lpstr">
      <vt:lpstr>Instructions</vt:lpstr>
      <vt:lpstr>inputPrYr</vt:lpstr>
      <vt:lpstr>inputOth</vt:lpstr>
      <vt:lpstr>inputHearing</vt:lpstr>
      <vt:lpstr>CPA Summary</vt:lpstr>
      <vt:lpstr>Cert</vt:lpstr>
      <vt:lpstr>Mvalloc</vt:lpstr>
      <vt:lpstr>Transfers</vt:lpstr>
      <vt:lpstr>Transfer Statutes</vt:lpstr>
      <vt:lpstr>Debt</vt:lpstr>
      <vt:lpstr>LP Form</vt:lpstr>
      <vt:lpstr>Library Grant</vt:lpstr>
      <vt:lpstr>General</vt:lpstr>
      <vt:lpstr>General Detail</vt:lpstr>
      <vt:lpstr>Debt Service</vt:lpstr>
      <vt:lpstr>Library-Rec</vt:lpstr>
      <vt:lpstr>Levy Page 9</vt:lpstr>
      <vt:lpstr>Levy Page 10</vt:lpstr>
      <vt:lpstr>Levy Page 11</vt:lpstr>
      <vt:lpstr>Levy Page 12</vt:lpstr>
      <vt:lpstr>Levy Page 13</vt:lpstr>
      <vt:lpstr>Spec Hwy</vt:lpstr>
      <vt:lpstr>No Levy Page 15</vt:lpstr>
      <vt:lpstr>No Levy Page 16</vt:lpstr>
      <vt:lpstr>No Levy Page 17</vt:lpstr>
      <vt:lpstr>No Levy Page 18</vt:lpstr>
      <vt:lpstr>No Levy Page 19</vt:lpstr>
      <vt:lpstr>No Levy Page 20</vt:lpstr>
      <vt:lpstr>No Levy Page 21</vt:lpstr>
      <vt:lpstr>Single No Levy Page 22</vt:lpstr>
      <vt:lpstr>Single No Levy Page 23</vt:lpstr>
      <vt:lpstr>Single No Levy Page 24</vt:lpstr>
      <vt:lpstr>Single No Levy Page 25</vt:lpstr>
      <vt:lpstr>Non-Budgeted Funds A</vt:lpstr>
      <vt:lpstr>Non-Budgeted Funds B</vt:lpstr>
      <vt:lpstr>Non-Budgeted Funds C</vt:lpstr>
      <vt:lpstr>Non-Budgeted Funds D</vt:lpstr>
      <vt:lpstr>Non-Bud Fund Statutes</vt:lpstr>
      <vt:lpstr>Budget Hearing Notice</vt:lpstr>
      <vt:lpstr>Combined Rate-Bud Hearing Notic</vt:lpstr>
      <vt:lpstr>RNR Hearing Notice</vt:lpstr>
      <vt:lpstr>NR Rebate</vt:lpstr>
      <vt:lpstr>SAMPLE Notice to County Clerk</vt:lpstr>
      <vt:lpstr>SAMPLE Roll Call to Exceed RNR</vt:lpstr>
      <vt:lpstr>SAMPLE Resolution to Exceed RNR</vt:lpstr>
      <vt:lpstr>Tab A</vt:lpstr>
      <vt:lpstr>Tab B</vt:lpstr>
      <vt:lpstr>Tab C</vt:lpstr>
      <vt:lpstr>Tab D</vt:lpstr>
      <vt:lpstr>Tab E</vt:lpstr>
      <vt:lpstr>Budget Tools</vt:lpstr>
      <vt:lpstr>Legend</vt:lpstr>
      <vt:lpstr>'Budget Hearing Notice'!Print_Area</vt:lpstr>
      <vt:lpstr>Cert!Print_Area</vt:lpstr>
      <vt:lpstr>'Combined Rate-Bud Hearing Notic'!Print_Area</vt:lpstr>
      <vt:lpstr>'Debt Service'!Print_Area</vt:lpstr>
      <vt:lpstr>General!Print_Area</vt:lpstr>
      <vt:lpstr>inputPrYr!Print_Area</vt:lpstr>
      <vt:lpstr>'Levy Page 10'!Print_Area</vt:lpstr>
      <vt:lpstr>'Levy Page 11'!Print_Area</vt:lpstr>
      <vt:lpstr>'Levy Page 12'!Print_Area</vt:lpstr>
      <vt:lpstr>'Levy Page 13'!Print_Area</vt:lpstr>
      <vt:lpstr>'Levy Page 9'!Print_Area</vt:lpstr>
      <vt:lpstr>'Library Grant'!Print_Area</vt:lpstr>
      <vt:lpstr>'Library-Rec'!Print_Area</vt:lpstr>
      <vt:lpstr>'LP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Lindsay A. Olson [DAAR]</cp:lastModifiedBy>
  <cp:lastPrinted>2024-05-02T01:45:42Z</cp:lastPrinted>
  <dcterms:created xsi:type="dcterms:W3CDTF">1999-08-03T13:11:47Z</dcterms:created>
  <dcterms:modified xsi:type="dcterms:W3CDTF">2024-05-02T14:38:36Z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