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 sheetId="12" r:id="rId12"/>
    <sheet name="summ" sheetId="13" r:id="rId13"/>
    <sheet name="Pub Notice Option 1" sheetId="14" r:id="rId14"/>
    <sheet name="Pub Notice option 2" sheetId="15" r:id="rId15"/>
    <sheet name="nhood" sheetId="16" r:id="rId16"/>
    <sheet name="Resolution" sheetId="17" state="hidden" r:id="rId17"/>
    <sheet name="Tab A" sheetId="18" r:id="rId18"/>
    <sheet name="Tab B" sheetId="19" r:id="rId19"/>
    <sheet name="Tab C" sheetId="20" r:id="rId20"/>
    <sheet name="Tab D" sheetId="21" r:id="rId21"/>
    <sheet name="Tab E" sheetId="22" r:id="rId22"/>
    <sheet name="Mill Rate Computation" sheetId="23" r:id="rId23"/>
    <sheet name="TransferStatutes" sheetId="24" r:id="rId24"/>
    <sheet name="Library Grant" sheetId="25" r:id="rId25"/>
    <sheet name="SpecRoad&amp;Noxious" sheetId="26" r:id="rId26"/>
    <sheet name="DebtSvs-Library" sheetId="27" r:id="rId27"/>
    <sheet name="levypage11" sheetId="28" r:id="rId28"/>
    <sheet name="levypage12" sheetId="29" r:id="rId29"/>
    <sheet name="nolevypage13" sheetId="30" r:id="rId30"/>
    <sheet name="nolevypage14" sheetId="31" r:id="rId31"/>
    <sheet name="nonbud" sheetId="32" r:id="rId32"/>
    <sheet name="NonBudFunds" sheetId="33" r:id="rId33"/>
    <sheet name="Helpful Links" sheetId="34" r:id="rId34"/>
    <sheet name="legend" sheetId="35" r:id="rId35"/>
  </sheets>
  <externalReferences>
    <externalReference r:id="rId38"/>
  </externalReferences>
  <definedNames>
    <definedName name="_xlnm.Print_Area" localSheetId="26">'DebtSvs-Library'!$B$1:$E$83</definedName>
    <definedName name="_xlnm.Print_Area" localSheetId="11">'Fire'!$A$1:$E$79</definedName>
    <definedName name="_xlnm.Print_Area" localSheetId="9">'gen'!$B$1:$E$55</definedName>
    <definedName name="_xlnm.Print_Area" localSheetId="1">'inputPrYr'!$A$1:$E$93</definedName>
    <definedName name="_xlnm.Print_Area" localSheetId="27">'levypage11'!$A$1:$E$90</definedName>
    <definedName name="_xlnm.Print_Area" localSheetId="28">'levypage12'!$A$1:$E$90</definedName>
    <definedName name="_xlnm.Print_Area" localSheetId="24">'Library Grant'!$A$1:$J$40</definedName>
    <definedName name="_xlnm.Print_Area" localSheetId="10">'road'!$B$1:$E$67</definedName>
    <definedName name="_xlnm.Print_Area" localSheetId="25">'SpecRoad&amp;Noxious'!$A$1:$E$90</definedName>
    <definedName name="_xlnm.Print_Area" localSheetId="12">'summ'!$A$2:$H$38</definedName>
  </definedNames>
  <calcPr fullCalcOnLoad="1"/>
</workbook>
</file>

<file path=xl/sharedStrings.xml><?xml version="1.0" encoding="utf-8"?>
<sst xmlns="http://schemas.openxmlformats.org/spreadsheetml/2006/main" count="1726" uniqueCount="993">
  <si>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</si>
  <si>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</si>
  <si>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</si>
  <si>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</si>
  <si>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</si>
  <si>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</si>
  <si>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</si>
  <si>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</si>
  <si>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</si>
  <si>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</si>
  <si>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</si>
  <si>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</si>
  <si>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</si>
  <si>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</si>
  <si>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</si>
  <si>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</si>
  <si>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</si>
  <si>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</si>
  <si>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</si>
  <si>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</si>
  <si>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</si>
  <si>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</si>
  <si>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</si>
  <si>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</si>
  <si>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</si>
  <si>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</si>
  <si>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</si>
  <si>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</si>
  <si>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</si>
  <si>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</si>
  <si>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</si>
  <si>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</si>
  <si>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</si>
  <si>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</si>
  <si>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</si>
  <si>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</si>
  <si>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</si>
  <si>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</si>
  <si>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</si>
  <si>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</si>
  <si>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</si>
  <si>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</si>
  <si>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</si>
  <si>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</si>
  <si>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</si>
  <si>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</si>
  <si>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</si>
  <si>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</si>
  <si>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</si>
  <si>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</si>
  <si>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</si>
  <si>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</si>
  <si>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</si>
  <si>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</si>
  <si>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</si>
  <si>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</si>
  <si>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</si>
  <si>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</si>
  <si>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</si>
  <si>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</si>
  <si>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</si>
  <si>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</si>
  <si>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</si>
  <si>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</si>
  <si>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13.</t>
  </si>
  <si>
    <t>14.</t>
  </si>
  <si>
    <t>Maximum Tax Levy, excluding debt service,  without Resolution (3 plus 11)</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</si>
  <si>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</si>
  <si>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</si>
  <si>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</si>
  <si>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</si>
  <si>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</si>
  <si>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</si>
  <si>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</si>
  <si>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</si>
  <si>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</si>
  <si>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</si>
  <si>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</si>
  <si>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</si>
  <si>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</si>
  <si>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</si>
  <si>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</si>
  <si>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</si>
  <si>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</si>
  <si>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</si>
  <si>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</si>
  <si>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</si>
  <si>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</si>
  <si>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</si>
  <si>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</si>
  <si>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</si>
  <si>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</si>
  <si>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</si>
  <si>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</si>
  <si>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</si>
  <si>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</si>
  <si>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</si>
  <si>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</si>
  <si>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</si>
  <si>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</si>
  <si>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</si>
  <si>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</si>
  <si>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</si>
  <si>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</si>
  <si>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</si>
  <si>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</si>
  <si>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</si>
  <si>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</si>
  <si>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</si>
  <si>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</si>
  <si>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</si>
  <si>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</si>
  <si>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</si>
  <si>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</si>
  <si>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</si>
  <si>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</si>
  <si>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</si>
  <si>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</si>
  <si>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</si>
  <si>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</si>
  <si>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</si>
  <si>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</si>
  <si>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</si>
  <si>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</si>
  <si>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</si>
  <si>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</si>
  <si>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</si>
  <si>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</si>
  <si>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</si>
  <si>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</si>
  <si>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</si>
  <si>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</si>
  <si>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</si>
  <si>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</si>
  <si>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</si>
  <si>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</si>
  <si>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</si>
  <si>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</si>
  <si>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</si>
  <si>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</si>
  <si>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</si>
  <si>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</si>
  <si>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</si>
  <si>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</si>
  <si>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</si>
  <si>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</si>
  <si>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</si>
  <si>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</si>
  <si>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</si>
  <si>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</si>
  <si>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</si>
  <si>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</si>
  <si>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</si>
  <si>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</si>
  <si>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</si>
  <si>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</si>
  <si>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</si>
  <si>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</si>
  <si>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</si>
  <si>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</si>
  <si>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</si>
  <si>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</si>
  <si>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</si>
  <si>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</si>
  <si>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</si>
  <si>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</si>
  <si>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</si>
  <si>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</si>
  <si>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</si>
  <si>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</si>
  <si>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</si>
  <si>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</si>
  <si>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</si>
  <si>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</si>
  <si>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</si>
  <si>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</si>
  <si>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</si>
  <si>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</si>
  <si>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</si>
  <si>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</si>
  <si>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</si>
  <si>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</si>
  <si>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</si>
  <si>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</si>
  <si>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</si>
  <si>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</si>
  <si>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</si>
  <si>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</si>
  <si>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</si>
  <si>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</si>
  <si>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</si>
  <si>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</si>
  <si>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</si>
  <si>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</si>
  <si>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</si>
  <si>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</si>
  <si>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</si>
  <si>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</si>
  <si>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</si>
  <si>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</si>
  <si>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</si>
  <si>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</si>
  <si>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</si>
  <si>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</si>
  <si>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</si>
  <si>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</si>
  <si>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</si>
  <si>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</si>
  <si>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</si>
  <si>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</si>
  <si>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</si>
  <si>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</si>
  <si>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</si>
  <si>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</si>
  <si>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</si>
  <si>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</si>
  <si>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</si>
  <si>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</si>
  <si>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</si>
  <si>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</si>
  <si>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</si>
  <si>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</si>
  <si>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</si>
  <si>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</si>
  <si>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</si>
  <si>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</si>
  <si>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</si>
  <si>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</si>
  <si>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</si>
  <si>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</si>
  <si>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</si>
  <si>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</si>
  <si>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</si>
  <si>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</si>
  <si>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</si>
  <si>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</si>
  <si>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</si>
  <si>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</si>
  <si>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</si>
  <si>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</si>
  <si>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</si>
  <si>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</si>
  <si>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</si>
  <si>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</si>
  <si>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</si>
  <si>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</si>
  <si>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</si>
  <si>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</si>
  <si>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</si>
  <si>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</si>
  <si>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</si>
  <si>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</si>
  <si>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</si>
  <si>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</si>
  <si>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</si>
  <si>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</si>
  <si>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</si>
  <si>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</si>
  <si>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</si>
  <si>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</si>
  <si>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</si>
  <si>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</si>
  <si>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</si>
  <si>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</si>
  <si>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</si>
  <si>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</si>
  <si>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</si>
  <si>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</si>
  <si>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</si>
  <si>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</si>
  <si>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</si>
  <si>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</si>
  <si>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</si>
  <si>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</si>
  <si>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</si>
  <si>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</si>
  <si>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</si>
  <si>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</si>
  <si>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</si>
  <si>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</si>
  <si>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</si>
  <si>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</si>
  <si>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</si>
  <si>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</si>
  <si>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</si>
  <si>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</si>
  <si>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</si>
  <si>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</si>
  <si>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</si>
  <si>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</si>
  <si>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</si>
  <si>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</si>
  <si>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</si>
  <si>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</si>
  <si>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</si>
  <si>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</si>
  <si>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</si>
  <si>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</si>
  <si>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</si>
  <si>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</si>
  <si>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</si>
  <si>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</si>
  <si>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</si>
  <si>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</si>
  <si>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</si>
  <si>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</si>
  <si>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</si>
  <si>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</si>
  <si>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</si>
  <si>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</si>
  <si>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</si>
  <si>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</si>
  <si>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</si>
  <si>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</si>
  <si>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</si>
  <si>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</si>
  <si>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</si>
  <si>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</si>
  <si>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</si>
  <si>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</si>
  <si>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</si>
  <si>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</si>
  <si>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</si>
  <si>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</si>
  <si>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</si>
  <si>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</si>
  <si>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</si>
  <si>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</si>
  <si>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</si>
  <si>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</si>
  <si>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</si>
  <si>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</si>
  <si>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</si>
  <si>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</si>
  <si>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</si>
  <si>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</si>
  <si>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</si>
  <si>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</si>
  <si>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</si>
  <si>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</si>
  <si>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</si>
  <si>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</si>
  <si>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</si>
  <si>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</si>
  <si>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</si>
  <si>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</si>
  <si>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</si>
  <si>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</si>
  <si>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</si>
  <si>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</si>
  <si>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</si>
  <si>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</si>
  <si>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</si>
  <si>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</si>
  <si>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</si>
  <si>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</si>
  <si>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</si>
  <si>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</si>
  <si>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</si>
  <si>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</si>
  <si>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</si>
  <si>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</si>
  <si>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</si>
  <si>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</si>
  <si>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</si>
  <si>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</si>
  <si>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</si>
  <si>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</si>
  <si>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</si>
  <si>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</si>
  <si>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</si>
  <si>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</si>
  <si>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</si>
  <si>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</si>
  <si>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</si>
  <si>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</si>
  <si>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</si>
  <si>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</si>
  <si>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</si>
  <si>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</si>
  <si>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</si>
  <si>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</si>
  <si>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</si>
  <si>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</si>
  <si>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</si>
  <si>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</si>
  <si>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</si>
  <si>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</si>
  <si>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</si>
  <si>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</si>
  <si>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</si>
  <si>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</si>
  <si>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</si>
  <si>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</si>
  <si>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</si>
  <si>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</si>
  <si>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</si>
  <si>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</si>
  <si>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</si>
  <si>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</si>
  <si>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</si>
  <si>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</si>
  <si>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</si>
  <si>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</si>
  <si>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</si>
  <si>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</si>
  <si>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</si>
  <si>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</si>
  <si>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</si>
  <si>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</si>
  <si>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</si>
  <si>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</si>
  <si>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</si>
  <si>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</si>
  <si>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</si>
  <si>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</si>
  <si>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</si>
  <si>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</si>
  <si>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</si>
  <si>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</si>
  <si>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</si>
  <si>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</si>
  <si>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</si>
  <si>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</si>
  <si>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</si>
  <si>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</si>
  <si>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</si>
  <si>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</si>
  <si>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</si>
  <si>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</si>
  <si>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</si>
  <si>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</si>
  <si>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</si>
  <si>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</si>
  <si>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</si>
  <si>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</si>
  <si>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</si>
  <si>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</si>
  <si>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</si>
  <si>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</si>
  <si>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</si>
  <si>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</si>
  <si>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</si>
  <si>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</si>
  <si>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</si>
  <si>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</si>
  <si>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</si>
  <si>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</si>
  <si>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</si>
  <si>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</si>
  <si>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</si>
  <si>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</si>
  <si>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</si>
  <si>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</si>
  <si>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</si>
  <si>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</si>
  <si>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</si>
  <si>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</si>
  <si>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</si>
  <si>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</si>
  <si>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</si>
  <si>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</si>
  <si>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</si>
  <si>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</si>
  <si>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</si>
  <si>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</si>
  <si>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</si>
  <si>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</si>
  <si>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</si>
  <si>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</si>
  <si>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</si>
  <si>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</si>
  <si>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</si>
  <si>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</si>
  <si>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</si>
  <si>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</si>
  <si>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</si>
  <si>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</si>
  <si>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</si>
  <si>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</si>
  <si>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</si>
  <si>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</si>
  <si>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</si>
  <si>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</si>
  <si>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</si>
  <si>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</si>
  <si>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</si>
  <si>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</si>
  <si>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</si>
  <si>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</si>
  <si>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</si>
  <si>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</si>
  <si>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</si>
  <si>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</si>
  <si>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</si>
  <si>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</si>
  <si>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</si>
  <si>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</si>
  <si>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</si>
  <si>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</si>
  <si>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</si>
  <si>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</si>
  <si>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</si>
  <si>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</si>
  <si>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</si>
  <si>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</si>
  <si>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</si>
  <si>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</si>
  <si>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</si>
  <si>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</si>
  <si>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</si>
  <si>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</si>
  <si>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</si>
  <si>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</si>
  <si>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</si>
  <si>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</si>
  <si>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</si>
  <si>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</si>
  <si>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</si>
  <si>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</si>
  <si>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</si>
  <si>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</si>
  <si>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</si>
  <si>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</si>
  <si>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</si>
  <si>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</si>
  <si>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</si>
  <si>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</si>
  <si>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</si>
  <si>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</si>
  <si>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</si>
  <si>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</si>
  <si>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</si>
  <si>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</si>
  <si>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</si>
  <si>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</si>
  <si>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</si>
  <si>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</si>
  <si>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</si>
  <si>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</si>
  <si>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</si>
  <si>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</si>
  <si>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</si>
  <si>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</si>
  <si>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</si>
  <si>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</si>
  <si>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</si>
  <si>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</si>
  <si>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</si>
  <si>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</si>
  <si>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</si>
  <si>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</si>
  <si>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</si>
  <si>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</si>
  <si>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</si>
  <si>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</si>
  <si>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</si>
  <si>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</si>
  <si>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</si>
  <si>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</si>
  <si>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</si>
  <si>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</si>
  <si>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</si>
  <si>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</si>
  <si>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</si>
  <si>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</si>
  <si>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</si>
  <si>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</si>
  <si>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</si>
  <si>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</si>
  <si>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</si>
  <si>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</si>
  <si>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</si>
  <si>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</si>
  <si>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</si>
  <si>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</si>
  <si>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</si>
  <si>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</si>
  <si>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</si>
  <si>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</si>
  <si>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</si>
  <si>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</si>
  <si>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</si>
  <si>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</si>
  <si>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</si>
  <si>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</si>
  <si>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</si>
  <si>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</si>
  <si>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</si>
  <si>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</si>
  <si>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</si>
  <si>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</si>
  <si>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</si>
  <si>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</si>
  <si>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</si>
  <si>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</si>
  <si>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</si>
  <si>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</si>
  <si>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</si>
  <si>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</si>
  <si>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</si>
  <si>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</si>
  <si>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</si>
  <si>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</si>
  <si>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</si>
  <si>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</si>
  <si>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</si>
  <si>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</si>
  <si>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</si>
  <si>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</si>
  <si>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</si>
  <si>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</si>
  <si>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</si>
  <si>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</si>
  <si>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</si>
  <si>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</si>
  <si>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</si>
  <si>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</si>
  <si>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</si>
  <si>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</si>
  <si>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</si>
  <si>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</si>
  <si>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</si>
  <si>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</si>
  <si>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</si>
  <si>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</si>
  <si>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</si>
  <si>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</si>
  <si>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</si>
  <si>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</si>
  <si>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</si>
  <si>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</si>
  <si>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</si>
  <si>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</si>
  <si>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</si>
  <si>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</si>
  <si>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</si>
  <si>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</si>
  <si>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</si>
  <si>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</si>
  <si>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</si>
  <si>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</si>
  <si>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</si>
  <si>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</si>
  <si>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</si>
  <si>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</si>
  <si>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</si>
  <si>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</si>
  <si>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</si>
  <si>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</si>
  <si>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</si>
  <si>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</si>
  <si>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</si>
  <si>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</si>
  <si>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</si>
  <si>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</si>
  <si>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</si>
  <si>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</si>
  <si>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</si>
  <si>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</si>
  <si>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</si>
  <si>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</si>
  <si>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</si>
  <si>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</si>
  <si>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</si>
  <si>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</si>
  <si>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</si>
  <si>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</si>
  <si>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</si>
  <si>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</si>
  <si>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</si>
  <si>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</si>
  <si>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</si>
  <si>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</si>
  <si>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</si>
  <si>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</si>
  <si>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</si>
  <si>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</si>
  <si>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</si>
  <si>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</si>
  <si>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</si>
  <si>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</si>
  <si>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</si>
  <si>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</si>
  <si>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</si>
  <si>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</si>
  <si>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</si>
  <si>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</si>
  <si>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</si>
  <si>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</si>
  <si>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</si>
  <si>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</si>
  <si>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</si>
  <si>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</si>
  <si>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</si>
  <si>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</si>
  <si>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</si>
  <si>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</si>
  <si>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</si>
  <si>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</si>
  <si>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</si>
  <si>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</si>
  <si>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</si>
  <si>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</si>
  <si>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</si>
  <si>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</si>
  <si>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</si>
  <si>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</si>
  <si>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</si>
  <si>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</si>
  <si>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</si>
  <si>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</si>
  <si>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</si>
  <si>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</si>
  <si>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</si>
  <si>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</si>
  <si>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</si>
  <si>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</si>
  <si>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</si>
  <si>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</si>
  <si>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</si>
  <si>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</si>
  <si>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</si>
  <si>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</si>
  <si>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</si>
  <si>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</si>
  <si>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</si>
  <si>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</si>
  <si>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</si>
  <si>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</si>
  <si>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</si>
  <si>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</si>
  <si>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</si>
  <si>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</si>
  <si>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</si>
  <si>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</si>
  <si>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</si>
  <si>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</si>
  <si>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</si>
  <si>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</si>
  <si>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</si>
  <si>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</si>
  <si>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</si>
  <si>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</si>
  <si>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</si>
  <si>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</si>
  <si>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</si>
  <si>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</si>
  <si>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</si>
  <si>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</si>
  <si>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</si>
  <si>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</si>
  <si>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</si>
  <si>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</si>
  <si>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</si>
  <si>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</si>
  <si>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</si>
  <si>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</si>
  <si>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</si>
  <si>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</si>
  <si>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</si>
  <si>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</si>
  <si>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</si>
  <si>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</si>
  <si>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</si>
  <si>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</si>
  <si>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</si>
  <si>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</si>
  <si>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</si>
  <si>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</si>
  <si>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</si>
  <si>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</si>
  <si>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</si>
  <si>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</si>
  <si>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</si>
  <si>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</si>
  <si>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</si>
  <si>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</si>
  <si>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</si>
  <si>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</si>
  <si>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</si>
  <si>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</si>
  <si>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</si>
  <si>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</si>
  <si>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</si>
  <si>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</si>
  <si>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</si>
  <si>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</si>
  <si>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</si>
  <si>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</si>
  <si>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</si>
  <si>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</si>
  <si>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</si>
  <si>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</si>
  <si>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</si>
  <si>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</si>
  <si>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</si>
  <si>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</si>
  <si>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</si>
  <si>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</si>
  <si>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</si>
  <si>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</si>
  <si>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</si>
  <si>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</si>
  <si>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</si>
  <si>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</si>
  <si>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</si>
  <si>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</si>
  <si>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</si>
  <si>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</si>
  <si>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</si>
  <si>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</si>
  <si>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</si>
  <si>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</si>
  <si>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</si>
  <si>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</si>
  <si>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</si>
  <si>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</si>
  <si>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</si>
  <si>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</si>
  <si>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</si>
  <si>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</si>
  <si>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</si>
  <si>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</si>
  <si>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</si>
  <si>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</si>
  <si>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</si>
  <si>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</si>
  <si>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</si>
  <si>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</si>
  <si>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</si>
  <si>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</si>
  <si>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</si>
  <si>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</si>
  <si>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</si>
  <si>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</si>
  <si>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</si>
  <si>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</si>
  <si>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</si>
  <si>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</si>
  <si>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</si>
  <si>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</si>
  <si>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</si>
  <si>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</si>
  <si>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</si>
  <si>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</si>
  <si>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</si>
  <si>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</si>
  <si>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</si>
  <si>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</si>
  <si>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</si>
  <si>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</si>
  <si>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</si>
  <si>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</si>
  <si>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</si>
  <si>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</si>
  <si>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</si>
  <si>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</si>
  <si>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</si>
  <si>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</si>
  <si>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</si>
  <si>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</si>
  <si>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</si>
  <si>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</si>
  <si>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</si>
  <si>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</si>
  <si>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</si>
  <si>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</si>
  <si>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</si>
  <si>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</si>
  <si>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</si>
  <si>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</si>
  <si>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</si>
  <si>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</si>
  <si>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</si>
  <si>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</si>
  <si>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</si>
  <si>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</si>
  <si>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</si>
  <si>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</si>
  <si>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</si>
  <si>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</si>
  <si>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</si>
  <si>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</si>
  <si>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</si>
  <si>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</si>
  <si>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</si>
  <si>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</si>
  <si>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</si>
  <si>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</si>
  <si>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</si>
  <si>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</si>
  <si>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</si>
  <si>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</si>
  <si>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</si>
  <si>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</si>
  <si>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</si>
  <si>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</si>
  <si>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</si>
  <si>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</si>
  <si>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</si>
  <si>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</si>
  <si>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</si>
  <si>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</si>
  <si>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</si>
  <si>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</si>
  <si>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</si>
  <si>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</si>
  <si>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</si>
  <si>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</si>
  <si>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</si>
  <si>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</si>
  <si>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</si>
  <si>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</si>
  <si>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</si>
  <si>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</si>
  <si>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</si>
  <si>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</si>
  <si>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</si>
  <si>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</si>
  <si>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</si>
  <si>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</si>
  <si>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</si>
  <si>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</si>
  <si>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</si>
  <si>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</si>
  <si>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</si>
  <si>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</si>
  <si>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</si>
  <si>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</si>
  <si>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</si>
  <si>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</si>
  <si>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</si>
  <si>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</si>
  <si>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</si>
  <si>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</si>
  <si>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</si>
  <si>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</si>
  <si>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</si>
  <si>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</si>
  <si>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</si>
  <si>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</si>
  <si>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</si>
  <si>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</si>
  <si>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</si>
  <si>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</si>
  <si>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Is a Notice of Vote required?</t>
  </si>
  <si>
    <t>Maximum levy, including debt service, without a Notice of Vote (12 plus 13 plus 14)</t>
  </si>
  <si>
    <t>15.</t>
  </si>
  <si>
    <t>Consumer Price Index Adjustment per HB 2047</t>
  </si>
  <si>
    <t>adopt a Notice of Vote to exceed this limit, publish the Notice of Vote, and</t>
  </si>
  <si>
    <t>provide the County Clerk with a copy of the published Notice of Vote.</t>
  </si>
  <si>
    <t>Carolyn Brock</t>
  </si>
  <si>
    <t>612 SW Terrace Ave</t>
  </si>
  <si>
    <t>Topeka, KS  66611-1216</t>
  </si>
  <si>
    <t>brockck@sbcglobal.net</t>
  </si>
  <si>
    <t>Notice of Vote</t>
  </si>
  <si>
    <t>Brown County</t>
  </si>
  <si>
    <t>Brown County Clerk's office</t>
  </si>
  <si>
    <t>Walnut Township</t>
  </si>
  <si>
    <t>City of Fairview</t>
  </si>
  <si>
    <t>Township Shed</t>
  </si>
  <si>
    <t>Motor Grader</t>
  </si>
  <si>
    <t>Loader</t>
  </si>
  <si>
    <t>Equipment &amp; Repairs</t>
  </si>
  <si>
    <t>Budget &amp; Publications</t>
  </si>
  <si>
    <t>Rent</t>
  </si>
  <si>
    <t>Patronage</t>
  </si>
  <si>
    <t>Sale of Materials</t>
  </si>
  <si>
    <t>Insurance Refund</t>
  </si>
  <si>
    <t>Transfer from General</t>
  </si>
  <si>
    <t>Fairview Fire Board</t>
  </si>
  <si>
    <t>Transfer to Fire</t>
  </si>
  <si>
    <t>Fire</t>
  </si>
  <si>
    <t>80-1558</t>
  </si>
  <si>
    <t>Road Maintenance-Machine Hire</t>
  </si>
  <si>
    <t>Lease Payment Grader</t>
  </si>
  <si>
    <t>Lease Payment Loader</t>
  </si>
  <si>
    <t>Repairs</t>
  </si>
  <si>
    <t>Fuel</t>
  </si>
  <si>
    <t>Insurnace</t>
  </si>
  <si>
    <t>Accountant</t>
  </si>
  <si>
    <t>Property Taxes</t>
  </si>
  <si>
    <t xml:space="preserve">Sample Notice of Vote Publication </t>
  </si>
  <si>
    <t>Sample Notice of Vote Publication</t>
  </si>
  <si>
    <t>Pursuant to K.S.A. 79-2925b, as amended by 2014 House Bill 2047</t>
  </si>
  <si>
    <t>Total Property Tax Levied</t>
  </si>
  <si>
    <t xml:space="preserve">Approved (vote) </t>
  </si>
  <si>
    <t>to</t>
  </si>
  <si>
    <t>August 12, 2014</t>
  </si>
  <si>
    <t>7:00 PM</t>
  </si>
  <si>
    <t>Brett Trentman</t>
  </si>
  <si>
    <t>Treasurer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</si>
</sst>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6"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6"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70"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10" fontId="6" fillId="4" borderId="0" xfId="0" applyNumberFormat="1" applyFont="1" applyFill="1" applyAlignment="1" applyProtection="1">
      <alignment vertical="center"/>
      <protection/>
    </xf>
    <xf numFmtId="0" fontId="12" fillId="22" borderId="12" xfId="70" applyFill="1" applyBorder="1" applyAlignment="1" applyProtection="1">
      <alignment vertical="center"/>
      <protection locked="0"/>
    </xf>
    <xf numFmtId="0" fontId="52" fillId="0" borderId="0" xfId="94" applyFont="1">
      <alignment/>
      <protection/>
    </xf>
    <xf numFmtId="0" fontId="70" fillId="28" borderId="0" xfId="426" applyFill="1" applyBorder="1">
      <alignment/>
      <protection/>
    </xf>
    <xf numFmtId="0" fontId="70" fillId="28" borderId="0" xfId="426" applyFill="1" applyBorder="1" applyAlignment="1">
      <alignment horizontal="left" vertical="center"/>
      <protection/>
    </xf>
    <xf numFmtId="0" fontId="70" fillId="28" borderId="0" xfId="426" applyFill="1" applyBorder="1" applyAlignment="1">
      <alignment horizontal="center" vertical="center"/>
      <protection/>
    </xf>
    <xf numFmtId="0" fontId="70" fillId="28" borderId="0" xfId="426" applyFill="1">
      <alignment/>
      <protection/>
    </xf>
    <xf numFmtId="0" fontId="78" fillId="28" borderId="37" xfId="426" applyFont="1" applyFill="1" applyBorder="1">
      <alignment/>
      <protection/>
    </xf>
    <xf numFmtId="0" fontId="78" fillId="28" borderId="0" xfId="426" applyFont="1" applyFill="1" applyBorder="1" applyAlignment="1">
      <alignment horizontal="right"/>
      <protection/>
    </xf>
    <xf numFmtId="3" fontId="78" fillId="28" borderId="12" xfId="426" applyNumberFormat="1" applyFont="1" applyFill="1" applyBorder="1">
      <alignment/>
      <protection/>
    </xf>
    <xf numFmtId="0" fontId="78" fillId="28" borderId="0" xfId="426" applyFont="1" applyFill="1" applyBorder="1">
      <alignment/>
      <protection/>
    </xf>
    <xf numFmtId="0" fontId="78" fillId="28" borderId="33" xfId="426" applyFont="1" applyFill="1" applyBorder="1">
      <alignment/>
      <protection/>
    </xf>
    <xf numFmtId="3" fontId="78" fillId="28" borderId="11" xfId="426" applyNumberFormat="1" applyFont="1" applyFill="1" applyBorder="1">
      <alignment/>
      <protection/>
    </xf>
    <xf numFmtId="0" fontId="78" fillId="28" borderId="12" xfId="426" applyFont="1" applyFill="1" applyBorder="1" applyAlignment="1" applyProtection="1">
      <alignment horizontal="center"/>
      <protection locked="0"/>
    </xf>
    <xf numFmtId="0" fontId="78" fillId="28" borderId="0" xfId="426" applyFont="1" applyFill="1" applyBorder="1" applyAlignment="1">
      <alignment horizontal="center"/>
      <protection/>
    </xf>
    <xf numFmtId="0" fontId="78" fillId="28" borderId="41" xfId="426" applyFont="1" applyFill="1" applyBorder="1" applyAlignment="1" applyProtection="1">
      <alignment horizontal="center"/>
      <protection locked="0"/>
    </xf>
    <xf numFmtId="0" fontId="78" fillId="28" borderId="34" xfId="426" applyFont="1" applyFill="1" applyBorder="1">
      <alignment/>
      <protection/>
    </xf>
    <xf numFmtId="0" fontId="78" fillId="28" borderId="35" xfId="426" applyFont="1" applyFill="1" applyBorder="1">
      <alignment/>
      <protection/>
    </xf>
    <xf numFmtId="0" fontId="78" fillId="28" borderId="36" xfId="426" applyFont="1" applyFill="1" applyBorder="1">
      <alignment/>
      <protection/>
    </xf>
    <xf numFmtId="170" fontId="6" fillId="22" borderId="10" xfId="0" applyNumberFormat="1" applyFont="1" applyFill="1" applyBorder="1" applyAlignment="1" applyProtection="1" quotePrefix="1">
      <alignment vertical="center"/>
      <protection locked="0"/>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0" fontId="6" fillId="4" borderId="0" xfId="0" applyFont="1" applyFill="1" applyAlignment="1">
      <alignment horizontal="center" vertical="center"/>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80" fillId="28" borderId="42" xfId="426" applyFont="1" applyFill="1" applyBorder="1" applyAlignment="1">
      <alignment horizontal="center"/>
      <protection/>
    </xf>
    <xf numFmtId="0" fontId="70" fillId="28" borderId="43" xfId="426" applyFill="1" applyBorder="1" applyAlignment="1">
      <alignment horizontal="center"/>
      <protection/>
    </xf>
    <xf numFmtId="0" fontId="70" fillId="28" borderId="44" xfId="426" applyFill="1" applyBorder="1" applyAlignment="1">
      <alignment horizontal="center"/>
      <protection/>
    </xf>
    <xf numFmtId="0" fontId="78" fillId="28" borderId="29" xfId="426" applyFont="1" applyFill="1" applyBorder="1" applyAlignment="1">
      <alignment horizontal="center"/>
      <protection/>
    </xf>
    <xf numFmtId="0" fontId="78" fillId="28" borderId="30" xfId="426" applyFont="1" applyFill="1" applyBorder="1" applyAlignment="1">
      <alignment horizontal="center"/>
      <protection/>
    </xf>
    <xf numFmtId="0" fontId="78" fillId="28" borderId="31" xfId="426" applyFont="1" applyFill="1" applyBorder="1" applyAlignment="1">
      <alignment horizontal="center"/>
      <protection/>
    </xf>
    <xf numFmtId="0" fontId="78" fillId="28" borderId="34" xfId="426" applyFont="1" applyFill="1" applyBorder="1" applyAlignment="1">
      <alignment horizontal="left" vertical="top" wrapText="1"/>
      <protection/>
    </xf>
    <xf numFmtId="0" fontId="78" fillId="28" borderId="35" xfId="426" applyFont="1" applyFill="1" applyBorder="1" applyAlignment="1">
      <alignment horizontal="left" vertical="top" wrapText="1"/>
      <protection/>
    </xf>
    <xf numFmtId="0" fontId="78" fillId="28" borderId="36" xfId="426" applyFont="1" applyFill="1" applyBorder="1" applyAlignment="1">
      <alignment horizontal="left" vertical="top" wrapText="1"/>
      <protection/>
    </xf>
    <xf numFmtId="0" fontId="80" fillId="0" borderId="42" xfId="426" applyFont="1" applyBorder="1" applyAlignment="1">
      <alignment horizontal="center"/>
      <protection/>
    </xf>
    <xf numFmtId="0" fontId="80" fillId="0" borderId="43" xfId="426" applyFont="1" applyBorder="1" applyAlignment="1">
      <alignment horizontal="center"/>
      <protection/>
    </xf>
    <xf numFmtId="0" fontId="80" fillId="0" borderId="44" xfId="426" applyFont="1" applyBorder="1" applyAlignment="1">
      <alignment horizontal="center"/>
      <protection/>
    </xf>
    <xf numFmtId="0" fontId="78" fillId="28" borderId="37" xfId="426" applyFont="1" applyFill="1" applyBorder="1" applyAlignment="1">
      <alignment horizontal="center"/>
      <protection/>
    </xf>
    <xf numFmtId="0" fontId="78" fillId="28" borderId="0" xfId="426" applyFont="1" applyFill="1" applyBorder="1" applyAlignment="1">
      <alignment horizontal="center"/>
      <protection/>
    </xf>
    <xf numFmtId="0" fontId="78" fillId="28" borderId="33" xfId="426" applyFont="1" applyFill="1" applyBorder="1" applyAlignment="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14%20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330</v>
      </c>
    </row>
    <row r="3" ht="34.5" customHeight="1">
      <c r="A3" s="742" t="s">
        <v>943</v>
      </c>
    </row>
    <row r="4" ht="15.75">
      <c r="A4" s="214"/>
    </row>
    <row r="5" ht="52.5" customHeight="1">
      <c r="A5" s="215" t="s">
        <v>331</v>
      </c>
    </row>
    <row r="6" ht="15.75">
      <c r="A6" s="215"/>
    </row>
    <row r="7" ht="51" customHeight="1">
      <c r="A7" s="215" t="s">
        <v>862</v>
      </c>
    </row>
    <row r="8" ht="15.75">
      <c r="A8" s="215"/>
    </row>
    <row r="9" ht="15.75">
      <c r="A9" s="215" t="s">
        <v>122</v>
      </c>
    </row>
    <row r="12" ht="15.75">
      <c r="A12" s="213" t="s">
        <v>178</v>
      </c>
    </row>
    <row r="14" ht="15.75">
      <c r="A14" s="214" t="s">
        <v>179</v>
      </c>
    </row>
    <row r="17" ht="38.25" customHeight="1">
      <c r="A17" s="216" t="s">
        <v>303</v>
      </c>
    </row>
    <row r="18" ht="9.75" customHeight="1">
      <c r="A18" s="216"/>
    </row>
    <row r="21" ht="15.75">
      <c r="A21" s="213" t="s">
        <v>123</v>
      </c>
    </row>
    <row r="23" ht="34.5" customHeight="1">
      <c r="A23" s="215" t="s">
        <v>180</v>
      </c>
    </row>
    <row r="24" ht="9.75" customHeight="1">
      <c r="A24" s="215"/>
    </row>
    <row r="25" ht="15.75">
      <c r="A25" s="217" t="s">
        <v>124</v>
      </c>
    </row>
    <row r="26" ht="15.75">
      <c r="A26" s="215"/>
    </row>
    <row r="27" ht="17.25" customHeight="1">
      <c r="A27" s="218" t="s">
        <v>125</v>
      </c>
    </row>
    <row r="28" ht="17.25" customHeight="1">
      <c r="A28" s="219"/>
    </row>
    <row r="29" ht="87.75" customHeight="1">
      <c r="A29" s="220" t="s">
        <v>159</v>
      </c>
    </row>
    <row r="31" ht="15.75">
      <c r="A31" s="221" t="s">
        <v>126</v>
      </c>
    </row>
    <row r="33" ht="15.75">
      <c r="A33" s="151" t="s">
        <v>181</v>
      </c>
    </row>
    <row r="35" ht="15.75">
      <c r="A35" s="215" t="s">
        <v>127</v>
      </c>
    </row>
    <row r="36" ht="15.75">
      <c r="A36" s="215"/>
    </row>
    <row r="37" ht="72" customHeight="1">
      <c r="A37" s="215" t="s">
        <v>392</v>
      </c>
    </row>
    <row r="39" ht="15.75">
      <c r="A39" s="213" t="s">
        <v>128</v>
      </c>
    </row>
    <row r="41" ht="70.5" customHeight="1">
      <c r="A41" s="215" t="s">
        <v>764</v>
      </c>
    </row>
    <row r="42" ht="52.5" customHeight="1">
      <c r="A42" s="222" t="s">
        <v>129</v>
      </c>
    </row>
    <row r="43" ht="33" customHeight="1">
      <c r="A43" s="215" t="s">
        <v>158</v>
      </c>
    </row>
    <row r="44" ht="106.5" customHeight="1">
      <c r="A44" s="730" t="s">
        <v>863</v>
      </c>
    </row>
    <row r="45" ht="10.5" customHeight="1">
      <c r="A45" s="215"/>
    </row>
    <row r="46" ht="108" customHeight="1">
      <c r="A46" s="215" t="s">
        <v>765</v>
      </c>
    </row>
    <row r="47" ht="59.25" customHeight="1">
      <c r="A47" s="215" t="s">
        <v>130</v>
      </c>
    </row>
    <row r="48" ht="101.25" customHeight="1">
      <c r="A48" s="215" t="s">
        <v>218</v>
      </c>
    </row>
    <row r="49" ht="74.25" customHeight="1">
      <c r="A49" s="215" t="s">
        <v>393</v>
      </c>
    </row>
    <row r="50" ht="69.75" customHeight="1">
      <c r="A50" s="215" t="s">
        <v>400</v>
      </c>
    </row>
    <row r="51" ht="58.5" customHeight="1">
      <c r="A51" s="731" t="s">
        <v>864</v>
      </c>
    </row>
    <row r="52" ht="12" customHeight="1">
      <c r="A52" s="215"/>
    </row>
    <row r="53" ht="81" customHeight="1">
      <c r="A53" s="215" t="s">
        <v>394</v>
      </c>
    </row>
    <row r="54" ht="81" customHeight="1">
      <c r="A54" s="215" t="s">
        <v>613</v>
      </c>
    </row>
    <row r="55" ht="81" customHeight="1">
      <c r="A55" s="215" t="s">
        <v>865</v>
      </c>
    </row>
    <row r="56" ht="48" customHeight="1">
      <c r="A56" s="731" t="s">
        <v>866</v>
      </c>
    </row>
    <row r="57" ht="84.75" customHeight="1">
      <c r="A57" s="732" t="s">
        <v>867</v>
      </c>
    </row>
    <row r="58" ht="11.25" customHeight="1"/>
    <row r="59" ht="72" customHeight="1">
      <c r="A59" s="215" t="s">
        <v>395</v>
      </c>
    </row>
    <row r="60" ht="54" customHeight="1">
      <c r="A60" s="215" t="s">
        <v>396</v>
      </c>
    </row>
    <row r="61" ht="54.75" customHeight="1">
      <c r="A61" s="215" t="s">
        <v>397</v>
      </c>
    </row>
    <row r="62" ht="14.25" customHeight="1">
      <c r="A62" s="215"/>
    </row>
    <row r="63" ht="68.25" customHeight="1">
      <c r="A63" s="732" t="s">
        <v>868</v>
      </c>
    </row>
    <row r="64" ht="12.75" customHeight="1">
      <c r="A64" s="215"/>
    </row>
    <row r="65" ht="41.25" customHeight="1">
      <c r="A65" s="215" t="s">
        <v>398</v>
      </c>
    </row>
    <row r="66" ht="24" customHeight="1">
      <c r="A66" s="215" t="s">
        <v>619</v>
      </c>
    </row>
    <row r="67" ht="72" customHeight="1">
      <c r="A67" s="215" t="s">
        <v>620</v>
      </c>
    </row>
    <row r="68" ht="56.25" customHeight="1">
      <c r="A68" s="215" t="s">
        <v>617</v>
      </c>
    </row>
    <row r="69" ht="15.75">
      <c r="A69" s="215" t="s">
        <v>618</v>
      </c>
    </row>
    <row r="70" ht="15.75" customHeight="1">
      <c r="A70" s="215"/>
    </row>
    <row r="71" ht="68.25" customHeight="1">
      <c r="A71" s="215" t="s">
        <v>399</v>
      </c>
    </row>
    <row r="72" s="215" customFormat="1" ht="14.25" customHeight="1">
      <c r="A72" s="113"/>
    </row>
    <row r="73" ht="87.75" customHeight="1">
      <c r="A73" s="215" t="s">
        <v>401</v>
      </c>
    </row>
    <row r="74" ht="12" customHeight="1">
      <c r="A74" s="215"/>
    </row>
    <row r="75" ht="141" customHeight="1">
      <c r="A75" s="732" t="s">
        <v>869</v>
      </c>
    </row>
    <row r="76" ht="12" customHeight="1"/>
    <row r="77" ht="78.75" customHeight="1">
      <c r="A77" s="215" t="s">
        <v>871</v>
      </c>
    </row>
    <row r="78" ht="78.75" customHeight="1">
      <c r="A78" s="732" t="s">
        <v>870</v>
      </c>
    </row>
    <row r="79" ht="86.25" customHeight="1">
      <c r="A79" s="538" t="s">
        <v>872</v>
      </c>
    </row>
    <row r="80" ht="78.75" customHeight="1">
      <c r="A80" s="538" t="s">
        <v>873</v>
      </c>
    </row>
    <row r="81" ht="78.75" customHeight="1">
      <c r="A81" s="538" t="s">
        <v>874</v>
      </c>
    </row>
    <row r="82" ht="73.5" customHeight="1">
      <c r="A82" s="215" t="s">
        <v>875</v>
      </c>
    </row>
    <row r="83" ht="120.75" customHeight="1">
      <c r="A83" s="215" t="s">
        <v>876</v>
      </c>
    </row>
    <row r="84" ht="72.75" customHeight="1">
      <c r="A84" s="215" t="s">
        <v>877</v>
      </c>
    </row>
    <row r="85" ht="100.5" customHeight="1">
      <c r="A85" s="215" t="s">
        <v>878</v>
      </c>
    </row>
    <row r="86" ht="110.25" customHeight="1">
      <c r="A86" s="215" t="s">
        <v>879</v>
      </c>
    </row>
    <row r="87" ht="100.5" customHeight="1">
      <c r="A87" s="223" t="s">
        <v>880</v>
      </c>
    </row>
    <row r="88" ht="61.5" customHeight="1">
      <c r="A88" s="359" t="s">
        <v>881</v>
      </c>
    </row>
    <row r="89" ht="120.75" customHeight="1">
      <c r="A89" s="215" t="s">
        <v>933</v>
      </c>
    </row>
    <row r="90" ht="86.25" customHeight="1">
      <c r="A90" s="223" t="s">
        <v>882</v>
      </c>
    </row>
    <row r="91" ht="101.25" customHeight="1">
      <c r="A91" s="223" t="s">
        <v>932</v>
      </c>
    </row>
    <row r="92" ht="133.5" customHeight="1">
      <c r="A92" s="215" t="s">
        <v>883</v>
      </c>
    </row>
    <row r="93" ht="137.25" customHeight="1">
      <c r="A93" s="215" t="s">
        <v>884</v>
      </c>
    </row>
    <row r="94" ht="101.25" customHeight="1">
      <c r="A94" s="215" t="s">
        <v>885</v>
      </c>
    </row>
    <row r="95" ht="9.75" customHeight="1">
      <c r="A95" s="223"/>
    </row>
    <row r="96" ht="119.25" customHeight="1">
      <c r="A96" s="215" t="s">
        <v>886</v>
      </c>
    </row>
    <row r="97" ht="117" customHeight="1">
      <c r="A97" s="223" t="s">
        <v>887</v>
      </c>
    </row>
    <row r="98" ht="58.5" customHeight="1">
      <c r="A98" s="223" t="s">
        <v>888</v>
      </c>
    </row>
    <row r="99" ht="21" customHeight="1">
      <c r="A99" s="215" t="s">
        <v>889</v>
      </c>
    </row>
    <row r="100" ht="3.75" customHeight="1"/>
    <row r="101" ht="64.5" customHeight="1">
      <c r="A101" s="215" t="s">
        <v>890</v>
      </c>
    </row>
    <row r="102" ht="22.5" customHeight="1">
      <c r="A102" s="215" t="s">
        <v>891</v>
      </c>
    </row>
    <row r="103" ht="40.5" customHeight="1">
      <c r="A103" s="538" t="s">
        <v>892</v>
      </c>
    </row>
    <row r="104" ht="115.5" customHeight="1">
      <c r="A104" s="538" t="s">
        <v>893</v>
      </c>
    </row>
    <row r="105" ht="116.25" customHeight="1">
      <c r="A105" s="538" t="s">
        <v>894</v>
      </c>
    </row>
    <row r="106" ht="90" customHeight="1">
      <c r="A106" s="215" t="s">
        <v>895</v>
      </c>
    </row>
    <row r="107" ht="74.25" customHeight="1">
      <c r="A107" s="733" t="s">
        <v>896</v>
      </c>
    </row>
    <row r="108" ht="61.5" customHeight="1">
      <c r="A108" s="215" t="s">
        <v>897</v>
      </c>
    </row>
    <row r="109" ht="9" customHeight="1"/>
    <row r="110" ht="78.75" customHeight="1">
      <c r="A110" s="215" t="s">
        <v>898</v>
      </c>
    </row>
    <row r="112" ht="73.5" customHeight="1">
      <c r="A112" s="538" t="s">
        <v>899</v>
      </c>
    </row>
    <row r="113" ht="108" customHeight="1">
      <c r="A113" s="538" t="s">
        <v>900</v>
      </c>
    </row>
    <row r="114" ht="96" customHeight="1">
      <c r="A114" s="538" t="s">
        <v>901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
      <selection activeCell="C56" sqref="C5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Walnut Township</v>
      </c>
      <c r="C1" s="65"/>
      <c r="D1" s="65"/>
      <c r="E1" s="225">
        <f>inputPrYr!D9</f>
        <v>2015</v>
      </c>
    </row>
    <row r="2" spans="2:5" ht="15.75">
      <c r="B2" s="540" t="s">
        <v>763</v>
      </c>
      <c r="C2" s="65"/>
      <c r="D2" s="65"/>
      <c r="E2" s="311"/>
    </row>
    <row r="3" spans="2:5" ht="15.75">
      <c r="B3" s="65"/>
      <c r="C3" s="78"/>
      <c r="D3" s="78"/>
      <c r="E3" s="312"/>
    </row>
    <row r="4" spans="2:5" ht="15.75">
      <c r="B4" s="72" t="s">
        <v>267</v>
      </c>
      <c r="C4" s="388" t="s">
        <v>268</v>
      </c>
      <c r="D4" s="391" t="s">
        <v>269</v>
      </c>
      <c r="E4" s="74" t="s">
        <v>270</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67</v>
      </c>
      <c r="C6" s="313">
        <v>0</v>
      </c>
      <c r="D6" s="390">
        <f>C45</f>
        <v>27447</v>
      </c>
      <c r="E6" s="261">
        <f>D45</f>
        <v>30647</v>
      </c>
    </row>
    <row r="7" spans="2:5" ht="15.75">
      <c r="B7" s="80" t="s">
        <v>69</v>
      </c>
      <c r="C7" s="390"/>
      <c r="D7" s="390"/>
      <c r="E7" s="315"/>
    </row>
    <row r="8" spans="2:5" ht="15.75">
      <c r="B8" s="80" t="s">
        <v>273</v>
      </c>
      <c r="C8" s="313">
        <v>29461</v>
      </c>
      <c r="D8" s="390">
        <f>IF(inputPrYr!H19&gt;0,inputPrYr!G20,inputPrYr!E20)</f>
        <v>7421</v>
      </c>
      <c r="E8" s="315" t="s">
        <v>252</v>
      </c>
    </row>
    <row r="9" spans="2:5" ht="15.75">
      <c r="B9" s="80" t="s">
        <v>274</v>
      </c>
      <c r="C9" s="313"/>
      <c r="D9" s="313"/>
      <c r="E9" s="171"/>
    </row>
    <row r="10" spans="2:5" ht="15.75">
      <c r="B10" s="80" t="s">
        <v>275</v>
      </c>
      <c r="C10" s="313"/>
      <c r="D10" s="313">
        <v>247</v>
      </c>
      <c r="E10" s="261">
        <f>mvalloc!G11</f>
        <v>265</v>
      </c>
    </row>
    <row r="11" spans="2:5" ht="15.75">
      <c r="B11" s="80" t="s">
        <v>276</v>
      </c>
      <c r="C11" s="313"/>
      <c r="D11" s="313">
        <v>7</v>
      </c>
      <c r="E11" s="261">
        <f>mvalloc!I11</f>
        <v>6</v>
      </c>
    </row>
    <row r="12" spans="2:5" ht="15.75">
      <c r="B12" s="316" t="s">
        <v>21</v>
      </c>
      <c r="C12" s="313"/>
      <c r="D12" s="313">
        <v>39</v>
      </c>
      <c r="E12" s="261">
        <f>mvalloc!J11</f>
        <v>44</v>
      </c>
    </row>
    <row r="13" spans="2:5" ht="15.75">
      <c r="B13" s="316" t="s">
        <v>107</v>
      </c>
      <c r="C13" s="313"/>
      <c r="D13" s="313"/>
      <c r="E13" s="261">
        <f>inputOth!E71</f>
        <v>0</v>
      </c>
    </row>
    <row r="14" spans="2:5" ht="15.75">
      <c r="B14" s="80" t="s">
        <v>277</v>
      </c>
      <c r="C14" s="313"/>
      <c r="D14" s="313">
        <v>2438</v>
      </c>
      <c r="E14" s="261">
        <f>inputOth!E32</f>
        <v>2075</v>
      </c>
    </row>
    <row r="15" spans="2:5" ht="15.75">
      <c r="B15" s="318"/>
      <c r="C15" s="313"/>
      <c r="D15" s="313"/>
      <c r="E15" s="171"/>
    </row>
    <row r="16" spans="2:5" ht="15.75">
      <c r="B16" s="317"/>
      <c r="C16" s="313"/>
      <c r="D16" s="313"/>
      <c r="E16" s="171"/>
    </row>
    <row r="17" spans="2:5" ht="15.75">
      <c r="B17" s="318" t="s">
        <v>279</v>
      </c>
      <c r="C17" s="313">
        <v>479</v>
      </c>
      <c r="D17" s="313">
        <v>500</v>
      </c>
      <c r="E17" s="171">
        <v>500</v>
      </c>
    </row>
    <row r="18" spans="2:5" ht="15.75">
      <c r="B18" s="319" t="s">
        <v>225</v>
      </c>
      <c r="C18" s="313"/>
      <c r="D18" s="313"/>
      <c r="E18" s="171"/>
    </row>
    <row r="19" spans="2:5" ht="15.75">
      <c r="B19" s="319" t="s">
        <v>226</v>
      </c>
      <c r="C19" s="392">
        <f>IF(C20*0.1&lt;C18,"Exceed 10% Rule","")</f>
      </c>
      <c r="D19" s="392">
        <f>IF(D20*0.1&lt;D18,"Exceed 10% Rule","")</f>
      </c>
      <c r="E19" s="323">
        <f>IF(E20*0.1+E51&lt;E18,"Exceed 10% Rule","")</f>
      </c>
    </row>
    <row r="20" spans="2:5" ht="15.75">
      <c r="B20" s="321" t="s">
        <v>280</v>
      </c>
      <c r="C20" s="393">
        <f>SUM(C8:C18)</f>
        <v>29940</v>
      </c>
      <c r="D20" s="393">
        <f>SUM(D8:D18)</f>
        <v>10652</v>
      </c>
      <c r="E20" s="322">
        <f>SUM(E8:E18)</f>
        <v>2890</v>
      </c>
    </row>
    <row r="21" spans="2:5" ht="15" customHeight="1">
      <c r="B21" s="98" t="s">
        <v>281</v>
      </c>
      <c r="C21" s="393">
        <f>C20+C6</f>
        <v>29940</v>
      </c>
      <c r="D21" s="393">
        <f>D20+D6</f>
        <v>38099</v>
      </c>
      <c r="E21" s="322">
        <f>E20+E6</f>
        <v>33537</v>
      </c>
    </row>
    <row r="22" spans="2:5" ht="15" customHeight="1">
      <c r="B22" s="80" t="s">
        <v>282</v>
      </c>
      <c r="C22" s="390"/>
      <c r="D22" s="390"/>
      <c r="E22" s="261"/>
    </row>
    <row r="23" spans="2:5" ht="15" customHeight="1">
      <c r="B23" s="317"/>
      <c r="C23" s="313"/>
      <c r="D23" s="313"/>
      <c r="E23" s="171"/>
    </row>
    <row r="24" spans="2:5" ht="15" customHeight="1">
      <c r="B24" s="318" t="s">
        <v>53</v>
      </c>
      <c r="C24" s="313"/>
      <c r="D24" s="313">
        <v>3000</v>
      </c>
      <c r="E24" s="171">
        <v>3000</v>
      </c>
    </row>
    <row r="25" spans="2:5" ht="15" customHeight="1">
      <c r="B25" s="318" t="s">
        <v>74</v>
      </c>
      <c r="C25" s="313"/>
      <c r="D25" s="313"/>
      <c r="E25" s="171"/>
    </row>
    <row r="26" spans="2:5" ht="15" customHeight="1">
      <c r="B26" s="318" t="s">
        <v>54</v>
      </c>
      <c r="C26" s="313"/>
      <c r="D26" s="313">
        <v>500</v>
      </c>
      <c r="E26" s="171">
        <v>500</v>
      </c>
    </row>
    <row r="27" spans="2:5" ht="15" customHeight="1">
      <c r="B27" s="318" t="s">
        <v>293</v>
      </c>
      <c r="C27" s="313">
        <v>557</v>
      </c>
      <c r="D27" s="313"/>
      <c r="E27" s="171">
        <v>600</v>
      </c>
    </row>
    <row r="28" spans="2:5" ht="15.75">
      <c r="B28" s="317" t="s">
        <v>964</v>
      </c>
      <c r="C28" s="313">
        <v>118</v>
      </c>
      <c r="D28" s="313">
        <v>1200</v>
      </c>
      <c r="E28" s="171">
        <f>33537-6852</f>
        <v>26685</v>
      </c>
    </row>
    <row r="29" spans="2:5" ht="15.75">
      <c r="B29" s="317" t="s">
        <v>75</v>
      </c>
      <c r="C29" s="313">
        <v>698</v>
      </c>
      <c r="D29" s="313">
        <v>2000</v>
      </c>
      <c r="E29" s="171">
        <v>2000</v>
      </c>
    </row>
    <row r="30" spans="2:5" ht="15.75">
      <c r="B30" s="318" t="s">
        <v>76</v>
      </c>
      <c r="C30" s="313"/>
      <c r="D30" s="313"/>
      <c r="E30" s="171"/>
    </row>
    <row r="31" spans="2:5" ht="15.75">
      <c r="B31" s="318" t="s">
        <v>965</v>
      </c>
      <c r="C31" s="313">
        <f>150+16+30</f>
        <v>196</v>
      </c>
      <c r="D31" s="313">
        <v>250</v>
      </c>
      <c r="E31" s="171">
        <v>250</v>
      </c>
    </row>
    <row r="32" spans="2:5" ht="15.75">
      <c r="B32" s="318" t="s">
        <v>966</v>
      </c>
      <c r="C32" s="313">
        <v>500</v>
      </c>
      <c r="D32" s="313">
        <v>500</v>
      </c>
      <c r="E32" s="171">
        <v>500</v>
      </c>
    </row>
    <row r="33" spans="2:5" ht="15.75">
      <c r="B33" s="318" t="s">
        <v>972</v>
      </c>
      <c r="C33" s="313">
        <v>155</v>
      </c>
      <c r="D33" s="313"/>
      <c r="E33" s="171"/>
    </row>
    <row r="34" spans="2:5" ht="15.75">
      <c r="B34" s="318" t="s">
        <v>981</v>
      </c>
      <c r="C34" s="313">
        <f>199+70</f>
        <v>269</v>
      </c>
      <c r="D34" s="313"/>
      <c r="E34" s="171"/>
    </row>
    <row r="35" spans="2:10" ht="15.75">
      <c r="B35" s="317"/>
      <c r="C35" s="313"/>
      <c r="D35" s="313"/>
      <c r="E35" s="171"/>
      <c r="G35" s="828" t="str">
        <f>CONCATENATE("Desired Carryover Into ",E1+1,"")</f>
        <v>Desired Carryover Into 2016</v>
      </c>
      <c r="H35" s="829"/>
      <c r="I35" s="829"/>
      <c r="J35" s="830"/>
    </row>
    <row r="36" spans="2:10" ht="15.75">
      <c r="B36" s="318"/>
      <c r="C36" s="313"/>
      <c r="D36" s="313"/>
      <c r="E36" s="171"/>
      <c r="G36" s="506"/>
      <c r="H36" s="71"/>
      <c r="I36" s="544"/>
      <c r="J36" s="507"/>
    </row>
    <row r="37" spans="2:10" ht="15.75">
      <c r="B37" s="316" t="s">
        <v>185</v>
      </c>
      <c r="C37" s="313"/>
      <c r="D37" s="313"/>
      <c r="E37" s="171"/>
      <c r="G37" s="508" t="s">
        <v>730</v>
      </c>
      <c r="H37" s="544"/>
      <c r="I37" s="544"/>
      <c r="J37" s="509">
        <v>0</v>
      </c>
    </row>
    <row r="38" spans="2:10" ht="15.75">
      <c r="B38" s="316" t="s">
        <v>186</v>
      </c>
      <c r="C38" s="392">
        <f>IF(AND($C$37&gt;0,$C$8&gt;0),"Not Authorized","")</f>
      </c>
      <c r="D38" s="392">
        <f>IF(AND($D$37&gt;0,$D$8&gt;0),"Not Authorized","")</f>
      </c>
      <c r="E38" s="323">
        <f>IF(AND(E51&gt;0,$E$37&gt;0),"Not Authorized","")</f>
      </c>
      <c r="G38" s="506" t="s">
        <v>731</v>
      </c>
      <c r="H38" s="71"/>
      <c r="I38" s="71"/>
      <c r="J38" s="714">
        <f>IF(J37=0,"",ROUND((J37+E51-G50)/inputOth!E11*1000,3)-G55)</f>
      </c>
    </row>
    <row r="39" spans="2:10" ht="15.75">
      <c r="B39" s="80" t="s">
        <v>187</v>
      </c>
      <c r="C39" s="313"/>
      <c r="D39" s="313"/>
      <c r="E39" s="171"/>
      <c r="G39" s="715" t="str">
        <f>CONCATENATE("",E1," Tot Exp/Non-Appr Must Be:")</f>
        <v>2015 Tot Exp/Non-Appr Must Be:</v>
      </c>
      <c r="H39" s="537"/>
      <c r="I39" s="711"/>
      <c r="J39" s="716">
        <f>IF(J37&gt;0,IF(E48&lt;E17,IF(J37=G50,E48,((J37-G50)*(1-D50))+E17),E48+(J37-G50)),0)</f>
        <v>0</v>
      </c>
    </row>
    <row r="40" spans="2:10" ht="15.75">
      <c r="B40" s="80" t="s">
        <v>769</v>
      </c>
      <c r="C40" s="392">
        <f>IF(C21*0.25&lt;C39,"Exceeds 25%","")</f>
      </c>
      <c r="D40" s="392">
        <f>IF(D21*0.25&lt;D39,"Exceeds 25%","")</f>
      </c>
      <c r="E40" s="323">
        <f>IF(E21*0.25+E51&lt;E39,"Exceeds 25%","")</f>
      </c>
      <c r="G40" s="717" t="s">
        <v>859</v>
      </c>
      <c r="H40" s="718"/>
      <c r="I40" s="718"/>
      <c r="J40" s="719">
        <f>IF(J37&gt;0,J39-E48,0)</f>
        <v>0</v>
      </c>
    </row>
    <row r="41" spans="2:5" ht="15.75">
      <c r="B41" s="316" t="s">
        <v>227</v>
      </c>
      <c r="C41" s="313"/>
      <c r="D41" s="313">
        <v>2</v>
      </c>
      <c r="E41" s="182">
        <v>2</v>
      </c>
    </row>
    <row r="42" spans="2:10" ht="15.75">
      <c r="B42" s="316" t="s">
        <v>225</v>
      </c>
      <c r="C42" s="313"/>
      <c r="D42" s="313"/>
      <c r="E42" s="171"/>
      <c r="G42" s="828" t="str">
        <f>CONCATENATE("Projected Carryover Into ",E1+1,"")</f>
        <v>Projected Carryover Into 2016</v>
      </c>
      <c r="H42" s="829"/>
      <c r="I42" s="829"/>
      <c r="J42" s="830"/>
    </row>
    <row r="43" spans="2:10" ht="15.75">
      <c r="B43" s="316" t="s">
        <v>727</v>
      </c>
      <c r="C43" s="392">
        <f>IF(C44*0.1&lt;C42,"Exceed 10% Rule","")</f>
      </c>
      <c r="D43" s="392">
        <f>IF(D44*0.1&lt;D42,"Exceed 10% Rule","")</f>
      </c>
      <c r="E43" s="323">
        <f>IF(E44*0.1&lt;E42,"Exceed 10% Rule","")</f>
      </c>
      <c r="G43" s="505"/>
      <c r="H43" s="71"/>
      <c r="I43" s="71"/>
      <c r="J43" s="84"/>
    </row>
    <row r="44" spans="2:10" ht="15.75">
      <c r="B44" s="98" t="s">
        <v>283</v>
      </c>
      <c r="C44" s="393">
        <f>SUM(C23:C37,C39,C41:C42)</f>
        <v>2493</v>
      </c>
      <c r="D44" s="393">
        <f>SUM(D23:D37,D39,D41:D42)</f>
        <v>7452</v>
      </c>
      <c r="E44" s="322">
        <f>SUM(E23:E37,E41:E42,E39)</f>
        <v>33537</v>
      </c>
      <c r="G44" s="541">
        <f>D45</f>
        <v>30647</v>
      </c>
      <c r="H44" s="542" t="str">
        <f>CONCATENATE("",E1-1," Ending Cash Balance (est.)")</f>
        <v>2014 Ending Cash Balance (est.)</v>
      </c>
      <c r="I44" s="543"/>
      <c r="J44" s="84"/>
    </row>
    <row r="45" spans="2:10" ht="15.75">
      <c r="B45" s="80" t="s">
        <v>68</v>
      </c>
      <c r="C45" s="394">
        <f>C21-C44</f>
        <v>27447</v>
      </c>
      <c r="D45" s="394">
        <f>D21-D44</f>
        <v>30647</v>
      </c>
      <c r="E45" s="315" t="s">
        <v>252</v>
      </c>
      <c r="G45" s="541">
        <f>E20</f>
        <v>2890</v>
      </c>
      <c r="H45" s="544" t="str">
        <f>CONCATENATE("",E1," Non-AV Receipts (est.)")</f>
        <v>2015 Non-AV Receipts (est.)</v>
      </c>
      <c r="I45" s="543"/>
      <c r="J45" s="84"/>
    </row>
    <row r="46" spans="2:11" ht="15.75">
      <c r="B46" s="117" t="str">
        <f>CONCATENATE("",E1-2,"/",E1-1," Budget Authority Amount:")</f>
        <v>2013/2014 Budget Authority Amount:</v>
      </c>
      <c r="C46" s="338">
        <f>inputOth!B83</f>
        <v>10752</v>
      </c>
      <c r="D46" s="68">
        <f>inputPrYr!D20</f>
        <v>10852</v>
      </c>
      <c r="E46" s="315" t="s">
        <v>252</v>
      </c>
      <c r="F46" s="324"/>
      <c r="G46" s="545">
        <f>IF(D50&gt;0,E49,E51)</f>
        <v>0</v>
      </c>
      <c r="H46" s="544" t="str">
        <f>CONCATENATE("",E1," Ad Valorem Tax (est.)")</f>
        <v>2015 Ad Valorem Tax (est.)</v>
      </c>
      <c r="I46" s="543"/>
      <c r="J46" s="84"/>
      <c r="K46" s="720">
        <f>IF(G46=E51,"","Note: Does not include Delinquent Taxes")</f>
      </c>
    </row>
    <row r="47" spans="2:10" ht="15.75">
      <c r="B47" s="117"/>
      <c r="C47" s="822" t="s">
        <v>724</v>
      </c>
      <c r="D47" s="823"/>
      <c r="E47" s="171"/>
      <c r="F47" s="324">
        <f>IF(E44/0.95-E44&lt;E47,"Exceeds 5%","")</f>
      </c>
      <c r="G47" s="541">
        <f>SUM(G44:G46)</f>
        <v>33537</v>
      </c>
      <c r="H47" s="544" t="str">
        <f>CONCATENATE("Total ",E1," Resources Available")</f>
        <v>Total 2015 Resources Available</v>
      </c>
      <c r="I47" s="543"/>
      <c r="J47" s="84"/>
    </row>
    <row r="48" spans="2:10" ht="15.75">
      <c r="B48" s="499" t="str">
        <f>CONCATENATE(C68,"      ",D68)</f>
        <v>      </v>
      </c>
      <c r="C48" s="824" t="s">
        <v>725</v>
      </c>
      <c r="D48" s="825"/>
      <c r="E48" s="261">
        <f>E44+E47</f>
        <v>33537</v>
      </c>
      <c r="G48" s="546"/>
      <c r="H48" s="544"/>
      <c r="I48" s="544"/>
      <c r="J48" s="84"/>
    </row>
    <row r="49" spans="2:10" ht="15.75">
      <c r="B49" s="499" t="str">
        <f>CONCATENATE(C69,"       ",D69)</f>
        <v>       </v>
      </c>
      <c r="C49" s="502"/>
      <c r="D49" s="501" t="s">
        <v>285</v>
      </c>
      <c r="E49" s="182">
        <f>IF(E48-E21&gt;0,E48-E21,0)</f>
        <v>0</v>
      </c>
      <c r="G49" s="545">
        <f>ROUND(C44*0.05+C44,0)</f>
        <v>2618</v>
      </c>
      <c r="H49" s="544" t="str">
        <f>CONCATENATE("Less ",E1-2," Expenditures + 5%")</f>
        <v>Less 2013 Expenditures + 5%</v>
      </c>
      <c r="I49" s="543"/>
      <c r="J49" s="84"/>
    </row>
    <row r="50" spans="2:10" ht="15.75">
      <c r="B50" s="211"/>
      <c r="C50" s="500" t="s">
        <v>726</v>
      </c>
      <c r="D50" s="713">
        <f>inputOth!$E$77</f>
        <v>0</v>
      </c>
      <c r="E50" s="261">
        <f>ROUND(IF(D50&gt;0,(E49*D50),0),0)</f>
        <v>0</v>
      </c>
      <c r="G50" s="547">
        <f>G47-G49</f>
        <v>30919</v>
      </c>
      <c r="H50" s="548" t="str">
        <f>CONCATENATE("Projected ",E1+1," Carryover (est.)")</f>
        <v>Projected 2016 Carryover (est.)</v>
      </c>
      <c r="I50" s="549"/>
      <c r="J50" s="550"/>
    </row>
    <row r="51" spans="2:5" ht="15.75">
      <c r="B51" s="65"/>
      <c r="C51" s="826" t="str">
        <f>CONCATENATE("Amount of  ",$E$1-1," Ad Valorem Tax")</f>
        <v>Amount of  2014 Ad Valorem Tax</v>
      </c>
      <c r="D51" s="827"/>
      <c r="E51" s="182">
        <f>E49+E50</f>
        <v>0</v>
      </c>
    </row>
    <row r="52" spans="2:10" ht="15.75">
      <c r="B52" s="65"/>
      <c r="C52" s="65"/>
      <c r="D52" s="65"/>
      <c r="E52" s="65"/>
      <c r="G52" s="831" t="s">
        <v>860</v>
      </c>
      <c r="H52" s="832"/>
      <c r="I52" s="832"/>
      <c r="J52" s="833"/>
    </row>
    <row r="53" spans="2:11" s="326" customFormat="1" ht="15.75">
      <c r="B53" s="71"/>
      <c r="C53" s="71"/>
      <c r="D53" s="268"/>
      <c r="E53" s="71"/>
      <c r="G53" s="721"/>
      <c r="H53" s="542"/>
      <c r="I53" s="712"/>
      <c r="J53" s="722"/>
      <c r="K53" s="156"/>
    </row>
    <row r="54" spans="2:11" s="327" customFormat="1" ht="15.75">
      <c r="B54" s="65"/>
      <c r="C54" s="65"/>
      <c r="D54" s="190"/>
      <c r="E54" s="65"/>
      <c r="G54" s="723" t="str">
        <f>summ!H18</f>
        <v> </v>
      </c>
      <c r="H54" s="542" t="str">
        <f>CONCATENATE("",E1," Fund Mill Rate")</f>
        <v>2015 Fund Mill Rate</v>
      </c>
      <c r="I54" s="712"/>
      <c r="J54" s="722"/>
      <c r="K54" s="156"/>
    </row>
    <row r="55" spans="2:10" ht="15.75">
      <c r="B55" s="211" t="s">
        <v>266</v>
      </c>
      <c r="C55" s="153">
        <v>6</v>
      </c>
      <c r="D55" s="65"/>
      <c r="E55" s="65"/>
      <c r="G55" s="724">
        <f>summ!E18</f>
        <v>0.437</v>
      </c>
      <c r="H55" s="542" t="str">
        <f>CONCATENATE("",E1-1," Fund Mill Rate")</f>
        <v>2014 Fund Mill Rate</v>
      </c>
      <c r="I55" s="712"/>
      <c r="J55" s="722"/>
    </row>
    <row r="56" spans="7:10" ht="15.75">
      <c r="G56" s="725">
        <f>summ!H22</f>
        <v>17.778</v>
      </c>
      <c r="H56" s="542" t="str">
        <f>CONCATENATE("Total ",E1," Mill Rate")</f>
        <v>Total 2015 Mill Rate</v>
      </c>
      <c r="I56" s="712"/>
      <c r="J56" s="722"/>
    </row>
    <row r="57" spans="2:10" ht="15.75">
      <c r="B57" s="109"/>
      <c r="G57" s="724">
        <f>summ!E22</f>
        <v>17.448</v>
      </c>
      <c r="H57" s="726" t="str">
        <f>CONCATENATE("Total ",E1-1," Mill Rate")</f>
        <v>Total 2014 Mill Rate</v>
      </c>
      <c r="I57" s="727"/>
      <c r="J57" s="728"/>
    </row>
    <row r="59" spans="7:9" ht="15.75">
      <c r="G59" s="740" t="s">
        <v>937</v>
      </c>
      <c r="H59" s="739"/>
      <c r="I59" s="738" t="str">
        <f>cert!E41</f>
        <v>No</v>
      </c>
    </row>
    <row r="68" spans="3:4" ht="15.75" hidden="1">
      <c r="C68" s="156">
        <f>IF(C44&gt;C46,"See Tab A","")</f>
      </c>
      <c r="D68" s="156">
        <f>IF(D44&gt;D46,"See Tab C","")</f>
      </c>
    </row>
    <row r="69" spans="3:4" ht="15.75" hidden="1">
      <c r="C69" s="156">
        <f>IF(C45&lt;0,"See Tab B","")</f>
      </c>
      <c r="D69" s="156">
        <f>IF(D45&lt;0,"See Tab D","")</f>
      </c>
    </row>
  </sheetData>
  <sheetProtection/>
  <mergeCells count="6">
    <mergeCell ref="C47:D47"/>
    <mergeCell ref="C48:D48"/>
    <mergeCell ref="C51:D51"/>
    <mergeCell ref="G35:J35"/>
    <mergeCell ref="G42:J42"/>
    <mergeCell ref="G52:J52"/>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7">
    <cfRule type="cellIs" priority="4" dxfId="173" operator="greaterThan" stopIfTrue="1">
      <formula>$E$44/0.95-$E$44</formula>
    </cfRule>
  </conditionalFormatting>
  <conditionalFormatting sqref="E42">
    <cfRule type="cellIs" priority="5" dxfId="173" operator="greaterThan" stopIfTrue="1">
      <formula>$E$44*0.1</formula>
    </cfRule>
  </conditionalFormatting>
  <conditionalFormatting sqref="D42">
    <cfRule type="cellIs" priority="6" dxfId="173" operator="greaterThan" stopIfTrue="1">
      <formula>$D$44*0.1</formula>
    </cfRule>
  </conditionalFormatting>
  <conditionalFormatting sqref="C42">
    <cfRule type="cellIs" priority="7" dxfId="173" operator="greaterThan" stopIfTrue="1">
      <formula>$C$44*0.1</formula>
    </cfRule>
  </conditionalFormatting>
  <conditionalFormatting sqref="C44">
    <cfRule type="cellIs" priority="8" dxfId="173" operator="greaterThan" stopIfTrue="1">
      <formula>$C$46</formula>
    </cfRule>
  </conditionalFormatting>
  <conditionalFormatting sqref="C45">
    <cfRule type="cellIs" priority="9" dxfId="173" operator="lessThan" stopIfTrue="1">
      <formula>0</formula>
    </cfRule>
  </conditionalFormatting>
  <conditionalFormatting sqref="D44">
    <cfRule type="cellIs" priority="10" dxfId="10" operator="greaterThan" stopIfTrue="1">
      <formula>$D$46</formula>
    </cfRule>
  </conditionalFormatting>
  <conditionalFormatting sqref="C39">
    <cfRule type="cellIs" priority="11" dxfId="173" operator="greaterThan" stopIfTrue="1">
      <formula>$C$21*0.25</formula>
    </cfRule>
  </conditionalFormatting>
  <conditionalFormatting sqref="D39">
    <cfRule type="cellIs" priority="12" dxfId="173" operator="greaterThan" stopIfTrue="1">
      <formula>$D$21*0.25</formula>
    </cfRule>
  </conditionalFormatting>
  <conditionalFormatting sqref="D37">
    <cfRule type="expression" priority="13" dxfId="173" stopIfTrue="1">
      <formula>$D$8&gt;0</formula>
    </cfRule>
  </conditionalFormatting>
  <conditionalFormatting sqref="E18">
    <cfRule type="cellIs" priority="14" dxfId="173" operator="greaterThan" stopIfTrue="1">
      <formula>$E$20*0.1+$E$51</formula>
    </cfRule>
  </conditionalFormatting>
  <conditionalFormatting sqref="C37">
    <cfRule type="expression" priority="15" dxfId="173" stopIfTrue="1">
      <formula>$C$8&gt;0</formula>
    </cfRule>
  </conditionalFormatting>
  <conditionalFormatting sqref="E39">
    <cfRule type="cellIs" priority="16" dxfId="173" operator="greaterThan" stopIfTrue="1">
      <formula>$E$21*0.25+$E$51</formula>
    </cfRule>
  </conditionalFormatting>
  <conditionalFormatting sqref="E37">
    <cfRule type="expression" priority="17" dxfId="173" stopIfTrue="1">
      <formula>$E$51&gt;0</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Walnut Township</v>
      </c>
      <c r="C1" s="65"/>
      <c r="D1" s="65"/>
      <c r="E1" s="225">
        <f>inputPrYr!D9</f>
        <v>2015</v>
      </c>
    </row>
    <row r="2" spans="2:5" ht="15.75">
      <c r="B2" s="540" t="s">
        <v>763</v>
      </c>
      <c r="C2" s="65"/>
      <c r="D2" s="208"/>
      <c r="E2" s="67"/>
    </row>
    <row r="3" spans="2:5" ht="15.75">
      <c r="B3" s="72" t="s">
        <v>267</v>
      </c>
      <c r="C3" s="70"/>
      <c r="D3" s="70"/>
      <c r="E3" s="70"/>
    </row>
    <row r="4" spans="2:5" ht="15.75">
      <c r="B4" s="65"/>
      <c r="C4" s="388" t="s">
        <v>268</v>
      </c>
      <c r="D4" s="391" t="s">
        <v>269</v>
      </c>
      <c r="E4" s="74" t="s">
        <v>270</v>
      </c>
    </row>
    <row r="5" spans="2:5" ht="15.75">
      <c r="B5" s="484" t="str">
        <f>inputPrYr!B23</f>
        <v>Road</v>
      </c>
      <c r="C5" s="389" t="str">
        <f>gen!C5</f>
        <v>Actual for 2013</v>
      </c>
      <c r="D5" s="389" t="str">
        <f>gen!D5</f>
        <v>Estimate for 2014</v>
      </c>
      <c r="E5" s="79" t="str">
        <f>gen!E5</f>
        <v>Year for 2015</v>
      </c>
    </row>
    <row r="6" spans="2:5" ht="15.75">
      <c r="B6" s="80" t="s">
        <v>67</v>
      </c>
      <c r="C6" s="313">
        <v>0</v>
      </c>
      <c r="D6" s="390">
        <f>C44</f>
        <v>0</v>
      </c>
      <c r="E6" s="261">
        <f>D44</f>
        <v>0</v>
      </c>
    </row>
    <row r="7" spans="2:5" ht="15.75">
      <c r="B7" s="80" t="s">
        <v>69</v>
      </c>
      <c r="C7" s="390"/>
      <c r="D7" s="390"/>
      <c r="E7" s="315"/>
    </row>
    <row r="8" spans="2:5" ht="15.75">
      <c r="B8" s="80" t="s">
        <v>273</v>
      </c>
      <c r="C8" s="313">
        <v>235614</v>
      </c>
      <c r="D8" s="390">
        <f>IF(inputPrYr!H19&gt;0,inputPrYr!G23,inputPrYr!E23)</f>
        <v>227416</v>
      </c>
      <c r="E8" s="315" t="s">
        <v>252</v>
      </c>
    </row>
    <row r="9" spans="2:5" ht="15.75">
      <c r="B9" s="80" t="s">
        <v>274</v>
      </c>
      <c r="C9" s="313"/>
      <c r="D9" s="313"/>
      <c r="E9" s="171"/>
    </row>
    <row r="10" spans="2:5" ht="15.75">
      <c r="B10" s="80" t="s">
        <v>275</v>
      </c>
      <c r="C10" s="313"/>
      <c r="D10" s="313">
        <v>7957</v>
      </c>
      <c r="E10" s="261">
        <f>mvalloc!G14</f>
        <v>8128</v>
      </c>
    </row>
    <row r="11" spans="2:5" ht="15.75">
      <c r="B11" s="80" t="s">
        <v>276</v>
      </c>
      <c r="C11" s="313"/>
      <c r="D11" s="313">
        <v>220</v>
      </c>
      <c r="E11" s="261">
        <f>mvalloc!I14</f>
        <v>166</v>
      </c>
    </row>
    <row r="12" spans="2:5" ht="15.75">
      <c r="B12" s="80" t="s">
        <v>51</v>
      </c>
      <c r="C12" s="313"/>
      <c r="D12" s="313">
        <v>1255</v>
      </c>
      <c r="E12" s="261">
        <f>mvalloc!J14</f>
        <v>1338</v>
      </c>
    </row>
    <row r="13" spans="2:5" ht="15.75">
      <c r="B13" s="80" t="s">
        <v>52</v>
      </c>
      <c r="C13" s="313"/>
      <c r="D13" s="313">
        <v>4375</v>
      </c>
      <c r="E13" s="261">
        <f>inputOth!E72</f>
        <v>4530</v>
      </c>
    </row>
    <row r="14" spans="2:5" ht="15.75">
      <c r="B14" s="318"/>
      <c r="C14" s="313"/>
      <c r="D14" s="313"/>
      <c r="E14" s="171"/>
    </row>
    <row r="15" spans="2:5" ht="15.75">
      <c r="B15" s="318" t="s">
        <v>967</v>
      </c>
      <c r="C15" s="313">
        <v>41</v>
      </c>
      <c r="D15" s="313"/>
      <c r="E15" s="171"/>
    </row>
    <row r="16" spans="2:5" ht="15.75">
      <c r="B16" s="318" t="s">
        <v>968</v>
      </c>
      <c r="C16" s="313">
        <v>525</v>
      </c>
      <c r="D16" s="313"/>
      <c r="E16" s="171"/>
    </row>
    <row r="17" spans="2:5" ht="15.75">
      <c r="B17" s="318" t="s">
        <v>969</v>
      </c>
      <c r="C17" s="313">
        <v>120</v>
      </c>
      <c r="D17" s="313"/>
      <c r="E17" s="171"/>
    </row>
    <row r="18" spans="2:5" ht="15.75">
      <c r="B18" s="318"/>
      <c r="C18" s="313"/>
      <c r="D18" s="313"/>
      <c r="E18" s="171"/>
    </row>
    <row r="19" spans="2:5" ht="15.75">
      <c r="B19" s="318"/>
      <c r="C19" s="313"/>
      <c r="D19" s="313"/>
      <c r="E19" s="171"/>
    </row>
    <row r="20" spans="2:5" ht="15.75">
      <c r="B20" s="318" t="s">
        <v>279</v>
      </c>
      <c r="C20" s="313"/>
      <c r="D20" s="313"/>
      <c r="E20" s="171"/>
    </row>
    <row r="21" spans="2:5" ht="15.75">
      <c r="B21" s="319" t="s">
        <v>225</v>
      </c>
      <c r="C21" s="313"/>
      <c r="D21" s="313"/>
      <c r="E21" s="171"/>
    </row>
    <row r="22" spans="2:5" ht="15.75">
      <c r="B22" s="319" t="s">
        <v>226</v>
      </c>
      <c r="C22" s="392">
        <f>IF(C23*0.1&lt;C21,"Exceed 10% Rule","")</f>
      </c>
      <c r="D22" s="392">
        <f>IF(D23*0.1&lt;D21,"Exceed 10% Rule","")</f>
      </c>
      <c r="E22" s="323">
        <f>IF(E23*0.1+E50&lt;E21,"Exceed 10% Rule","")</f>
      </c>
    </row>
    <row r="23" spans="2:5" ht="15.75">
      <c r="B23" s="321" t="s">
        <v>280</v>
      </c>
      <c r="C23" s="393">
        <f>SUM(C8:C21)</f>
        <v>236300</v>
      </c>
      <c r="D23" s="393">
        <f>SUM(D8:D21)</f>
        <v>241223</v>
      </c>
      <c r="E23" s="322">
        <f>SUM(E8:E21)</f>
        <v>14162</v>
      </c>
    </row>
    <row r="24" spans="2:5" ht="15.75">
      <c r="B24" s="98" t="s">
        <v>281</v>
      </c>
      <c r="C24" s="393">
        <f>C23+C6</f>
        <v>236300</v>
      </c>
      <c r="D24" s="393">
        <f>D23+D6</f>
        <v>241223</v>
      </c>
      <c r="E24" s="322">
        <f>E23+E6</f>
        <v>14162</v>
      </c>
    </row>
    <row r="25" spans="2:5" ht="15.75">
      <c r="B25" s="80" t="s">
        <v>282</v>
      </c>
      <c r="C25" s="390"/>
      <c r="D25" s="390"/>
      <c r="E25" s="261"/>
    </row>
    <row r="26" spans="2:5" ht="15.75">
      <c r="B26" s="318"/>
      <c r="C26" s="313"/>
      <c r="D26" s="313"/>
      <c r="E26" s="171"/>
    </row>
    <row r="27" spans="2:5" ht="15.75">
      <c r="B27" s="318" t="s">
        <v>53</v>
      </c>
      <c r="C27" s="313">
        <f>2078+692</f>
        <v>2770</v>
      </c>
      <c r="D27" s="313">
        <v>2000</v>
      </c>
      <c r="E27" s="171"/>
    </row>
    <row r="28" spans="2:5" ht="15.75">
      <c r="B28" s="318" t="s">
        <v>74</v>
      </c>
      <c r="C28" s="313">
        <f>10094+6953</f>
        <v>17047</v>
      </c>
      <c r="D28" s="313">
        <v>27000</v>
      </c>
      <c r="E28" s="171">
        <v>27000</v>
      </c>
    </row>
    <row r="29" spans="2:5" ht="15.75">
      <c r="B29" s="317" t="s">
        <v>54</v>
      </c>
      <c r="C29" s="313">
        <f>900+900+3478+3156</f>
        <v>8434</v>
      </c>
      <c r="D29" s="313">
        <v>1000</v>
      </c>
      <c r="E29" s="171">
        <v>1000</v>
      </c>
    </row>
    <row r="30" spans="2:5" ht="15.75">
      <c r="B30" s="318" t="s">
        <v>975</v>
      </c>
      <c r="C30" s="313">
        <f>9245+47350</f>
        <v>56595</v>
      </c>
      <c r="D30" s="313">
        <v>50000</v>
      </c>
      <c r="E30" s="171">
        <v>60000</v>
      </c>
    </row>
    <row r="31" spans="2:7" ht="15.75">
      <c r="B31" s="318" t="s">
        <v>56</v>
      </c>
      <c r="C31" s="313">
        <f>9464+87532</f>
        <v>96996</v>
      </c>
      <c r="D31" s="313">
        <f>107921-9-28000</f>
        <v>79912</v>
      </c>
      <c r="E31" s="171">
        <f>237345-158140-1</f>
        <v>79204</v>
      </c>
      <c r="G31" s="156">
        <f>266289-28944</f>
        <v>237345</v>
      </c>
    </row>
    <row r="32" spans="2:5" ht="15.75">
      <c r="B32" s="318" t="s">
        <v>976</v>
      </c>
      <c r="C32" s="313"/>
      <c r="D32" s="313">
        <v>28000</v>
      </c>
      <c r="E32" s="171">
        <v>28000</v>
      </c>
    </row>
    <row r="33" spans="2:5" ht="15.75">
      <c r="B33" s="318" t="s">
        <v>977</v>
      </c>
      <c r="C33" s="313"/>
      <c r="D33" s="313">
        <v>18302</v>
      </c>
      <c r="E33" s="171">
        <v>18302</v>
      </c>
    </row>
    <row r="34" spans="2:5" ht="15.75">
      <c r="B34" s="318" t="s">
        <v>978</v>
      </c>
      <c r="C34" s="313">
        <f>2262+504</f>
        <v>2766</v>
      </c>
      <c r="D34" s="313">
        <v>14000</v>
      </c>
      <c r="E34" s="171">
        <v>14000</v>
      </c>
    </row>
    <row r="35" spans="2:5" ht="15.75">
      <c r="B35" s="318" t="s">
        <v>979</v>
      </c>
      <c r="C35" s="313">
        <f>6351+5551</f>
        <v>11902</v>
      </c>
      <c r="D35" s="313">
        <v>11000</v>
      </c>
      <c r="E35" s="171">
        <v>13000</v>
      </c>
    </row>
    <row r="36" spans="2:5" ht="15.75">
      <c r="B36" s="318" t="s">
        <v>980</v>
      </c>
      <c r="C36" s="313">
        <v>9101</v>
      </c>
      <c r="D36" s="313">
        <v>10000</v>
      </c>
      <c r="E36" s="171">
        <v>11000</v>
      </c>
    </row>
    <row r="37" spans="2:10" ht="15.75">
      <c r="B37" s="317" t="s">
        <v>982</v>
      </c>
      <c r="C37" s="313">
        <v>74</v>
      </c>
      <c r="D37" s="313"/>
      <c r="E37" s="171"/>
      <c r="G37" s="506" t="s">
        <v>731</v>
      </c>
      <c r="H37" s="71"/>
      <c r="I37" s="71"/>
      <c r="J37" s="714" t="e">
        <f>IF(#REF!=0,"",ROUND((#REF!+E50-G49)/inputOth!E11*1000,3)-G54)</f>
        <v>#REF!</v>
      </c>
    </row>
    <row r="38" spans="2:10" ht="15.75">
      <c r="B38" s="80" t="s">
        <v>55</v>
      </c>
      <c r="C38" s="313">
        <v>30615</v>
      </c>
      <c r="D38" s="313"/>
      <c r="E38" s="171"/>
      <c r="G38" s="715" t="str">
        <f>CONCATENATE("",E1," Tot Exp/Non-Appr Must Be:")</f>
        <v>2015 Tot Exp/Non-Appr Must Be:</v>
      </c>
      <c r="H38" s="537"/>
      <c r="I38" s="711"/>
      <c r="J38" s="716" t="e">
        <f>IF(#REF!&gt;0,IF(E47&lt;E24,IF(#REF!=G49,E47,((#REF!-G49)*(1-D49))+E24),E47+(#REF!-G49)),0)</f>
        <v>#REF!</v>
      </c>
    </row>
    <row r="39" spans="2:10" ht="15.75">
      <c r="B39" s="80" t="s">
        <v>732</v>
      </c>
      <c r="C39" s="392">
        <f>IF(C24*0.25&lt;C38,"Exceeds 25%","")</f>
      </c>
      <c r="D39" s="392">
        <f>IF(D24*0.25&lt;D38,"Exceeds 25%","")</f>
      </c>
      <c r="E39" s="323">
        <f>IF(E24*0.25+E50&lt;E38,"Exceeds 25%","")</f>
      </c>
      <c r="G39" s="717" t="s">
        <v>859</v>
      </c>
      <c r="H39" s="718"/>
      <c r="I39" s="718"/>
      <c r="J39" s="719" t="e">
        <f>IF(#REF!&gt;0,J38-E47,0)</f>
        <v>#REF!</v>
      </c>
    </row>
    <row r="40" spans="2:5" ht="15.75">
      <c r="B40" s="316" t="s">
        <v>227</v>
      </c>
      <c r="C40" s="313"/>
      <c r="D40" s="313">
        <v>9</v>
      </c>
      <c r="E40" s="182">
        <v>9</v>
      </c>
    </row>
    <row r="41" spans="2:10" ht="15" customHeight="1">
      <c r="B41" s="316" t="s">
        <v>225</v>
      </c>
      <c r="C41" s="313"/>
      <c r="D41" s="313"/>
      <c r="E41" s="171"/>
      <c r="G41" s="828" t="str">
        <f>CONCATENATE("Projected Carryover Into ",E1+1,"")</f>
        <v>Projected Carryover Into 2016</v>
      </c>
      <c r="H41" s="829"/>
      <c r="I41" s="829"/>
      <c r="J41" s="830"/>
    </row>
    <row r="42" spans="2:10" ht="15" customHeight="1">
      <c r="B42" s="316" t="s">
        <v>727</v>
      </c>
      <c r="C42" s="392">
        <f>IF(C43*0.1&lt;C41,"Exceed 10% Rule","")</f>
      </c>
      <c r="D42" s="392">
        <f>IF(D43*0.1&lt;D41,"Exceed 10% Rule","")</f>
      </c>
      <c r="E42" s="323">
        <f>IF(E43*0.1&lt;E41,"Exceed 10% Rule","")</f>
      </c>
      <c r="G42" s="505"/>
      <c r="H42" s="71"/>
      <c r="I42" s="71"/>
      <c r="J42" s="84"/>
    </row>
    <row r="43" spans="2:10" ht="15" customHeight="1">
      <c r="B43" s="98" t="s">
        <v>283</v>
      </c>
      <c r="C43" s="393">
        <f>SUM(C26:C41)</f>
        <v>236300</v>
      </c>
      <c r="D43" s="393">
        <f>SUM(D26:D41)</f>
        <v>241223</v>
      </c>
      <c r="E43" s="322">
        <f>SUM(E26:E38,E41)</f>
        <v>251506</v>
      </c>
      <c r="G43" s="541">
        <f>D44</f>
        <v>0</v>
      </c>
      <c r="H43" s="542" t="str">
        <f>CONCATENATE("",E1-1," Ending Cash Balance (est.)")</f>
        <v>2014 Ending Cash Balance (est.)</v>
      </c>
      <c r="I43" s="543"/>
      <c r="J43" s="84"/>
    </row>
    <row r="44" spans="2:10" ht="15" customHeight="1">
      <c r="B44" s="80" t="s">
        <v>68</v>
      </c>
      <c r="C44" s="394">
        <f>C24-C43</f>
        <v>0</v>
      </c>
      <c r="D44" s="394">
        <f>D24-D43</f>
        <v>0</v>
      </c>
      <c r="E44" s="315" t="s">
        <v>252</v>
      </c>
      <c r="G44" s="541">
        <f>E23</f>
        <v>14162</v>
      </c>
      <c r="H44" s="544" t="str">
        <f>CONCATENATE("",E1," Non-AV Receipts (est.)")</f>
        <v>2015 Non-AV Receipts (est.)</v>
      </c>
      <c r="I44" s="543"/>
      <c r="J44" s="84"/>
    </row>
    <row r="45" spans="2:11" ht="15.75">
      <c r="B45" s="117" t="str">
        <f>CONCATENATE("",$E$1-2,"/",$E$1-1," Budget Authority Amount:")</f>
        <v>2013/2014 Budget Authority Amount:</v>
      </c>
      <c r="C45" s="338">
        <f>inputOth!B86</f>
        <v>237907</v>
      </c>
      <c r="D45" s="83">
        <f>inputPrYr!D23</f>
        <v>241223</v>
      </c>
      <c r="E45" s="315" t="s">
        <v>252</v>
      </c>
      <c r="F45" s="324"/>
      <c r="G45" s="545">
        <f>IF(D49&gt;0,E48,E50)</f>
        <v>237344</v>
      </c>
      <c r="H45" s="544" t="str">
        <f>CONCATENATE("",E1," Ad Valorem Tax (est.)")</f>
        <v>2015 Ad Valorem Tax (est.)</v>
      </c>
      <c r="I45" s="543"/>
      <c r="J45" s="84"/>
      <c r="K45" s="720">
        <f>IF(G45=E50,"","Note: Does not include Delinquent Taxes")</f>
      </c>
    </row>
    <row r="46" spans="2:10" ht="15.75">
      <c r="B46" s="117"/>
      <c r="C46" s="822" t="s">
        <v>724</v>
      </c>
      <c r="D46" s="823"/>
      <c r="E46" s="171"/>
      <c r="F46" s="729">
        <f>IF(E43/0.95-E43&lt;E46,"Exceeds 5%","")</f>
      </c>
      <c r="G46" s="541">
        <f>SUM(G43:G45)</f>
        <v>251506</v>
      </c>
      <c r="H46" s="544" t="str">
        <f>CONCATENATE("Total ",E1," Resources Available")</f>
        <v>Total 2015 Resources Available</v>
      </c>
      <c r="I46" s="543"/>
      <c r="J46" s="84"/>
    </row>
    <row r="47" spans="2:10" ht="15.75">
      <c r="B47" s="499" t="str">
        <f>CONCATENATE(C72,"     ",D72)</f>
        <v>     </v>
      </c>
      <c r="C47" s="824" t="s">
        <v>725</v>
      </c>
      <c r="D47" s="825"/>
      <c r="E47" s="261">
        <f>E43+E46</f>
        <v>251506</v>
      </c>
      <c r="G47" s="546"/>
      <c r="H47" s="544"/>
      <c r="I47" s="544"/>
      <c r="J47" s="84"/>
    </row>
    <row r="48" spans="2:10" ht="15.75">
      <c r="B48" s="499" t="str">
        <f>CONCATENATE(C73,"     ",D73)</f>
        <v>     </v>
      </c>
      <c r="C48" s="502"/>
      <c r="D48" s="501" t="s">
        <v>285</v>
      </c>
      <c r="E48" s="182">
        <f>IF(E47-E24&gt;0,E47-E24,0)</f>
        <v>237344</v>
      </c>
      <c r="G48" s="545">
        <f>ROUND(C43*0.05+C43,0)</f>
        <v>248115</v>
      </c>
      <c r="H48" s="544" t="str">
        <f>CONCATENATE("Less ",E1-2," Expenditures + 5%")</f>
        <v>Less 2013 Expenditures + 5%</v>
      </c>
      <c r="I48" s="543"/>
      <c r="J48" s="84"/>
    </row>
    <row r="49" spans="2:10" ht="15.75">
      <c r="B49" s="211"/>
      <c r="C49" s="500" t="s">
        <v>726</v>
      </c>
      <c r="D49" s="713">
        <f>inputOth!$E$77</f>
        <v>0</v>
      </c>
      <c r="E49" s="261">
        <f>ROUND(IF(D49&gt;0,(E48*D49),0),0)</f>
        <v>0</v>
      </c>
      <c r="G49" s="547">
        <f>G46-G48</f>
        <v>3391</v>
      </c>
      <c r="H49" s="548" t="str">
        <f>CONCATENATE("Projected ",E1+1," Carryover (est.)")</f>
        <v>Projected 2016 Carryover (est.)</v>
      </c>
      <c r="I49" s="549"/>
      <c r="J49" s="550"/>
    </row>
    <row r="50" spans="2:5" ht="15.75">
      <c r="B50" s="65"/>
      <c r="C50" s="826" t="str">
        <f>CONCATENATE("Amount of  ",$E$1-1," Ad Valorem Tax")</f>
        <v>Amount of  2014 Ad Valorem Tax</v>
      </c>
      <c r="D50" s="827"/>
      <c r="E50" s="182">
        <f>E48+E49</f>
        <v>237344</v>
      </c>
    </row>
    <row r="51" spans="2:10" ht="15.75">
      <c r="B51" s="65"/>
      <c r="C51" s="65"/>
      <c r="D51" s="65"/>
      <c r="E51" s="65"/>
      <c r="G51" s="831" t="s">
        <v>860</v>
      </c>
      <c r="H51" s="832"/>
      <c r="I51" s="832"/>
      <c r="J51" s="833"/>
    </row>
    <row r="52" spans="2:10" ht="15.75">
      <c r="B52" s="65"/>
      <c r="C52" s="65"/>
      <c r="D52" s="65"/>
      <c r="E52" s="65"/>
      <c r="G52" s="721"/>
      <c r="H52" s="542"/>
      <c r="I52" s="712"/>
      <c r="J52" s="722"/>
    </row>
    <row r="53" spans="2:10" ht="15.75">
      <c r="B53" s="157" t="s">
        <v>287</v>
      </c>
      <c r="C53" s="205">
        <f>E1-2</f>
        <v>2013</v>
      </c>
      <c r="D53" s="65"/>
      <c r="E53" s="65"/>
      <c r="G53" s="723">
        <f>summ!H19</f>
        <v>15.846</v>
      </c>
      <c r="H53" s="542" t="str">
        <f>CONCATENATE("",E1," Fund Mill Rate")</f>
        <v>2015 Fund Mill Rate</v>
      </c>
      <c r="I53" s="712"/>
      <c r="J53" s="722"/>
    </row>
    <row r="54" spans="2:10" ht="15.75">
      <c r="B54" s="77" t="s">
        <v>288</v>
      </c>
      <c r="C54" s="79" t="s">
        <v>289</v>
      </c>
      <c r="D54" s="65"/>
      <c r="E54" s="65"/>
      <c r="G54" s="724">
        <f>summ!E19</f>
        <v>15.329</v>
      </c>
      <c r="H54" s="542" t="str">
        <f>CONCATENATE("",E1-1," Fund Mill Rate")</f>
        <v>2014 Fund Mill Rate</v>
      </c>
      <c r="I54" s="712"/>
      <c r="J54" s="722"/>
    </row>
    <row r="55" spans="2:10" ht="15.75">
      <c r="B55" s="105" t="s">
        <v>271</v>
      </c>
      <c r="C55" s="498">
        <v>118565</v>
      </c>
      <c r="D55" s="65"/>
      <c r="E55" s="65"/>
      <c r="G55" s="725">
        <f>summ!H22</f>
        <v>17.778</v>
      </c>
      <c r="H55" s="542" t="str">
        <f>CONCATENATE("Total ",E1," Mill Rate")</f>
        <v>Total 2015 Mill Rate</v>
      </c>
      <c r="I55" s="712"/>
      <c r="J55" s="722"/>
    </row>
    <row r="56" spans="2:10" ht="15.75">
      <c r="B56" s="105" t="s">
        <v>290</v>
      </c>
      <c r="C56" s="338"/>
      <c r="D56" s="65"/>
      <c r="E56" s="65"/>
      <c r="G56" s="724">
        <f>summ!E22</f>
        <v>17.448</v>
      </c>
      <c r="H56" s="726" t="str">
        <f>CONCATENATE("Total ",E1-1," Mill Rate")</f>
        <v>Total 2014 Mill Rate</v>
      </c>
      <c r="I56" s="727"/>
      <c r="J56" s="728"/>
    </row>
    <row r="57" spans="2:5" ht="15.75">
      <c r="B57" s="105" t="s">
        <v>291</v>
      </c>
      <c r="C57" s="493">
        <f>IF(C38&gt;0,C38,0)</f>
        <v>30615</v>
      </c>
      <c r="D57" s="329">
        <f>IF(C38&gt;(C24*0.25),"Exceeds 25% of Resources Available","")</f>
      </c>
      <c r="E57" s="65"/>
    </row>
    <row r="58" spans="2:9" ht="15.75">
      <c r="B58" s="105" t="s">
        <v>189</v>
      </c>
      <c r="C58" s="492">
        <f>IF(gen!C37&gt;0,gen!C37,0)</f>
        <v>0</v>
      </c>
      <c r="D58" s="834">
        <f>IF(AND(gen!C37&gt;0,gen!C39&gt;0),"Not Auth. Two General Transfers - Only One","")</f>
      </c>
      <c r="E58" s="65"/>
      <c r="G58" s="740" t="s">
        <v>937</v>
      </c>
      <c r="H58" s="739"/>
      <c r="I58" s="738" t="str">
        <f>cert!E41</f>
        <v>No</v>
      </c>
    </row>
    <row r="59" spans="2:5" ht="15.75">
      <c r="B59" s="105" t="s">
        <v>190</v>
      </c>
      <c r="C59" s="493">
        <f>IF(gen!C39&gt;0,gen!C39,0)</f>
        <v>0</v>
      </c>
      <c r="D59" s="835"/>
      <c r="E59" s="65"/>
    </row>
    <row r="60" spans="2:5" ht="15.75">
      <c r="B60" s="173"/>
      <c r="C60" s="498"/>
      <c r="D60" s="65"/>
      <c r="E60" s="65"/>
    </row>
    <row r="61" spans="2:5" ht="15.75">
      <c r="B61" s="173" t="s">
        <v>279</v>
      </c>
      <c r="C61" s="498"/>
      <c r="D61" s="65"/>
      <c r="E61" s="65"/>
    </row>
    <row r="62" spans="2:5" ht="15.75">
      <c r="B62" s="173" t="s">
        <v>278</v>
      </c>
      <c r="C62" s="498"/>
      <c r="D62" s="65"/>
      <c r="E62" s="65"/>
    </row>
    <row r="63" spans="2:5" ht="15.75">
      <c r="B63" s="330" t="s">
        <v>281</v>
      </c>
      <c r="C63" s="491">
        <f>SUM(C55,C57:C62)</f>
        <v>149180</v>
      </c>
      <c r="D63" s="65"/>
      <c r="E63" s="65"/>
    </row>
    <row r="64" spans="2:5" ht="15.75">
      <c r="B64" s="330" t="s">
        <v>283</v>
      </c>
      <c r="C64" s="498">
        <v>18302</v>
      </c>
      <c r="D64" s="65"/>
      <c r="E64" s="65"/>
    </row>
    <row r="65" spans="2:5" ht="15.75">
      <c r="B65" s="330" t="s">
        <v>284</v>
      </c>
      <c r="C65" s="491">
        <f>C63-C64</f>
        <v>130878</v>
      </c>
      <c r="D65" s="65"/>
      <c r="E65" s="65"/>
    </row>
    <row r="66" spans="2:5" ht="15.75">
      <c r="B66" s="65"/>
      <c r="C66" s="65"/>
      <c r="D66" s="65"/>
      <c r="E66" s="65"/>
    </row>
    <row r="67" spans="2:5" ht="15.75">
      <c r="B67" s="211" t="s">
        <v>266</v>
      </c>
      <c r="C67" s="332">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mergeCells count="6">
    <mergeCell ref="D58:D59"/>
    <mergeCell ref="C46:D46"/>
    <mergeCell ref="C47:D47"/>
    <mergeCell ref="C50:D50"/>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D44">
    <cfRule type="cellIs" priority="1" dxfId="0" operator="lessThan" stopIfTrue="1">
      <formula>0</formula>
    </cfRule>
  </conditionalFormatting>
  <conditionalFormatting sqref="E21">
    <cfRule type="cellIs" priority="23" dxfId="173" operator="greaterThan" stopIfTrue="1">
      <formula>$E$23*0.1+$E$50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1"/>
  <sheetViews>
    <sheetView zoomScalePageLayoutView="0" workbookViewId="0" topLeftCell="A1">
      <selection activeCell="E24" sqref="E2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Walnut Township</v>
      </c>
      <c r="C1" s="65"/>
      <c r="D1" s="65"/>
      <c r="E1" s="225">
        <f>inputPrYr!D9</f>
        <v>2015</v>
      </c>
    </row>
    <row r="2" spans="2:5" ht="15.75">
      <c r="B2" s="540" t="s">
        <v>763</v>
      </c>
      <c r="C2" s="65"/>
      <c r="D2" s="208"/>
      <c r="E2" s="334"/>
    </row>
    <row r="3" spans="2:5" ht="15.75">
      <c r="B3" s="65"/>
      <c r="C3" s="70"/>
      <c r="D3" s="70"/>
      <c r="E3" s="70"/>
    </row>
    <row r="4" spans="2:5" ht="15.75">
      <c r="B4" s="72" t="s">
        <v>267</v>
      </c>
      <c r="C4" s="388" t="s">
        <v>268</v>
      </c>
      <c r="D4" s="391" t="s">
        <v>269</v>
      </c>
      <c r="E4" s="74" t="s">
        <v>270</v>
      </c>
    </row>
    <row r="5" spans="2:5" ht="15.75">
      <c r="B5" s="484" t="str">
        <f>inputPrYr!B26</f>
        <v>Fire Protection</v>
      </c>
      <c r="C5" s="389" t="str">
        <f>gen!C5</f>
        <v>Actual for 2013</v>
      </c>
      <c r="D5" s="389" t="str">
        <f>gen!D5</f>
        <v>Estimate for 2014</v>
      </c>
      <c r="E5" s="79" t="str">
        <f>gen!E5</f>
        <v>Year for 2015</v>
      </c>
    </row>
    <row r="6" spans="2:5" ht="15.75">
      <c r="B6" s="80" t="s">
        <v>67</v>
      </c>
      <c r="C6" s="313">
        <v>0</v>
      </c>
      <c r="D6" s="390">
        <f>C31</f>
        <v>0</v>
      </c>
      <c r="E6" s="261">
        <f>D31</f>
        <v>0</v>
      </c>
    </row>
    <row r="7" spans="2:5" ht="15.75">
      <c r="B7" s="80" t="s">
        <v>69</v>
      </c>
      <c r="C7" s="390"/>
      <c r="D7" s="390"/>
      <c r="E7" s="315"/>
    </row>
    <row r="8" spans="2:5" ht="15.75">
      <c r="B8" s="80" t="s">
        <v>273</v>
      </c>
      <c r="C8" s="313">
        <v>25846</v>
      </c>
      <c r="D8" s="390">
        <f>IF(inputPrYr!H19&gt;0,inputPrYr!G26,inputPrYr!E26)</f>
        <v>24951</v>
      </c>
      <c r="E8" s="315" t="s">
        <v>252</v>
      </c>
    </row>
    <row r="9" spans="2:5" ht="15.75">
      <c r="B9" s="80" t="s">
        <v>274</v>
      </c>
      <c r="C9" s="313"/>
      <c r="D9" s="313">
        <v>500</v>
      </c>
      <c r="E9" s="171">
        <v>500</v>
      </c>
    </row>
    <row r="10" spans="2:5" ht="15.75">
      <c r="B10" s="80" t="s">
        <v>275</v>
      </c>
      <c r="C10" s="313"/>
      <c r="D10" s="313">
        <v>886</v>
      </c>
      <c r="E10" s="261">
        <f>mvalloc!G17</f>
        <v>892</v>
      </c>
    </row>
    <row r="11" spans="2:5" ht="15.75">
      <c r="B11" s="80" t="s">
        <v>276</v>
      </c>
      <c r="C11" s="313"/>
      <c r="D11" s="313">
        <v>24</v>
      </c>
      <c r="E11" s="261">
        <f>mvalloc!I17</f>
        <v>18</v>
      </c>
    </row>
    <row r="12" spans="2:5" ht="15.75">
      <c r="B12" s="80" t="s">
        <v>51</v>
      </c>
      <c r="C12" s="313"/>
      <c r="D12" s="313">
        <v>140</v>
      </c>
      <c r="E12" s="261">
        <f>mvalloc!J17</f>
        <v>147</v>
      </c>
    </row>
    <row r="13" spans="2:5" ht="15.75">
      <c r="B13" s="317"/>
      <c r="C13" s="313"/>
      <c r="D13" s="313"/>
      <c r="E13" s="171"/>
    </row>
    <row r="14" spans="2:5" ht="15.75">
      <c r="B14" s="317" t="s">
        <v>970</v>
      </c>
      <c r="C14" s="313">
        <v>155</v>
      </c>
      <c r="D14" s="313"/>
      <c r="E14" s="171"/>
    </row>
    <row r="15" spans="2:5" ht="15.75">
      <c r="B15" s="318"/>
      <c r="C15" s="313"/>
      <c r="D15" s="313"/>
      <c r="E15" s="171"/>
    </row>
    <row r="16" spans="2:5" ht="15.75">
      <c r="B16" s="318" t="s">
        <v>279</v>
      </c>
      <c r="C16" s="313"/>
      <c r="D16" s="313"/>
      <c r="E16" s="171"/>
    </row>
    <row r="17" spans="2:5" ht="15.75">
      <c r="B17" s="319" t="s">
        <v>225</v>
      </c>
      <c r="C17" s="313"/>
      <c r="D17" s="313"/>
      <c r="E17" s="171"/>
    </row>
    <row r="18" spans="2:5" ht="15.75">
      <c r="B18" s="319" t="s">
        <v>226</v>
      </c>
      <c r="C18" s="392">
        <f>IF(C19*0.1&lt;C17,"Exceed 10% Rule","")</f>
      </c>
      <c r="D18" s="392">
        <f>IF(D19*0.1&lt;D17,"Exceed 10% Rule","")</f>
      </c>
      <c r="E18" s="323">
        <f>IF(E19*0.1+E37&lt;E17,"Exceed 10% Rule","")</f>
      </c>
    </row>
    <row r="19" spans="2:5" ht="15.75">
      <c r="B19" s="321" t="s">
        <v>280</v>
      </c>
      <c r="C19" s="393">
        <f>SUM(C8:C17)</f>
        <v>26001</v>
      </c>
      <c r="D19" s="393">
        <f>SUM(D8:D17)</f>
        <v>26501</v>
      </c>
      <c r="E19" s="322">
        <f>SUM(E8:E17)</f>
        <v>1557</v>
      </c>
    </row>
    <row r="20" spans="2:5" ht="15.75">
      <c r="B20" s="98" t="s">
        <v>281</v>
      </c>
      <c r="C20" s="393">
        <f>C19+C6</f>
        <v>26001</v>
      </c>
      <c r="D20" s="393">
        <f>D19+D6</f>
        <v>26501</v>
      </c>
      <c r="E20" s="322">
        <f>E19+E6</f>
        <v>1557</v>
      </c>
    </row>
    <row r="21" spans="2:5" ht="15.75">
      <c r="B21" s="80" t="s">
        <v>282</v>
      </c>
      <c r="C21" s="390"/>
      <c r="D21" s="390"/>
      <c r="E21" s="261"/>
    </row>
    <row r="22" spans="2:5" ht="15.75">
      <c r="B22" s="318"/>
      <c r="C22" s="313"/>
      <c r="D22" s="313"/>
      <c r="E22" s="171"/>
    </row>
    <row r="23" spans="2:11" ht="15.75">
      <c r="B23" s="318" t="s">
        <v>971</v>
      </c>
      <c r="C23" s="313">
        <v>26001</v>
      </c>
      <c r="D23" s="313">
        <v>26000</v>
      </c>
      <c r="E23" s="171">
        <v>30000</v>
      </c>
      <c r="G23" s="836" t="str">
        <f>CONCATENATE("Desired Carryover Into ",E1+1,"")</f>
        <v>Desired Carryover Into 2016</v>
      </c>
      <c r="H23" s="837"/>
      <c r="I23" s="837"/>
      <c r="J23" s="838"/>
      <c r="K23" s="610"/>
    </row>
    <row r="24" spans="2:11" ht="15.75">
      <c r="B24" s="318"/>
      <c r="C24" s="313"/>
      <c r="D24" s="313"/>
      <c r="E24" s="171"/>
      <c r="G24" s="642"/>
      <c r="H24" s="643"/>
      <c r="I24" s="644"/>
      <c r="J24" s="645"/>
      <c r="K24" s="610"/>
    </row>
    <row r="25" spans="2:11" ht="15.75">
      <c r="B25" s="318"/>
      <c r="C25" s="313"/>
      <c r="D25" s="313"/>
      <c r="E25" s="171"/>
      <c r="G25" s="646" t="s">
        <v>730</v>
      </c>
      <c r="H25" s="644"/>
      <c r="I25" s="644"/>
      <c r="J25" s="647">
        <v>0</v>
      </c>
      <c r="K25" s="610"/>
    </row>
    <row r="26" spans="2:11" ht="15.75">
      <c r="B26" s="318"/>
      <c r="C26" s="313"/>
      <c r="D26" s="313"/>
      <c r="E26" s="171"/>
      <c r="G26" s="653" t="s">
        <v>859</v>
      </c>
      <c r="H26" s="654"/>
      <c r="I26" s="654"/>
      <c r="J26" s="655">
        <f>IF(J25&gt;0,#REF!-E34,0)</f>
        <v>0</v>
      </c>
      <c r="K26" s="610"/>
    </row>
    <row r="27" spans="2:11" ht="15.75">
      <c r="B27" s="316" t="s">
        <v>227</v>
      </c>
      <c r="C27" s="313"/>
      <c r="D27" s="313">
        <v>1</v>
      </c>
      <c r="E27" s="182">
        <v>1</v>
      </c>
      <c r="G27" s="610"/>
      <c r="H27" s="610"/>
      <c r="I27" s="610"/>
      <c r="J27" s="610"/>
      <c r="K27" s="610"/>
    </row>
    <row r="28" spans="2:11" ht="15.75">
      <c r="B28" s="316" t="s">
        <v>225</v>
      </c>
      <c r="C28" s="313"/>
      <c r="D28" s="313">
        <v>500</v>
      </c>
      <c r="E28" s="171">
        <v>500</v>
      </c>
      <c r="G28" s="836" t="str">
        <f>CONCATENATE("Projected Carryover Into ",E1+1,"")</f>
        <v>Projected Carryover Into 2016</v>
      </c>
      <c r="H28" s="839"/>
      <c r="I28" s="839"/>
      <c r="J28" s="840"/>
      <c r="K28" s="610"/>
    </row>
    <row r="29" spans="2:11" ht="15.75">
      <c r="B29" s="316" t="s">
        <v>727</v>
      </c>
      <c r="C29" s="392">
        <f>IF(C30*0.1&lt;C28,"Exceed 10% Rule","")</f>
      </c>
      <c r="D29" s="392">
        <f>IF(D30*0.1&lt;D28,"Exceed 10% Rule","")</f>
      </c>
      <c r="E29" s="323">
        <f>IF(E30*0.1&lt;E28,"Exceed 10% Rule","")</f>
      </c>
      <c r="G29" s="642"/>
      <c r="H29" s="644"/>
      <c r="I29" s="644"/>
      <c r="J29" s="657"/>
      <c r="K29" s="610"/>
    </row>
    <row r="30" spans="2:11" ht="15.75">
      <c r="B30" s="98" t="s">
        <v>283</v>
      </c>
      <c r="C30" s="393">
        <f>SUM(C22:C28)</f>
        <v>26001</v>
      </c>
      <c r="D30" s="393">
        <f>SUM(D22:D28)</f>
        <v>26501</v>
      </c>
      <c r="E30" s="322">
        <f>SUM(E22:E28)</f>
        <v>30501</v>
      </c>
      <c r="G30" s="660">
        <f>D31</f>
        <v>0</v>
      </c>
      <c r="H30" s="661" t="str">
        <f>CONCATENATE("",E1-1," Ending Cash Balance (est.)")</f>
        <v>2014 Ending Cash Balance (est.)</v>
      </c>
      <c r="I30" s="662"/>
      <c r="J30" s="657"/>
      <c r="K30" s="610"/>
    </row>
    <row r="31" spans="2:11" ht="15.75">
      <c r="B31" s="80" t="s">
        <v>68</v>
      </c>
      <c r="C31" s="394">
        <f>C20-C30</f>
        <v>0</v>
      </c>
      <c r="D31" s="394">
        <f>D20-D30</f>
        <v>0</v>
      </c>
      <c r="E31" s="315" t="s">
        <v>252</v>
      </c>
      <c r="G31" s="660">
        <f>E19</f>
        <v>1557</v>
      </c>
      <c r="H31" s="644" t="str">
        <f>CONCATENATE("",E1," Non-AV Receipts (est.)")</f>
        <v>2015 Non-AV Receipts (est.)</v>
      </c>
      <c r="I31" s="662"/>
      <c r="J31" s="657"/>
      <c r="K31" s="610"/>
    </row>
    <row r="32" spans="2:11" ht="15.75">
      <c r="B32" s="117" t="str">
        <f>CONCATENATE("",$E$1-2,"/",$E$1-1," Budget Authority Amount:")</f>
        <v>2013/2014 Budget Authority Amount:</v>
      </c>
      <c r="C32" s="338">
        <f>inputOth!$B89</f>
        <v>26001</v>
      </c>
      <c r="D32" s="83">
        <f>inputPrYr!$D26</f>
        <v>26501</v>
      </c>
      <c r="E32" s="315" t="s">
        <v>252</v>
      </c>
      <c r="F32" s="324"/>
      <c r="G32" s="669">
        <f>IF(E36&gt;0,E35,E37)</f>
        <v>28944</v>
      </c>
      <c r="H32" s="644" t="str">
        <f>CONCATENATE("",E1," Ad Valorem Tax (est.)")</f>
        <v>2015 Ad Valorem Tax (est.)</v>
      </c>
      <c r="I32" s="662"/>
      <c r="J32" s="657"/>
      <c r="K32" s="670">
        <f>IF(G32=E37,"","Note: Does not include Delinquent Taxes")</f>
      </c>
    </row>
    <row r="33" spans="2:11" ht="15.75">
      <c r="B33" s="117"/>
      <c r="C33" s="822" t="s">
        <v>724</v>
      </c>
      <c r="D33" s="823"/>
      <c r="E33" s="171"/>
      <c r="F33" s="729">
        <f>IF(E30/0.95-E30&lt;E33,"Exceeds 5%","")</f>
      </c>
      <c r="G33" s="660">
        <f>SUM(G30:G32)</f>
        <v>30501</v>
      </c>
      <c r="H33" s="644" t="str">
        <f>CONCATENATE("Total ",E1," Resources Available")</f>
        <v>Total 2015 Resources Available</v>
      </c>
      <c r="I33" s="662"/>
      <c r="J33" s="657"/>
      <c r="K33" s="610"/>
    </row>
    <row r="34" spans="2:11" ht="15.75">
      <c r="B34" s="499" t="str">
        <f>CONCATENATE(C74,"     ",D74)</f>
        <v>     </v>
      </c>
      <c r="C34" s="824" t="s">
        <v>725</v>
      </c>
      <c r="D34" s="825"/>
      <c r="E34" s="261">
        <f>E30+E33</f>
        <v>30501</v>
      </c>
      <c r="G34" s="673"/>
      <c r="H34" s="644"/>
      <c r="I34" s="644"/>
      <c r="J34" s="657"/>
      <c r="K34" s="610"/>
    </row>
    <row r="35" spans="2:11" ht="15.75">
      <c r="B35" s="499" t="str">
        <f>CONCATENATE(C75,"     ",D75)</f>
        <v>     </v>
      </c>
      <c r="C35" s="502"/>
      <c r="D35" s="501" t="s">
        <v>285</v>
      </c>
      <c r="E35" s="182">
        <f>IF(E34-E20&gt;0,E34-E20,0)</f>
        <v>28944</v>
      </c>
      <c r="G35" s="669">
        <f>C30*0.05+C30</f>
        <v>27301.05</v>
      </c>
      <c r="H35" s="644" t="str">
        <f>CONCATENATE("Less ",E1-2," Expenditures + 5%")</f>
        <v>Less 2013 Expenditures + 5%</v>
      </c>
      <c r="I35" s="644"/>
      <c r="J35" s="657"/>
      <c r="K35" s="610"/>
    </row>
    <row r="36" spans="2:11" ht="15.75">
      <c r="B36" s="211"/>
      <c r="C36" s="500" t="s">
        <v>726</v>
      </c>
      <c r="D36" s="713">
        <f>inputOth!$E$77</f>
        <v>0</v>
      </c>
      <c r="E36" s="261">
        <f>ROUND(IF(D36&gt;0,(E35*D36),0),0)</f>
        <v>0</v>
      </c>
      <c r="G36" s="677">
        <f>G33-G35</f>
        <v>3199.9500000000007</v>
      </c>
      <c r="H36" s="678" t="str">
        <f>CONCATENATE("Projected ",E1+1," carryover (est.)")</f>
        <v>Projected 2016 carryover (est.)</v>
      </c>
      <c r="I36" s="679"/>
      <c r="J36" s="680"/>
      <c r="K36" s="610"/>
    </row>
    <row r="37" spans="2:11" ht="15.75">
      <c r="B37" s="65"/>
      <c r="C37" s="826" t="str">
        <f>CONCATENATE("Amount of  ",$E$1-1," Ad Valorem Tax")</f>
        <v>Amount of  2014 Ad Valorem Tax</v>
      </c>
      <c r="D37" s="827"/>
      <c r="E37" s="182">
        <f>E35+E36</f>
        <v>28944</v>
      </c>
      <c r="G37" s="610"/>
      <c r="H37" s="610"/>
      <c r="I37" s="610"/>
      <c r="J37" s="610"/>
      <c r="K37" s="610"/>
    </row>
    <row r="38" spans="2:11" ht="15.75">
      <c r="B38" s="65"/>
      <c r="C38" s="556"/>
      <c r="D38" s="65"/>
      <c r="E38" s="65"/>
      <c r="G38" s="841" t="s">
        <v>860</v>
      </c>
      <c r="H38" s="842"/>
      <c r="I38" s="842"/>
      <c r="J38" s="843"/>
      <c r="K38" s="610"/>
    </row>
    <row r="39" spans="2:11" ht="15.75">
      <c r="B39" s="65"/>
      <c r="C39" s="556"/>
      <c r="D39" s="65"/>
      <c r="E39" s="65"/>
      <c r="G39" s="684"/>
      <c r="H39" s="661"/>
      <c r="I39" s="685"/>
      <c r="J39" s="686"/>
      <c r="K39" s="610"/>
    </row>
    <row r="40" spans="2:11" ht="15.75">
      <c r="B40" s="72" t="s">
        <v>267</v>
      </c>
      <c r="C40" s="70"/>
      <c r="D40" s="70"/>
      <c r="E40" s="70"/>
      <c r="G40" s="687">
        <f>summ!H20</f>
        <v>1.932</v>
      </c>
      <c r="H40" s="661" t="str">
        <f>CONCATENATE("",E1," Fund Mill Rate")</f>
        <v>2015 Fund Mill Rate</v>
      </c>
      <c r="I40" s="685"/>
      <c r="J40" s="686"/>
      <c r="K40" s="610"/>
    </row>
    <row r="41" spans="2:11" ht="15.75">
      <c r="B41" s="65"/>
      <c r="C41" s="388" t="s">
        <v>268</v>
      </c>
      <c r="D41" s="391" t="s">
        <v>269</v>
      </c>
      <c r="E41" s="74" t="s">
        <v>270</v>
      </c>
      <c r="G41" s="688">
        <f>summ!E20</f>
        <v>1.682</v>
      </c>
      <c r="H41" s="661" t="str">
        <f>CONCATENATE("",E1-1," Fund Mill Rate")</f>
        <v>2014 Fund Mill Rate</v>
      </c>
      <c r="I41" s="685"/>
      <c r="J41" s="686"/>
      <c r="K41" s="610"/>
    </row>
    <row r="42" spans="2:11" ht="15.75">
      <c r="B42" s="485">
        <f>inputPrYr!B27</f>
        <v>0</v>
      </c>
      <c r="C42" s="389" t="str">
        <f>C5</f>
        <v>Actual for 2013</v>
      </c>
      <c r="D42" s="389" t="str">
        <f>D5</f>
        <v>Estimate for 2014</v>
      </c>
      <c r="E42" s="79" t="str">
        <f>E5</f>
        <v>Year for 2015</v>
      </c>
      <c r="G42" s="690">
        <f>summ!H22</f>
        <v>17.778</v>
      </c>
      <c r="H42" s="661" t="str">
        <f>CONCATENATE("Total ",E1," Mill Rate")</f>
        <v>Total 2015 Mill Rate</v>
      </c>
      <c r="I42" s="685"/>
      <c r="J42" s="686"/>
      <c r="K42" s="610"/>
    </row>
    <row r="43" spans="2:11" ht="15.75">
      <c r="B43" s="80" t="s">
        <v>67</v>
      </c>
      <c r="C43" s="313"/>
      <c r="D43" s="390">
        <f>C63</f>
        <v>0</v>
      </c>
      <c r="E43" s="261">
        <f>D63</f>
        <v>0</v>
      </c>
      <c r="G43" s="688">
        <f>summ!E22</f>
        <v>17.448</v>
      </c>
      <c r="H43" s="691" t="str">
        <f>CONCATENATE("Total ",E1-1," Mill Rate")</f>
        <v>Total 2014 Mill Rate</v>
      </c>
      <c r="I43" s="692"/>
      <c r="J43" s="693"/>
      <c r="K43" s="610"/>
    </row>
    <row r="44" spans="2:11" ht="15.75">
      <c r="B44" s="80" t="s">
        <v>69</v>
      </c>
      <c r="C44" s="390"/>
      <c r="D44" s="390"/>
      <c r="E44" s="315"/>
      <c r="G44" s="610"/>
      <c r="H44" s="610"/>
      <c r="I44" s="610"/>
      <c r="J44" s="610"/>
      <c r="K44" s="610"/>
    </row>
    <row r="45" spans="2:11" ht="15.75">
      <c r="B45" s="80" t="s">
        <v>273</v>
      </c>
      <c r="C45" s="313"/>
      <c r="D45" s="390">
        <f>IF(inputPrYr!H19&gt;0,inputPrYr!G27,inputPrYr!E27)</f>
        <v>0</v>
      </c>
      <c r="E45" s="315" t="s">
        <v>252</v>
      </c>
      <c r="G45" s="740" t="s">
        <v>937</v>
      </c>
      <c r="H45" s="739"/>
      <c r="I45" s="738" t="str">
        <f>cert!E41</f>
        <v>No</v>
      </c>
      <c r="J45" s="610"/>
      <c r="K45" s="610"/>
    </row>
    <row r="46" spans="2:11" ht="15.75">
      <c r="B46" s="80" t="s">
        <v>274</v>
      </c>
      <c r="C46" s="313"/>
      <c r="D46" s="313"/>
      <c r="E46" s="171"/>
      <c r="G46" s="610"/>
      <c r="H46" s="610"/>
      <c r="I46" s="610"/>
      <c r="J46" s="610"/>
      <c r="K46" s="610"/>
    </row>
    <row r="47" spans="2:11" ht="15.75">
      <c r="B47" s="80" t="s">
        <v>275</v>
      </c>
      <c r="C47" s="313"/>
      <c r="D47" s="313"/>
      <c r="E47" s="261">
        <f>mvalloc!G18</f>
        <v>0</v>
      </c>
      <c r="G47" s="610"/>
      <c r="H47" s="610"/>
      <c r="I47" s="610"/>
      <c r="J47" s="610"/>
      <c r="K47" s="610"/>
    </row>
    <row r="48" spans="2:11" ht="15.75">
      <c r="B48" s="80" t="s">
        <v>276</v>
      </c>
      <c r="C48" s="313"/>
      <c r="D48" s="313"/>
      <c r="E48" s="261">
        <f>mvalloc!I18</f>
        <v>0</v>
      </c>
      <c r="G48" s="610"/>
      <c r="H48" s="610"/>
      <c r="I48" s="610"/>
      <c r="J48" s="610"/>
      <c r="K48" s="610"/>
    </row>
    <row r="49" spans="2:11" ht="15.75">
      <c r="B49" s="80" t="s">
        <v>51</v>
      </c>
      <c r="C49" s="313"/>
      <c r="D49" s="313"/>
      <c r="E49" s="261">
        <f>mvalloc!J18</f>
        <v>0</v>
      </c>
      <c r="G49" s="610"/>
      <c r="H49" s="610"/>
      <c r="I49" s="610"/>
      <c r="J49" s="610"/>
      <c r="K49" s="610"/>
    </row>
    <row r="50" spans="2:11" ht="15.75">
      <c r="B50" s="318"/>
      <c r="C50" s="313"/>
      <c r="D50" s="313"/>
      <c r="E50" s="171"/>
      <c r="G50" s="610"/>
      <c r="H50" s="610"/>
      <c r="I50" s="610"/>
      <c r="J50" s="610"/>
      <c r="K50" s="610"/>
    </row>
    <row r="51" spans="2:11" ht="15.75">
      <c r="B51" s="318" t="s">
        <v>279</v>
      </c>
      <c r="C51" s="313"/>
      <c r="D51" s="313"/>
      <c r="E51" s="171"/>
      <c r="G51" s="610"/>
      <c r="H51" s="610"/>
      <c r="I51" s="610"/>
      <c r="J51" s="610"/>
      <c r="K51" s="610"/>
    </row>
    <row r="52" spans="2:11" ht="15.75">
      <c r="B52" s="319" t="s">
        <v>225</v>
      </c>
      <c r="C52" s="313"/>
      <c r="D52" s="313"/>
      <c r="E52" s="171"/>
      <c r="G52" s="610"/>
      <c r="H52" s="610"/>
      <c r="I52" s="610"/>
      <c r="J52" s="610"/>
      <c r="K52" s="610"/>
    </row>
    <row r="53" spans="2:11" ht="15.75">
      <c r="B53" s="319" t="s">
        <v>226</v>
      </c>
      <c r="C53" s="392">
        <f>IF(C54*0.1&lt;C52,"Exceed 10% Rule","")</f>
      </c>
      <c r="D53" s="392">
        <f>IF(D54*0.1&lt;D52,"Exceed 10% Rule","")</f>
      </c>
      <c r="E53" s="323">
        <f>IF(E54*0.1+E69&lt;E52,"Exceed 10% Rule","")</f>
      </c>
      <c r="G53" s="610"/>
      <c r="H53" s="610"/>
      <c r="I53" s="610"/>
      <c r="J53" s="610"/>
      <c r="K53" s="610"/>
    </row>
    <row r="54" spans="2:11" ht="15.75">
      <c r="B54" s="321" t="s">
        <v>280</v>
      </c>
      <c r="C54" s="393">
        <f>SUM(C45:C52)</f>
        <v>0</v>
      </c>
      <c r="D54" s="393">
        <f>SUM(D45:D52)</f>
        <v>0</v>
      </c>
      <c r="E54" s="322">
        <f>SUM(E45:E52)</f>
        <v>0</v>
      </c>
      <c r="G54" s="610"/>
      <c r="H54" s="610"/>
      <c r="I54" s="610"/>
      <c r="J54" s="610"/>
      <c r="K54" s="610"/>
    </row>
    <row r="55" spans="2:11" ht="15.75">
      <c r="B55" s="98" t="s">
        <v>281</v>
      </c>
      <c r="C55" s="393">
        <f>C54+C43</f>
        <v>0</v>
      </c>
      <c r="D55" s="393">
        <f>D54+D43</f>
        <v>0</v>
      </c>
      <c r="E55" s="322">
        <f>E54+E43</f>
        <v>0</v>
      </c>
      <c r="G55" s="610"/>
      <c r="H55" s="610"/>
      <c r="I55" s="610"/>
      <c r="J55" s="610"/>
      <c r="K55" s="610"/>
    </row>
    <row r="56" spans="2:11" ht="15.75">
      <c r="B56" s="80" t="s">
        <v>282</v>
      </c>
      <c r="C56" s="390"/>
      <c r="D56" s="390"/>
      <c r="E56" s="261"/>
      <c r="G56" s="610"/>
      <c r="H56" s="610"/>
      <c r="I56" s="610"/>
      <c r="J56" s="610"/>
      <c r="K56" s="610"/>
    </row>
    <row r="57" spans="2:11" ht="15.75">
      <c r="B57" s="318"/>
      <c r="C57" s="313"/>
      <c r="D57" s="313"/>
      <c r="E57" s="171"/>
      <c r="G57" s="610"/>
      <c r="H57" s="610"/>
      <c r="I57" s="610"/>
      <c r="J57" s="610"/>
      <c r="K57" s="610"/>
    </row>
    <row r="58" spans="2:11" ht="15.75">
      <c r="B58" s="318"/>
      <c r="C58" s="313"/>
      <c r="D58" s="313"/>
      <c r="E58" s="171"/>
      <c r="G58" s="653" t="s">
        <v>859</v>
      </c>
      <c r="H58" s="654"/>
      <c r="I58" s="654"/>
      <c r="J58" s="655" t="e">
        <f>IF(#REF!&gt;0,#REF!-E66,0)</f>
        <v>#REF!</v>
      </c>
      <c r="K58" s="610"/>
    </row>
    <row r="59" spans="2:11" ht="15.75">
      <c r="B59" s="316" t="s">
        <v>227</v>
      </c>
      <c r="C59" s="313"/>
      <c r="D59" s="313"/>
      <c r="E59" s="182">
        <f>nhood!E13</f>
      </c>
      <c r="G59" s="610"/>
      <c r="H59" s="610"/>
      <c r="I59" s="610"/>
      <c r="J59" s="610"/>
      <c r="K59" s="610"/>
    </row>
    <row r="60" spans="2:11" ht="15" customHeight="1">
      <c r="B60" s="316" t="s">
        <v>225</v>
      </c>
      <c r="C60" s="313"/>
      <c r="D60" s="313"/>
      <c r="E60" s="171"/>
      <c r="G60" s="836" t="str">
        <f>CONCATENATE("Projected Carryover Into ",E1+1,"")</f>
        <v>Projected Carryover Into 2016</v>
      </c>
      <c r="H60" s="844"/>
      <c r="I60" s="844"/>
      <c r="J60" s="840"/>
      <c r="K60" s="610"/>
    </row>
    <row r="61" spans="2:11" ht="15" customHeight="1">
      <c r="B61" s="316" t="s">
        <v>727</v>
      </c>
      <c r="C61" s="392">
        <f>IF(C62*0.1&lt;C60,"Exceed 10% Rule","")</f>
      </c>
      <c r="D61" s="392">
        <f>IF(D62*0.1&lt;D60,"Exceed 10% Rule","")</f>
      </c>
      <c r="E61" s="323">
        <f>IF(E62*0.1&lt;E60,"Exceed 10% Rule","")</f>
      </c>
      <c r="G61" s="696"/>
      <c r="H61" s="643"/>
      <c r="I61" s="643"/>
      <c r="J61" s="697"/>
      <c r="K61" s="610"/>
    </row>
    <row r="62" spans="2:11" ht="15" customHeight="1">
      <c r="B62" s="98" t="s">
        <v>283</v>
      </c>
      <c r="C62" s="393">
        <f>SUM(C57:C60)</f>
        <v>0</v>
      </c>
      <c r="D62" s="393">
        <f>SUM(D57:D60)</f>
        <v>0</v>
      </c>
      <c r="E62" s="322">
        <f>SUM(E57:E60)</f>
        <v>0</v>
      </c>
      <c r="G62" s="660">
        <f>D63</f>
        <v>0</v>
      </c>
      <c r="H62" s="661" t="str">
        <f>CONCATENATE("",E1-1," Ending Cash Balance (est.)")</f>
        <v>2014 Ending Cash Balance (est.)</v>
      </c>
      <c r="I62" s="662"/>
      <c r="J62" s="697"/>
      <c r="K62" s="610"/>
    </row>
    <row r="63" spans="2:11" ht="15" customHeight="1">
      <c r="B63" s="80" t="s">
        <v>68</v>
      </c>
      <c r="C63" s="394">
        <f>C55-C62</f>
        <v>0</v>
      </c>
      <c r="D63" s="394">
        <f>D55-D62</f>
        <v>0</v>
      </c>
      <c r="E63" s="315" t="s">
        <v>252</v>
      </c>
      <c r="G63" s="660">
        <f>E54</f>
        <v>0</v>
      </c>
      <c r="H63" s="644" t="str">
        <f>CONCATENATE("",E1," Non-AV Receipts (est.)")</f>
        <v>2015 Non-AV Receipts (est.)</v>
      </c>
      <c r="I63" s="662"/>
      <c r="J63" s="697"/>
      <c r="K63" s="610"/>
    </row>
    <row r="64" spans="2:11" ht="15" customHeight="1">
      <c r="B64" s="117" t="str">
        <f>CONCATENATE("",$E$1-2,"/",$E$1-1," Budget Authority Amount:")</f>
        <v>2013/2014 Budget Authority Amount:</v>
      </c>
      <c r="C64" s="338">
        <f>inputOth!$B90</f>
        <v>0</v>
      </c>
      <c r="D64" s="83">
        <f>inputPrYr!$D27</f>
        <v>0</v>
      </c>
      <c r="E64" s="315" t="s">
        <v>252</v>
      </c>
      <c r="F64" s="324"/>
      <c r="G64" s="669">
        <f>IF(E68&gt;0,E67,E69)</f>
        <v>0</v>
      </c>
      <c r="H64" s="644" t="str">
        <f>CONCATENATE("",E1," Ad Valorem Tax (est.)")</f>
        <v>2015 Ad Valorem Tax (est.)</v>
      </c>
      <c r="I64" s="662"/>
      <c r="J64" s="697"/>
      <c r="K64" s="670">
        <f>IF(G64=E69,"","Note: Does not include Delinquent Taxes")</f>
      </c>
    </row>
    <row r="65" spans="2:11" ht="15" customHeight="1">
      <c r="B65" s="117"/>
      <c r="C65" s="822" t="s">
        <v>724</v>
      </c>
      <c r="D65" s="823"/>
      <c r="E65" s="171"/>
      <c r="F65" s="729">
        <f>IF(E62/0.95-E62&lt;E65,"Exceeds 5%","")</f>
      </c>
      <c r="G65" s="660">
        <f>SUM(G62:G64)</f>
        <v>0</v>
      </c>
      <c r="H65" s="644" t="str">
        <f>CONCATENATE("Total ",E1," Resources Available")</f>
        <v>Total 2015 Resources Available</v>
      </c>
      <c r="I65" s="700"/>
      <c r="J65" s="697"/>
      <c r="K65" s="610"/>
    </row>
    <row r="66" spans="2:11" ht="15" customHeight="1">
      <c r="B66" s="499" t="str">
        <f>CONCATENATE(C76,"     ",D76)</f>
        <v>     </v>
      </c>
      <c r="C66" s="824" t="s">
        <v>725</v>
      </c>
      <c r="D66" s="825"/>
      <c r="E66" s="261">
        <f>E62+E65</f>
        <v>0</v>
      </c>
      <c r="G66" s="701"/>
      <c r="H66" s="702"/>
      <c r="I66" s="643"/>
      <c r="J66" s="697"/>
      <c r="K66" s="610"/>
    </row>
    <row r="67" spans="2:11" ht="15" customHeight="1">
      <c r="B67" s="499" t="str">
        <f>CONCATENATE(C77,"     ",D77)</f>
        <v>     </v>
      </c>
      <c r="C67" s="502"/>
      <c r="D67" s="501" t="s">
        <v>285</v>
      </c>
      <c r="E67" s="182">
        <f>IF(E66-E55&gt;0,E66-E55,0)</f>
        <v>0</v>
      </c>
      <c r="G67" s="669">
        <f>ROUND(C62*0.05+C62,0)</f>
        <v>0</v>
      </c>
      <c r="H67" s="644" t="str">
        <f>CONCATENATE("Less ",E1-2," Expenditures + 5%")</f>
        <v>Less 2013 Expenditures + 5%</v>
      </c>
      <c r="I67" s="700"/>
      <c r="J67" s="697"/>
      <c r="K67" s="610"/>
    </row>
    <row r="68" spans="2:11" ht="15" customHeight="1">
      <c r="B68" s="211"/>
      <c r="C68" s="500" t="s">
        <v>726</v>
      </c>
      <c r="D68" s="713">
        <f>inputOth!$E$77</f>
        <v>0</v>
      </c>
      <c r="E68" s="261">
        <f>ROUND(IF(D68&gt;0,(E67*D68),0),0)</f>
        <v>0</v>
      </c>
      <c r="G68" s="677">
        <f>G65-G67</f>
        <v>0</v>
      </c>
      <c r="H68" s="678" t="str">
        <f>CONCATENATE("Projected ",E1+1," carryover (est.)")</f>
        <v>Projected 2016 carryover (est.)</v>
      </c>
      <c r="I68" s="703"/>
      <c r="J68" s="704"/>
      <c r="K68" s="610"/>
    </row>
    <row r="69" spans="2:11" ht="15.75">
      <c r="B69" s="65"/>
      <c r="C69" s="826" t="str">
        <f>CONCATENATE("Amount of  ",$E$1-1," Ad Valorem Tax")</f>
        <v>Amount of  2014 Ad Valorem Tax</v>
      </c>
      <c r="D69" s="827"/>
      <c r="E69" s="182">
        <f>E67+E68</f>
        <v>0</v>
      </c>
      <c r="G69" s="610"/>
      <c r="H69" s="610"/>
      <c r="I69" s="610"/>
      <c r="J69" s="610"/>
      <c r="K69" s="610"/>
    </row>
    <row r="70" spans="2:11" ht="15.75">
      <c r="B70" s="211" t="s">
        <v>266</v>
      </c>
      <c r="C70" s="328">
        <v>8</v>
      </c>
      <c r="D70" s="65"/>
      <c r="E70" s="65"/>
      <c r="G70" s="841" t="s">
        <v>860</v>
      </c>
      <c r="H70" s="842"/>
      <c r="I70" s="842"/>
      <c r="J70" s="843"/>
      <c r="K70" s="610"/>
    </row>
    <row r="71" spans="2:11" ht="15.75">
      <c r="B71" s="113"/>
      <c r="G71" s="684"/>
      <c r="H71" s="661"/>
      <c r="I71" s="685"/>
      <c r="J71" s="686"/>
      <c r="K71" s="610"/>
    </row>
    <row r="72" spans="7:11" ht="15.75">
      <c r="G72" s="687" t="e">
        <f>summ!#REF!</f>
        <v>#REF!</v>
      </c>
      <c r="H72" s="661" t="str">
        <f>CONCATENATE("",E1," Fund Mill Rate")</f>
        <v>2015 Fund Mill Rate</v>
      </c>
      <c r="I72" s="685"/>
      <c r="J72" s="686"/>
      <c r="K72" s="610"/>
    </row>
    <row r="73" spans="7:11" ht="15.75">
      <c r="G73" s="688" t="e">
        <f>summ!#REF!</f>
        <v>#REF!</v>
      </c>
      <c r="H73" s="661" t="str">
        <f>CONCATENATE("",E1-1," Fund Mill Rate")</f>
        <v>2014 Fund Mill Rate</v>
      </c>
      <c r="I73" s="685"/>
      <c r="J73" s="686"/>
      <c r="K73" s="610"/>
    </row>
    <row r="74" spans="3:11" ht="15.75" hidden="1">
      <c r="C74" s="156">
        <f>IF(C30&gt;C32,"See Tab A","")</f>
      </c>
      <c r="D74" s="156">
        <f>IF(D30&gt;D32,"See Tab C","")</f>
      </c>
      <c r="G74" s="690">
        <f>'[1]summ'!I36</f>
        <v>0</v>
      </c>
      <c r="H74" s="661" t="str">
        <f>CONCATENATE("Total ",E1," Mill Rate")</f>
        <v>Total 2015 Mill Rate</v>
      </c>
      <c r="I74" s="685"/>
      <c r="J74" s="686"/>
      <c r="K74" s="610"/>
    </row>
    <row r="75" spans="3:11" ht="15.75" hidden="1">
      <c r="C75" s="156">
        <f>IF(C31&lt;0,"See Tab B","")</f>
      </c>
      <c r="D75" s="156">
        <f>IF(D31&lt;0,"See Tab D","")</f>
      </c>
      <c r="G75" s="688">
        <f>'[1]summ'!F36</f>
        <v>0</v>
      </c>
      <c r="H75" s="691" t="str">
        <f>CONCATENATE("Total ",E1-1," Mill Rate")</f>
        <v>Total 2014 Mill Rate</v>
      </c>
      <c r="I75" s="692"/>
      <c r="J75" s="693"/>
      <c r="K75" s="610"/>
    </row>
    <row r="76" spans="3:4" ht="15.75" hidden="1">
      <c r="C76" s="156">
        <f>IF(C62&gt;C64,"See Tab A","")</f>
      </c>
      <c r="D76" s="156">
        <f>IF(D62&gt;D64,"See Tab C","")</f>
      </c>
    </row>
    <row r="77" spans="3:4" ht="15.75" hidden="1">
      <c r="C77" s="156">
        <f>IF(C63&lt;0,"See Tab B","")</f>
      </c>
      <c r="D77" s="156">
        <f>IF(D63&lt;0,"See Tab D","")</f>
      </c>
    </row>
    <row r="78" spans="7:10" ht="15.75">
      <c r="G78" s="690">
        <f>summ!H22</f>
        <v>17.778</v>
      </c>
      <c r="H78" s="661" t="str">
        <f>CONCATENATE("Total ",E1," Mill Rate")</f>
        <v>Total 2015 Mill Rate</v>
      </c>
      <c r="I78" s="685"/>
      <c r="J78" s="686"/>
    </row>
    <row r="79" spans="7:10" ht="15.75">
      <c r="G79" s="688">
        <f>summ!E22</f>
        <v>17.448</v>
      </c>
      <c r="H79" s="691" t="str">
        <f>CONCATENATE("Total ",E1-1," Mill Rate")</f>
        <v>Total 2014 Mill Rate</v>
      </c>
      <c r="I79" s="692"/>
      <c r="J79" s="693"/>
    </row>
    <row r="81" spans="7:9" ht="15.75">
      <c r="G81" s="740" t="s">
        <v>937</v>
      </c>
      <c r="H81" s="739"/>
      <c r="I81" s="738" t="str">
        <f>cert!E41</f>
        <v>No</v>
      </c>
    </row>
  </sheetData>
  <sheetProtection/>
  <mergeCells count="11">
    <mergeCell ref="G70:J70"/>
    <mergeCell ref="C33:D33"/>
    <mergeCell ref="C34:D34"/>
    <mergeCell ref="C65:D65"/>
    <mergeCell ref="C66:D66"/>
    <mergeCell ref="C69:D69"/>
    <mergeCell ref="C37:D37"/>
    <mergeCell ref="G23:J23"/>
    <mergeCell ref="G28:J28"/>
    <mergeCell ref="G38:J38"/>
    <mergeCell ref="G60:J60"/>
  </mergeCells>
  <conditionalFormatting sqref="C60">
    <cfRule type="cellIs" priority="3" dxfId="173" operator="greaterThan" stopIfTrue="1">
      <formula>$C$702*0.1</formula>
    </cfRule>
  </conditionalFormatting>
  <conditionalFormatting sqref="D60">
    <cfRule type="cellIs" priority="4" dxfId="173" operator="greaterThan" stopIfTrue="1">
      <formula>$D$702*0.1</formula>
    </cfRule>
  </conditionalFormatting>
  <conditionalFormatting sqref="E60">
    <cfRule type="cellIs" priority="5" dxfId="173" operator="greaterThan" stopIfTrue="1">
      <formula>$E$62*0.1</formula>
    </cfRule>
  </conditionalFormatting>
  <conditionalFormatting sqref="C52">
    <cfRule type="cellIs" priority="6" dxfId="173" operator="greaterThan" stopIfTrue="1">
      <formula>$C$54*0.1</formula>
    </cfRule>
  </conditionalFormatting>
  <conditionalFormatting sqref="D52">
    <cfRule type="cellIs" priority="7" dxfId="173" operator="greaterThan" stopIfTrue="1">
      <formula>$D$54*0.1</formula>
    </cfRule>
  </conditionalFormatting>
  <conditionalFormatting sqref="E65">
    <cfRule type="cellIs" priority="8" dxfId="173" operator="greaterThan" stopIfTrue="1">
      <formula>$E$62/0.95-$E$62</formula>
    </cfRule>
  </conditionalFormatting>
  <conditionalFormatting sqref="C28">
    <cfRule type="cellIs" priority="9" dxfId="173" operator="greaterThan" stopIfTrue="1">
      <formula>$C$30*0.1</formula>
    </cfRule>
  </conditionalFormatting>
  <conditionalFormatting sqref="D28">
    <cfRule type="cellIs" priority="10" dxfId="173" operator="greaterThan" stopIfTrue="1">
      <formula>$D$30*0.1</formula>
    </cfRule>
  </conditionalFormatting>
  <conditionalFormatting sqref="E28">
    <cfRule type="cellIs" priority="11" dxfId="173" operator="greaterThan" stopIfTrue="1">
      <formula>$E$30*0.1</formula>
    </cfRule>
  </conditionalFormatting>
  <conditionalFormatting sqref="C17">
    <cfRule type="cellIs" priority="12" dxfId="173" operator="greaterThan" stopIfTrue="1">
      <formula>$C$19*0.1</formula>
    </cfRule>
  </conditionalFormatting>
  <conditionalFormatting sqref="D17">
    <cfRule type="cellIs" priority="13" dxfId="173" operator="greaterThan" stopIfTrue="1">
      <formula>$D$19*0.1</formula>
    </cfRule>
  </conditionalFormatting>
  <conditionalFormatting sqref="E33">
    <cfRule type="cellIs" priority="14" dxfId="173" operator="greaterThan" stopIfTrue="1">
      <formula>$E$30/0.95-$E$30</formula>
    </cfRule>
  </conditionalFormatting>
  <conditionalFormatting sqref="C63 C31">
    <cfRule type="cellIs" priority="15" dxfId="173" operator="lessThan" stopIfTrue="1">
      <formula>0</formula>
    </cfRule>
  </conditionalFormatting>
  <conditionalFormatting sqref="C62">
    <cfRule type="cellIs" priority="16" dxfId="10" operator="greaterThan" stopIfTrue="1">
      <formula>$C$64</formula>
    </cfRule>
  </conditionalFormatting>
  <conditionalFormatting sqref="D62">
    <cfRule type="cellIs" priority="17" dxfId="10" operator="greaterThan" stopIfTrue="1">
      <formula>$D$64</formula>
    </cfRule>
  </conditionalFormatting>
  <conditionalFormatting sqref="C30">
    <cfRule type="cellIs" priority="18" dxfId="10" operator="greaterThan" stopIfTrue="1">
      <formula>$C$32</formula>
    </cfRule>
  </conditionalFormatting>
  <conditionalFormatting sqref="D30">
    <cfRule type="cellIs" priority="19" dxfId="10" operator="greaterThan" stopIfTrue="1">
      <formula>$D$32</formula>
    </cfRule>
  </conditionalFormatting>
  <conditionalFormatting sqref="D31 D63">
    <cfRule type="cellIs" priority="2" dxfId="0" operator="lessThan" stopIfTrue="1">
      <formula>0</formula>
    </cfRule>
  </conditionalFormatting>
  <conditionalFormatting sqref="E17">
    <cfRule type="cellIs" priority="24" dxfId="173" operator="greaterThan" stopIfTrue="1">
      <formula>$E$19*0.1+$E$37</formula>
    </cfRule>
  </conditionalFormatting>
  <conditionalFormatting sqref="E52">
    <cfRule type="cellIs" priority="25" dxfId="173" operator="greaterThan" stopIfTrue="1">
      <formula>$E$54*0.1+$E$69</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A1:O97"/>
  <sheetViews>
    <sheetView zoomScalePageLayoutView="0" workbookViewId="0" topLeftCell="A1">
      <selection activeCell="D19" sqref="D19"/>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813" t="s">
        <v>23</v>
      </c>
      <c r="B2" s="794"/>
      <c r="C2" s="794"/>
      <c r="D2" s="794"/>
      <c r="E2" s="794"/>
      <c r="F2" s="794"/>
      <c r="G2" s="794"/>
      <c r="H2" s="794"/>
    </row>
    <row r="3" spans="1:8" ht="15.75">
      <c r="A3" s="65"/>
      <c r="B3" s="65"/>
      <c r="C3" s="65"/>
      <c r="D3" s="65"/>
      <c r="E3" s="65"/>
      <c r="F3" s="72" t="s">
        <v>294</v>
      </c>
      <c r="G3" s="72" t="s">
        <v>295</v>
      </c>
      <c r="H3" s="65"/>
    </row>
    <row r="4" spans="1:8" ht="15.75">
      <c r="A4" s="807" t="s">
        <v>296</v>
      </c>
      <c r="B4" s="807"/>
      <c r="C4" s="807"/>
      <c r="D4" s="807"/>
      <c r="E4" s="807"/>
      <c r="F4" s="807"/>
      <c r="G4" s="807"/>
      <c r="H4" s="807"/>
    </row>
    <row r="5" spans="1:8" ht="15.75">
      <c r="A5" s="810" t="str">
        <f>inputPrYr!D3</f>
        <v>Walnut Township</v>
      </c>
      <c r="B5" s="810"/>
      <c r="C5" s="810"/>
      <c r="D5" s="810"/>
      <c r="E5" s="810"/>
      <c r="F5" s="810"/>
      <c r="G5" s="810"/>
      <c r="H5" s="810"/>
    </row>
    <row r="6" spans="1:8" ht="15.75">
      <c r="A6" s="810" t="str">
        <f>inputPrYr!D4</f>
        <v>Brown County</v>
      </c>
      <c r="B6" s="810"/>
      <c r="C6" s="810"/>
      <c r="D6" s="810"/>
      <c r="E6" s="810"/>
      <c r="F6" s="810"/>
      <c r="G6" s="810"/>
      <c r="H6" s="810"/>
    </row>
    <row r="7" spans="1:8" ht="15.75">
      <c r="A7" s="857" t="str">
        <f>CONCATENATE("will meet on ",inputBudSum!B8," at ",inputBudSum!B10," at ",inputBudSum!B12," for the purpose of hearing and")</f>
        <v>will meet on August 12, 2014 at 7:00 PM at Township Shed for the purpose of hearing and</v>
      </c>
      <c r="B7" s="857"/>
      <c r="C7" s="857"/>
      <c r="D7" s="857"/>
      <c r="E7" s="857"/>
      <c r="F7" s="857"/>
      <c r="G7" s="857"/>
      <c r="H7" s="857"/>
    </row>
    <row r="8" spans="1:8" ht="15.75">
      <c r="A8" s="807" t="s">
        <v>405</v>
      </c>
      <c r="B8" s="809"/>
      <c r="C8" s="809"/>
      <c r="D8" s="809"/>
      <c r="E8" s="809"/>
      <c r="F8" s="809"/>
      <c r="G8" s="809"/>
      <c r="H8" s="809"/>
    </row>
    <row r="9" spans="1:8" ht="15.75">
      <c r="A9" s="805" t="str">
        <f>CONCATENATE("Detailed budget information is available at ",inputBudSum!B15," and will be available at this hearing.")</f>
        <v>Detailed budget information is available at Brown County Clerk's office and will be available at this hearing.</v>
      </c>
      <c r="B9" s="794"/>
      <c r="C9" s="794"/>
      <c r="D9" s="794"/>
      <c r="E9" s="794"/>
      <c r="F9" s="794"/>
      <c r="G9" s="794"/>
      <c r="H9" s="794"/>
    </row>
    <row r="10" spans="1:8" ht="15.75">
      <c r="A10" s="813" t="s">
        <v>24</v>
      </c>
      <c r="B10" s="809"/>
      <c r="C10" s="809"/>
      <c r="D10" s="809"/>
      <c r="E10" s="809"/>
      <c r="F10" s="809"/>
      <c r="G10" s="809"/>
      <c r="H10" s="809"/>
    </row>
    <row r="11" spans="1:8" ht="15.75">
      <c r="A11" s="807" t="str">
        <f>CONCATENATE("Proposed Budget ",H1," Expenditures and Amount of ",H1-1," Ad Valorem Tax establish the maximum limits")</f>
        <v>Proposed Budget 2015 Expenditures and Amount of 2014 Ad Valorem Tax establish the maximum limits</v>
      </c>
      <c r="B11" s="809"/>
      <c r="C11" s="809"/>
      <c r="D11" s="809"/>
      <c r="E11" s="809"/>
      <c r="F11" s="809"/>
      <c r="G11" s="809"/>
      <c r="H11" s="809"/>
    </row>
    <row r="12" spans="1:8" ht="15.75">
      <c r="A12" s="807" t="str">
        <f>CONCATENATE("of the ",H1," budget.  Estimated Tax Rate is subject to change depending on the final assessed valuation.")</f>
        <v>of the 2015 budget.  Estimated Tax Rate is subject to change depending on the final assessed valuation.</v>
      </c>
      <c r="B12" s="809"/>
      <c r="C12" s="809"/>
      <c r="D12" s="809"/>
      <c r="E12" s="809"/>
      <c r="F12" s="809"/>
      <c r="G12" s="809"/>
      <c r="H12" s="809"/>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289</v>
      </c>
      <c r="D15" s="74"/>
      <c r="E15" s="74" t="s">
        <v>289</v>
      </c>
      <c r="F15" s="206"/>
      <c r="G15" s="799" t="str">
        <f>CONCATENATE("Amount of ",H1-1," Ad Valorem Tax")</f>
        <v>Amount of 2014 Ad Valorem Tax</v>
      </c>
      <c r="H15" s="74" t="s">
        <v>297</v>
      </c>
      <c r="I15" s="199"/>
    </row>
    <row r="16" spans="1:9" ht="15.75">
      <c r="A16" s="75"/>
      <c r="B16" s="76"/>
      <c r="C16" s="76" t="s">
        <v>298</v>
      </c>
      <c r="D16" s="76"/>
      <c r="E16" s="76" t="s">
        <v>298</v>
      </c>
      <c r="F16" s="495" t="s">
        <v>170</v>
      </c>
      <c r="G16" s="855"/>
      <c r="H16" s="76" t="s">
        <v>298</v>
      </c>
      <c r="I16" s="199"/>
    </row>
    <row r="17" spans="1:10" ht="15.75">
      <c r="A17" s="79" t="s">
        <v>248</v>
      </c>
      <c r="B17" s="79" t="s">
        <v>299</v>
      </c>
      <c r="C17" s="79" t="s">
        <v>300</v>
      </c>
      <c r="D17" s="79" t="s">
        <v>299</v>
      </c>
      <c r="E17" s="79" t="s">
        <v>300</v>
      </c>
      <c r="F17" s="494" t="s">
        <v>723</v>
      </c>
      <c r="G17" s="856"/>
      <c r="H17" s="79" t="s">
        <v>300</v>
      </c>
      <c r="I17" s="199"/>
      <c r="J17" s="520"/>
    </row>
    <row r="18" spans="1:10" ht="15.75">
      <c r="A18" s="90" t="str">
        <f>inputPrYr!B20</f>
        <v>General</v>
      </c>
      <c r="B18" s="90">
        <f>IF(gen!$C$44&lt;&gt;0,gen!$C$44,"  ")</f>
        <v>2493</v>
      </c>
      <c r="C18" s="93">
        <f>IF(inputPrYr!D49&gt;0,inputPrYr!D49,"  ")</f>
        <v>0.382</v>
      </c>
      <c r="D18" s="90">
        <f>IF(gen!$D$44&lt;&gt;0,gen!$D$44,"  ")</f>
        <v>7452</v>
      </c>
      <c r="E18" s="93">
        <f>IF(inputOth!D37&gt;0,inputOth!D37,"  ")</f>
        <v>0.437</v>
      </c>
      <c r="F18" s="90">
        <f>IF(gen!$E$44&lt;&gt;0,gen!$E$44,"  ")</f>
        <v>33537</v>
      </c>
      <c r="G18" s="90">
        <f>IF(gen!$E$51&lt;&gt;0,gen!$E$51,"")</f>
      </c>
      <c r="H18" s="93" t="str">
        <f>IF(gen!E51&gt;0,ROUND(G18/F26*1000,3)," ")</f>
        <v> </v>
      </c>
      <c r="I18" s="199"/>
      <c r="J18" s="520"/>
    </row>
    <row r="19" spans="1:8" ht="15.75">
      <c r="A19" s="90" t="str">
        <f>IF(inputPrYr!$B23&gt;"  ",inputPrYr!$B23,"  ")</f>
        <v>Road</v>
      </c>
      <c r="B19" s="90">
        <f>IF(road!$C$43&lt;&gt;0,road!$C$43,"  ")</f>
        <v>236300</v>
      </c>
      <c r="C19" s="93">
        <f>IF(inputPrYr!D52&gt;0,inputPrYr!D52,"  ")</f>
        <v>13.929</v>
      </c>
      <c r="D19" s="90">
        <f>IF(road!$D$43&lt;&gt;0,road!$D$43,"  ")</f>
        <v>241223</v>
      </c>
      <c r="E19" s="93">
        <f>IF(inputOth!D40&gt;0,inputOth!D40,"  ")</f>
        <v>15.329</v>
      </c>
      <c r="F19" s="90">
        <f>IF(road!$E$43&lt;&gt;0,road!$E$43,"  ")</f>
        <v>251506</v>
      </c>
      <c r="G19" s="90">
        <f>IF(road!$E$50&lt;&gt;0,road!$E$50,"  ")</f>
        <v>237344</v>
      </c>
      <c r="H19" s="93">
        <f>IF(road!E50&gt;0,ROUND(G19/F27*1000,3)," ")</f>
        <v>15.846</v>
      </c>
    </row>
    <row r="20" spans="1:13" ht="15.75">
      <c r="A20" s="90" t="str">
        <f>IF(inputPrYr!$B26&gt;"  ",inputPrYr!$B26,"  ")</f>
        <v>Fire Protection</v>
      </c>
      <c r="B20" s="90">
        <f>IF(Fire!$C$30&lt;&gt;0,Fire!$C$30,"  ")</f>
        <v>26001</v>
      </c>
      <c r="C20" s="93">
        <f>IF(inputPrYr!D55&gt;0,inputPrYr!D55,"  ")</f>
        <v>1.551</v>
      </c>
      <c r="D20" s="90">
        <f>IF(Fire!$D$30&lt;&gt;0,Fire!$D$30,"  ")</f>
        <v>26501</v>
      </c>
      <c r="E20" s="93">
        <f>IF(inputOth!D43&gt;0,inputOth!D43,"  ")</f>
        <v>1.682</v>
      </c>
      <c r="F20" s="90">
        <f>IF(Fire!$E$30&lt;&gt;0,Fire!$E$30,"  ")</f>
        <v>30501</v>
      </c>
      <c r="G20" s="90">
        <f>IF(Fire!$E$37&lt;&gt;0,Fire!$E$37,"  ")</f>
        <v>28944</v>
      </c>
      <c r="H20" s="93">
        <f>IF(Fire!E37&gt;0,ROUND(G20/F27*1000,3)," ")</f>
        <v>1.932</v>
      </c>
      <c r="J20" s="847" t="str">
        <f>CONCATENATE("Estimated Value Of One Mill For ",H1,"")</f>
        <v>Estimated Value Of One Mill For 2015</v>
      </c>
      <c r="K20" s="852"/>
      <c r="L20" s="852"/>
      <c r="M20" s="853"/>
    </row>
    <row r="21" spans="1:13" ht="16.5" thickBot="1">
      <c r="A21" s="105" t="s">
        <v>250</v>
      </c>
      <c r="B21" s="477">
        <f>IF(road!C64&lt;&gt;0,road!C64,"  ")</f>
        <v>18302</v>
      </c>
      <c r="C21" s="478"/>
      <c r="D21" s="478"/>
      <c r="E21" s="478"/>
      <c r="F21" s="478"/>
      <c r="G21" s="478"/>
      <c r="H21" s="478"/>
      <c r="J21" s="511"/>
      <c r="K21" s="511"/>
      <c r="L21" s="511"/>
      <c r="M21" s="511"/>
    </row>
    <row r="22" spans="1:13" ht="15.75">
      <c r="A22" s="105" t="s">
        <v>251</v>
      </c>
      <c r="B22" s="475">
        <f aca="true" t="shared" si="0" ref="B22:H22">SUM(B18:B21)</f>
        <v>283096</v>
      </c>
      <c r="C22" s="476">
        <f t="shared" si="0"/>
        <v>15.862</v>
      </c>
      <c r="D22" s="475">
        <f t="shared" si="0"/>
        <v>275176</v>
      </c>
      <c r="E22" s="476">
        <f t="shared" si="0"/>
        <v>17.448</v>
      </c>
      <c r="F22" s="475">
        <f t="shared" si="0"/>
        <v>315544</v>
      </c>
      <c r="G22" s="475">
        <f t="shared" si="0"/>
        <v>266288</v>
      </c>
      <c r="H22" s="476">
        <f t="shared" si="0"/>
        <v>17.778</v>
      </c>
      <c r="J22" s="847" t="str">
        <f>CONCATENATE("Impact On Keeping The Same Mill Rate As For ",H1-1,"")</f>
        <v>Impact On Keeping The Same Mill Rate As For 2014</v>
      </c>
      <c r="K22" s="848"/>
      <c r="L22" s="848"/>
      <c r="M22" s="849"/>
    </row>
    <row r="23" spans="1:13" ht="15.75">
      <c r="A23" s="105" t="s">
        <v>301</v>
      </c>
      <c r="B23" s="90">
        <f>transfer!C29</f>
        <v>30770</v>
      </c>
      <c r="C23" s="65"/>
      <c r="D23" s="90">
        <f>transfer!D29</f>
        <v>0</v>
      </c>
      <c r="E23" s="208"/>
      <c r="F23" s="90">
        <f>transfer!E29</f>
        <v>0</v>
      </c>
      <c r="G23" s="65"/>
      <c r="H23" s="65"/>
      <c r="J23" s="518"/>
      <c r="K23" s="10"/>
      <c r="L23" s="10"/>
      <c r="M23" s="517"/>
    </row>
    <row r="24" spans="1:13" ht="16.5" thickBot="1">
      <c r="A24" s="105" t="s">
        <v>302</v>
      </c>
      <c r="B24" s="479">
        <f>B22-B23</f>
        <v>252326</v>
      </c>
      <c r="C24" s="65"/>
      <c r="D24" s="479">
        <f>D22-D23</f>
        <v>275176</v>
      </c>
      <c r="E24" s="65"/>
      <c r="F24" s="479">
        <f>F22-F23</f>
        <v>315544</v>
      </c>
      <c r="G24" s="65"/>
      <c r="H24" s="65"/>
      <c r="J24" s="518" t="str">
        <f>CONCATENATE("",H1," Ad Valorem Tax Rev(Township Only):")</f>
        <v>2015 Ad Valorem Tax Rev(Township Only):</v>
      </c>
      <c r="K24" s="10"/>
      <c r="L24" s="10"/>
      <c r="M24" s="519">
        <f>SUM(G19:G20)</f>
        <v>266288</v>
      </c>
    </row>
    <row r="25" spans="1:13" ht="16.5" thickTop="1">
      <c r="A25" s="105" t="s">
        <v>0</v>
      </c>
      <c r="B25" s="230">
        <f>inputPrYr!E63</f>
        <v>256767</v>
      </c>
      <c r="C25" s="208"/>
      <c r="D25" s="230">
        <f>inputPrYr!E32</f>
        <v>259788</v>
      </c>
      <c r="E25" s="65"/>
      <c r="F25" s="480" t="s">
        <v>252</v>
      </c>
      <c r="G25" s="65"/>
      <c r="H25" s="65"/>
      <c r="J25" s="518" t="str">
        <f>CONCATENATE("",H1," Ad Valorem Tax Rev(Township Tot):")</f>
        <v>2015 Ad Valorem Tax Rev(Township Tot):</v>
      </c>
      <c r="K25" s="10"/>
      <c r="L25" s="10"/>
      <c r="M25" s="531" t="e">
        <f>SUM(G18,#REF!,#REF!,#REF!,#REF!,#REF!,#REF!,#REF!)</f>
        <v>#REF!</v>
      </c>
    </row>
    <row r="26" spans="1:13" ht="15.75">
      <c r="A26" s="105" t="s">
        <v>177</v>
      </c>
      <c r="B26" s="90">
        <f>inputPrYr!E64</f>
        <v>18214233</v>
      </c>
      <c r="C26" s="208"/>
      <c r="D26" s="90">
        <f>inputOth!E55</f>
        <v>16993198</v>
      </c>
      <c r="E26" s="208"/>
      <c r="F26" s="90">
        <f>inputOth!E11</f>
        <v>17123908</v>
      </c>
      <c r="G26" s="65"/>
      <c r="H26" s="65"/>
      <c r="J26" s="518" t="str">
        <f>CONCATENATE("Total ",H1," Ad Valorem Tax Revenue:")</f>
        <v>Total 2015 Ad Valorem Tax Revenue:</v>
      </c>
      <c r="K26" s="71"/>
      <c r="L26" s="71"/>
      <c r="M26" s="532" t="e">
        <f>M24+M25</f>
        <v>#REF!</v>
      </c>
    </row>
    <row r="27" spans="1:14" ht="15.75">
      <c r="A27" s="80" t="s">
        <v>232</v>
      </c>
      <c r="B27" s="209"/>
      <c r="C27" s="65"/>
      <c r="D27" s="178"/>
      <c r="E27" s="65"/>
      <c r="F27" s="90">
        <f>inputOth!E8</f>
        <v>14978254</v>
      </c>
      <c r="G27" s="65"/>
      <c r="H27" s="65"/>
      <c r="J27" s="518" t="str">
        <f>CONCATENATE("",H1-1," Ad Valorem Tax Rev(Township Only):")</f>
        <v>2014 Ad Valorem Tax Rev(Township Only):</v>
      </c>
      <c r="K27" s="10"/>
      <c r="L27" s="10"/>
      <c r="M27" s="533">
        <f>ROUND(SUM(E19:E20)*F27/1000,0)</f>
        <v>254795</v>
      </c>
      <c r="N27" s="525"/>
    </row>
    <row r="28" spans="1:15" ht="15.75">
      <c r="A28" s="108"/>
      <c r="B28" s="178"/>
      <c r="C28" s="65"/>
      <c r="D28" s="178"/>
      <c r="E28" s="65"/>
      <c r="F28" s="178"/>
      <c r="G28" s="65"/>
      <c r="H28" s="65"/>
      <c r="J28" s="518" t="str">
        <f>CONCATENATE("",H1-1," Ad Valorem Tax Rev(Township Tot):")</f>
        <v>2014 Ad Valorem Tax Rev(Township Tot):</v>
      </c>
      <c r="K28" s="71"/>
      <c r="L28" s="71"/>
      <c r="M28" s="534" t="e">
        <f>ROUND(SUM(E18,#REF!,#REF!,(#REF!,#REF!,#REF!,#REF!,#REF!))*F26/1000,0)</f>
        <v>#REF!</v>
      </c>
      <c r="N28" s="525"/>
      <c r="O28" s="525"/>
    </row>
    <row r="29" spans="1:15" ht="15.75">
      <c r="A29" s="72" t="s">
        <v>1</v>
      </c>
      <c r="B29" s="65"/>
      <c r="C29" s="65"/>
      <c r="D29" s="65"/>
      <c r="E29" s="65"/>
      <c r="F29" s="65"/>
      <c r="G29" s="65"/>
      <c r="H29" s="65"/>
      <c r="J29" s="505" t="str">
        <f>CONCATENATE("Total ",H1-1," Ad Valorem Tax Revenue:")</f>
        <v>Total 2014 Ad Valorem Tax Revenue:</v>
      </c>
      <c r="K29" s="71"/>
      <c r="L29" s="71"/>
      <c r="M29" s="535" t="e">
        <f>M27+M28</f>
        <v>#REF!</v>
      </c>
      <c r="O29" s="525"/>
    </row>
    <row r="30" spans="1:13" ht="15.75">
      <c r="A30" s="72" t="s">
        <v>2</v>
      </c>
      <c r="B30" s="210">
        <f>H1-3</f>
        <v>2012</v>
      </c>
      <c r="C30" s="65"/>
      <c r="D30" s="210">
        <f>H1-2</f>
        <v>2013</v>
      </c>
      <c r="E30" s="65"/>
      <c r="F30" s="210">
        <f>H1-1</f>
        <v>2014</v>
      </c>
      <c r="G30" s="65"/>
      <c r="H30" s="65"/>
      <c r="J30" s="516" t="s">
        <v>733</v>
      </c>
      <c r="K30" s="515"/>
      <c r="L30" s="515"/>
      <c r="M30" s="514" t="e">
        <f>M26-M29</f>
        <v>#REF!</v>
      </c>
    </row>
    <row r="31" spans="1:8" ht="15.75">
      <c r="A31" s="72" t="s">
        <v>729</v>
      </c>
      <c r="B31" s="83">
        <f>inputPrYr!D69</f>
        <v>152000</v>
      </c>
      <c r="C31" s="69"/>
      <c r="D31" s="83">
        <f>inputPrYr!E69</f>
        <v>120885</v>
      </c>
      <c r="E31" s="69"/>
      <c r="F31" s="83">
        <f>debt!G36</f>
        <v>168914.25</v>
      </c>
      <c r="G31" s="65"/>
      <c r="H31" s="65"/>
    </row>
    <row r="32" spans="1:13" ht="16.5" thickBot="1">
      <c r="A32" s="72" t="s">
        <v>4</v>
      </c>
      <c r="B32" s="100">
        <f>SUM(B31:B31)</f>
        <v>152000</v>
      </c>
      <c r="C32" s="69"/>
      <c r="D32" s="100">
        <f>SUM(D31:D31)</f>
        <v>120885</v>
      </c>
      <c r="E32" s="69"/>
      <c r="F32" s="100">
        <f>SUM(F31:F31)</f>
        <v>168914.25</v>
      </c>
      <c r="G32" s="65"/>
      <c r="H32" s="65"/>
      <c r="J32" s="847" t="s">
        <v>734</v>
      </c>
      <c r="K32" s="850"/>
      <c r="L32" s="850"/>
      <c r="M32" s="851"/>
    </row>
    <row r="33" spans="1:13" ht="16.5" thickTop="1">
      <c r="A33" s="72" t="s">
        <v>5</v>
      </c>
      <c r="B33" s="65"/>
      <c r="C33" s="65"/>
      <c r="D33" s="65"/>
      <c r="E33" s="65"/>
      <c r="F33" s="65"/>
      <c r="G33" s="65"/>
      <c r="H33" s="65"/>
      <c r="J33" s="518"/>
      <c r="K33" s="10"/>
      <c r="L33" s="10"/>
      <c r="M33" s="517"/>
    </row>
    <row r="34" spans="1:13" ht="15.75">
      <c r="A34" s="65"/>
      <c r="B34" s="65"/>
      <c r="C34" s="65"/>
      <c r="D34" s="65"/>
      <c r="E34" s="65"/>
      <c r="F34" s="65"/>
      <c r="G34" s="65"/>
      <c r="H34" s="65"/>
      <c r="J34" s="522" t="str">
        <f>CONCATENATE("Enter Desired ",$H$1," Mill Rate:")</f>
        <v>Enter Desired 2015 Mill Rate:</v>
      </c>
      <c r="K34" s="523"/>
      <c r="L34" s="524"/>
      <c r="M34" s="521">
        <v>12</v>
      </c>
    </row>
    <row r="35" spans="1:13" ht="15.75">
      <c r="A35" s="854" t="str">
        <f>inputBudSum!B4</f>
        <v>Brett Trentman</v>
      </c>
      <c r="B35" s="854"/>
      <c r="C35" s="65"/>
      <c r="D35" s="65"/>
      <c r="E35" s="65"/>
      <c r="F35" s="65"/>
      <c r="G35" s="65"/>
      <c r="H35" s="65"/>
      <c r="J35" s="518" t="str">
        <f>CONCATENATE("Current ",$H$1," Estimated Mill Rate:")</f>
        <v>Current 2015 Estimated Mill Rate:</v>
      </c>
      <c r="K35" s="10"/>
      <c r="L35" s="10"/>
      <c r="M35" s="528">
        <f>IF(M34=0,0,$H$22)</f>
        <v>17.778</v>
      </c>
    </row>
    <row r="36" spans="1:13" ht="15.75">
      <c r="A36" s="845" t="str">
        <f>inputBudSum!B6</f>
        <v>Treasurer</v>
      </c>
      <c r="B36" s="846"/>
      <c r="C36" s="65"/>
      <c r="D36" s="65"/>
      <c r="E36" s="65"/>
      <c r="F36" s="65"/>
      <c r="G36" s="65"/>
      <c r="H36" s="65"/>
      <c r="J36" s="518" t="s">
        <v>735</v>
      </c>
      <c r="K36" s="10"/>
      <c r="L36" s="10"/>
      <c r="M36" s="529">
        <f>M34-M35</f>
        <v>-5.777999999999999</v>
      </c>
    </row>
    <row r="37" spans="1:13" ht="15.75">
      <c r="A37" s="65"/>
      <c r="B37" s="65"/>
      <c r="C37" s="65"/>
      <c r="D37" s="65"/>
      <c r="E37" s="65"/>
      <c r="F37" s="65"/>
      <c r="G37" s="65"/>
      <c r="H37" s="65"/>
      <c r="J37" s="505" t="s">
        <v>736</v>
      </c>
      <c r="K37" s="71"/>
      <c r="L37" s="71"/>
      <c r="M37" s="526">
        <f>IF(M34=0,0,ROUND(SUM(H19:H20)/M35,2))</f>
        <v>1</v>
      </c>
    </row>
    <row r="38" spans="1:13" ht="15.75">
      <c r="A38" s="65"/>
      <c r="B38" s="211" t="s">
        <v>266</v>
      </c>
      <c r="C38" s="212">
        <v>9</v>
      </c>
      <c r="D38" s="65"/>
      <c r="E38" s="65"/>
      <c r="F38" s="65"/>
      <c r="G38" s="65"/>
      <c r="H38" s="65"/>
      <c r="J38" s="505" t="s">
        <v>737</v>
      </c>
      <c r="K38" s="71"/>
      <c r="L38" s="71"/>
      <c r="M38" s="526" t="e">
        <f>IF(M34=0,0,ROUND(SUM(H18+#REF!+#REF!+#REF!+#REF!+#REF!+#REF!+#REF!)/M35,2))</f>
        <v>#VALUE!</v>
      </c>
    </row>
    <row r="39" spans="1:13" ht="15.75">
      <c r="A39" s="113"/>
      <c r="B39" s="113"/>
      <c r="C39" s="113"/>
      <c r="H39" s="527"/>
      <c r="J39" s="516" t="str">
        <f>CONCATENATE("",$H$1," Tax Levy Fund Total Exp. Changed By:")</f>
        <v>2015 Tax Levy Fund Total Exp. Changed By:</v>
      </c>
      <c r="K39" s="515"/>
      <c r="L39" s="515"/>
      <c r="M39" s="519"/>
    </row>
    <row r="40" spans="10:13" ht="15.75">
      <c r="J40" s="536" t="s">
        <v>738</v>
      </c>
      <c r="K40" s="537"/>
      <c r="L40" s="537"/>
      <c r="M40" s="532">
        <f>ROUND(F27*M36*M37/1000,0)</f>
        <v>-86544</v>
      </c>
    </row>
    <row r="41" spans="1:13" ht="15.75">
      <c r="A41" s="113"/>
      <c r="B41" s="113"/>
      <c r="C41" s="113"/>
      <c r="D41" s="113"/>
      <c r="E41" s="113"/>
      <c r="F41" s="113"/>
      <c r="G41" s="113"/>
      <c r="J41" s="513" t="s">
        <v>739</v>
      </c>
      <c r="K41" s="510"/>
      <c r="L41" s="510"/>
      <c r="M41" s="512" t="e">
        <f>ROUND(F26*M36*M38/1000,0)</f>
        <v>#VALUE!</v>
      </c>
    </row>
    <row r="42" spans="8:13" ht="15.75">
      <c r="H42" s="113"/>
      <c r="M42" s="530"/>
    </row>
    <row r="43" ht="15.75">
      <c r="M43" s="530"/>
    </row>
    <row r="63" spans="1:6" ht="15.75">
      <c r="A63" s="113"/>
      <c r="B63" s="113"/>
      <c r="C63" s="113"/>
      <c r="D63" s="113"/>
      <c r="E63" s="113"/>
      <c r="F63" s="113"/>
    </row>
    <row r="70" spans="1:7" ht="15.75">
      <c r="A70" s="113"/>
      <c r="B70" s="113"/>
      <c r="C70" s="113"/>
      <c r="D70" s="113"/>
      <c r="E70" s="113"/>
      <c r="F70" s="113"/>
      <c r="G70" s="113"/>
    </row>
    <row r="71" ht="15.75">
      <c r="H71" s="113"/>
    </row>
    <row r="76" spans="1:7" ht="15.75">
      <c r="A76" s="113"/>
      <c r="B76" s="113"/>
      <c r="C76" s="113"/>
      <c r="D76" s="113"/>
      <c r="E76" s="113"/>
      <c r="F76" s="113"/>
      <c r="G76" s="113"/>
    </row>
    <row r="77" ht="15.75">
      <c r="H77" s="113"/>
    </row>
    <row r="97" spans="1:7" ht="15.75">
      <c r="A97" s="113"/>
      <c r="B97" s="113"/>
      <c r="C97" s="113"/>
      <c r="D97" s="113"/>
      <c r="E97" s="113"/>
      <c r="F97" s="113"/>
      <c r="G97" s="113"/>
    </row>
  </sheetData>
  <sheetProtection/>
  <mergeCells count="16">
    <mergeCell ref="J22:M22"/>
    <mergeCell ref="J32:M32"/>
    <mergeCell ref="J20:M20"/>
    <mergeCell ref="A35:B35"/>
    <mergeCell ref="A4:H4"/>
    <mergeCell ref="G15:G17"/>
    <mergeCell ref="A7:H7"/>
    <mergeCell ref="A6:H6"/>
    <mergeCell ref="A5:H5"/>
    <mergeCell ref="A36:B36"/>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A3" sqref="A3"/>
    </sheetView>
  </sheetViews>
  <sheetFormatPr defaultColWidth="8.796875" defaultRowHeight="15.75"/>
  <sheetData>
    <row r="2" spans="3:9" ht="15.75">
      <c r="C2" s="664"/>
      <c r="D2" s="664"/>
      <c r="E2" s="664"/>
      <c r="F2" s="664"/>
      <c r="G2" s="664"/>
      <c r="H2" s="664"/>
      <c r="I2" s="745">
        <f>+inputPrYr!D9</f>
        <v>2015</v>
      </c>
    </row>
    <row r="3" spans="3:9" ht="16.5" thickBot="1">
      <c r="C3" s="664"/>
      <c r="D3" s="664"/>
      <c r="E3" s="664"/>
      <c r="F3" s="664"/>
      <c r="G3" s="664"/>
      <c r="H3" s="664"/>
      <c r="I3" s="664"/>
    </row>
    <row r="4" spans="3:9" ht="19.5" thickBot="1">
      <c r="C4" s="858" t="s">
        <v>983</v>
      </c>
      <c r="D4" s="859"/>
      <c r="E4" s="859"/>
      <c r="F4" s="859"/>
      <c r="G4" s="859"/>
      <c r="H4" s="859"/>
      <c r="I4" s="860"/>
    </row>
    <row r="5" spans="3:9" ht="16.5" thickBot="1">
      <c r="C5" s="746"/>
      <c r="D5" s="746"/>
      <c r="E5" s="747"/>
      <c r="F5" s="748"/>
      <c r="G5" s="746"/>
      <c r="H5" s="746"/>
      <c r="I5" s="746"/>
    </row>
    <row r="6" spans="3:9" ht="15.75">
      <c r="C6" s="861" t="str">
        <f>CONCATENATE("Notice of Vote - ",inputPrYr!D3)</f>
        <v>Notice of Vote - Walnut Township</v>
      </c>
      <c r="D6" s="862"/>
      <c r="E6" s="862"/>
      <c r="F6" s="862"/>
      <c r="G6" s="862"/>
      <c r="H6" s="862"/>
      <c r="I6" s="863"/>
    </row>
    <row r="7" spans="3:9" ht="60.75" customHeight="1" thickBot="1">
      <c r="C7" s="86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5"/>
      <c r="E7" s="865"/>
      <c r="F7" s="865"/>
      <c r="G7" s="865"/>
      <c r="H7" s="865"/>
      <c r="I7" s="866"/>
    </row>
  </sheetData>
  <sheetProtection/>
  <mergeCells count="3">
    <mergeCell ref="C4:I4"/>
    <mergeCell ref="C6:I6"/>
    <mergeCell ref="C7:I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E15" sqref="E15"/>
    </sheetView>
  </sheetViews>
  <sheetFormatPr defaultColWidth="8.796875" defaultRowHeight="15.75"/>
  <cols>
    <col min="5" max="5" width="12.19921875" style="0" customWidth="1"/>
    <col min="7" max="7" width="3.296875" style="0" customWidth="1"/>
  </cols>
  <sheetData>
    <row r="2" spans="3:8" ht="15.75">
      <c r="C2" s="664"/>
      <c r="D2" s="664"/>
      <c r="E2" s="664"/>
      <c r="F2" s="664"/>
      <c r="G2" s="664"/>
      <c r="H2" s="745">
        <f>inputPrYr!D9</f>
        <v>2015</v>
      </c>
    </row>
    <row r="3" spans="3:8" ht="16.5" thickBot="1">
      <c r="C3" s="664"/>
      <c r="D3" s="664"/>
      <c r="E3" s="664"/>
      <c r="F3" s="664"/>
      <c r="G3" s="664"/>
      <c r="H3" s="664"/>
    </row>
    <row r="4" spans="3:8" ht="19.5" thickBot="1">
      <c r="C4" s="867" t="s">
        <v>984</v>
      </c>
      <c r="D4" s="868"/>
      <c r="E4" s="868"/>
      <c r="F4" s="868"/>
      <c r="G4" s="868"/>
      <c r="H4" s="869"/>
    </row>
    <row r="5" spans="3:8" ht="16.5" thickBot="1">
      <c r="C5" s="749"/>
      <c r="D5" s="749"/>
      <c r="E5" s="749"/>
      <c r="F5" s="749"/>
      <c r="G5" s="749"/>
      <c r="H5" s="749"/>
    </row>
    <row r="6" spans="3:8" ht="15.75">
      <c r="C6" s="861" t="str">
        <f>CONCATENATE("Notice of Vote - ",inputPrYr!D3)</f>
        <v>Notice of Vote - Walnut Township</v>
      </c>
      <c r="D6" s="862"/>
      <c r="E6" s="862"/>
      <c r="F6" s="862"/>
      <c r="G6" s="862"/>
      <c r="H6" s="863"/>
    </row>
    <row r="7" spans="3:8" ht="15.75">
      <c r="C7" s="870" t="s">
        <v>985</v>
      </c>
      <c r="D7" s="871"/>
      <c r="E7" s="871"/>
      <c r="F7" s="871"/>
      <c r="G7" s="871"/>
      <c r="H7" s="872"/>
    </row>
    <row r="8" spans="3:8" ht="15.75">
      <c r="C8" s="870" t="s">
        <v>986</v>
      </c>
      <c r="D8" s="871"/>
      <c r="E8" s="871"/>
      <c r="F8" s="871"/>
      <c r="G8" s="871"/>
      <c r="H8" s="872"/>
    </row>
    <row r="9" spans="3:8" ht="15.75">
      <c r="C9" s="750" t="str">
        <f>CONCATENATE(H2-1," Budget")</f>
        <v>2014 Budget</v>
      </c>
      <c r="D9" s="751" t="s">
        <v>259</v>
      </c>
      <c r="E9" s="752">
        <f>inputPrYr!E26</f>
        <v>24951</v>
      </c>
      <c r="F9" s="753"/>
      <c r="G9" s="753"/>
      <c r="H9" s="754"/>
    </row>
    <row r="10" spans="3:8" ht="15.75">
      <c r="C10" s="750" t="str">
        <f>CONCATENATE(H2," Budget")</f>
        <v>2015 Budget</v>
      </c>
      <c r="D10" s="751" t="s">
        <v>259</v>
      </c>
      <c r="E10" s="755">
        <f>cert!E39</f>
        <v>266288</v>
      </c>
      <c r="F10" s="753"/>
      <c r="G10" s="753"/>
      <c r="H10" s="754"/>
    </row>
    <row r="11" spans="3:8" ht="15.75">
      <c r="C11" s="750"/>
      <c r="D11" s="753"/>
      <c r="E11" s="753" t="s">
        <v>987</v>
      </c>
      <c r="F11" s="756"/>
      <c r="G11" s="757" t="s">
        <v>988</v>
      </c>
      <c r="H11" s="758"/>
    </row>
    <row r="12" spans="3:8" ht="16.5" thickBot="1">
      <c r="C12" s="759"/>
      <c r="D12" s="760"/>
      <c r="E12" s="760"/>
      <c r="F12" s="760"/>
      <c r="G12" s="760"/>
      <c r="H12" s="761"/>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Walnut Township</v>
      </c>
      <c r="B1" s="65"/>
      <c r="C1" s="65"/>
      <c r="D1" s="65"/>
      <c r="E1" s="65"/>
      <c r="F1" s="65">
        <f>inputPrYr!D9</f>
        <v>2015</v>
      </c>
    </row>
    <row r="2" spans="1:6" ht="15.75">
      <c r="A2" s="65"/>
      <c r="B2" s="65"/>
      <c r="C2" s="65"/>
      <c r="D2" s="65"/>
      <c r="E2" s="65"/>
      <c r="F2" s="65"/>
    </row>
    <row r="3" spans="1:6" ht="15.75">
      <c r="A3" s="65"/>
      <c r="B3" s="798" t="str">
        <f>CONCATENATE("",F1," Neighborhood Revitalization Rebate")</f>
        <v>2015 Neighborhood Revitalization Rebate</v>
      </c>
      <c r="C3" s="806"/>
      <c r="D3" s="806"/>
      <c r="E3" s="806"/>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224</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75" t="str">
        <f>CONCATENATE("",F1-1," July 1 Valuation:")</f>
        <v>2014 July 1 Valuation:</v>
      </c>
      <c r="B21" s="874"/>
      <c r="C21" s="875"/>
      <c r="D21" s="347">
        <f>inputOth!E11</f>
        <v>17123908</v>
      </c>
      <c r="E21" s="65"/>
      <c r="F21" s="192"/>
    </row>
    <row r="22" spans="1:6" ht="15.75">
      <c r="A22" s="65"/>
      <c r="B22" s="65"/>
      <c r="C22" s="65"/>
      <c r="D22" s="65"/>
      <c r="E22" s="65"/>
      <c r="F22" s="192"/>
    </row>
    <row r="23" spans="1:6" ht="15.75">
      <c r="A23" s="65"/>
      <c r="B23" s="875" t="s">
        <v>372</v>
      </c>
      <c r="C23" s="875"/>
      <c r="D23" s="348">
        <f>IF(D21&gt;0,(D21*0.001),"")</f>
        <v>17123.908</v>
      </c>
      <c r="E23" s="65"/>
      <c r="F23" s="192"/>
    </row>
    <row r="24" spans="1:6" ht="15.75">
      <c r="A24" s="65"/>
      <c r="B24" s="117"/>
      <c r="C24" s="117"/>
      <c r="D24" s="349"/>
      <c r="E24" s="65"/>
      <c r="F24" s="192"/>
    </row>
    <row r="25" spans="1:6" ht="15.75">
      <c r="A25" s="873" t="s">
        <v>373</v>
      </c>
      <c r="B25" s="794"/>
      <c r="C25" s="794"/>
      <c r="D25" s="350">
        <f>inputOth!E33</f>
        <v>0</v>
      </c>
      <c r="E25" s="179"/>
      <c r="F25" s="179"/>
    </row>
    <row r="26" spans="1:6" ht="15.75">
      <c r="A26" s="179"/>
      <c r="B26" s="179"/>
      <c r="C26" s="179"/>
      <c r="D26" s="351"/>
      <c r="E26" s="179"/>
      <c r="F26" s="179"/>
    </row>
    <row r="27" spans="1:6" ht="15.75">
      <c r="A27" s="179"/>
      <c r="B27" s="873" t="s">
        <v>374</v>
      </c>
      <c r="C27" s="874"/>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615</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266</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76" t="s">
        <v>77</v>
      </c>
      <c r="B1" s="876"/>
      <c r="C1" s="876"/>
      <c r="D1" s="876"/>
      <c r="E1" s="876"/>
      <c r="F1" s="876"/>
      <c r="G1" s="876"/>
    </row>
    <row r="2" ht="15.75">
      <c r="A2" s="21"/>
    </row>
    <row r="3" spans="1:7" ht="15.75">
      <c r="A3" s="877" t="s">
        <v>78</v>
      </c>
      <c r="B3" s="877"/>
      <c r="C3" s="877"/>
      <c r="D3" s="877"/>
      <c r="E3" s="877"/>
      <c r="F3" s="877"/>
      <c r="G3" s="877"/>
    </row>
    <row r="4" ht="15.75">
      <c r="A4" s="22"/>
    </row>
    <row r="5" ht="15.75">
      <c r="A5" s="22"/>
    </row>
    <row r="6" spans="1:9" ht="15.75">
      <c r="A6" s="28" t="str">
        <f>CONCATENATE("A resolution expressing the property taxation policy of the Board of ",(inputPrYr!D3)," ")</f>
        <v>A resolution expressing the property taxation policy of the Board of Walnut Township </v>
      </c>
      <c r="I6">
        <f>CONCATENATE(I7)</f>
      </c>
    </row>
    <row r="7" spans="1:7" ht="15.75">
      <c r="A7" s="878" t="str">
        <f>CONCATENATE("   with respect to financing the ",inputPrYr!D9," annual budget for ",(inputPrYr!D3)," , ",(inputPrYr!D4)," , Kansas.")</f>
        <v>   with respect to financing the 2015 annual budget for Walnut Township , Brown County , Kansas.</v>
      </c>
      <c r="B7" s="775"/>
      <c r="C7" s="775"/>
      <c r="D7" s="775"/>
      <c r="E7" s="775"/>
      <c r="F7" s="775"/>
      <c r="G7" s="775"/>
    </row>
    <row r="8" spans="1:7" ht="15.75">
      <c r="A8" s="775"/>
      <c r="B8" s="775"/>
      <c r="C8" s="775"/>
      <c r="D8" s="775"/>
      <c r="E8" s="775"/>
      <c r="F8" s="775"/>
      <c r="G8" s="775"/>
    </row>
    <row r="9" ht="15.75">
      <c r="A9" s="21"/>
    </row>
    <row r="10" ht="15.75">
      <c r="A10" s="29" t="s">
        <v>79</v>
      </c>
    </row>
    <row r="11" ht="15.75">
      <c r="A11" s="27" t="str">
        <f>CONCATENATE("to finance the ",inputPrYr!D9," ",(inputPrYr!D3)," budget exceed the amount levied to finance the ",inputPrYr!D9-1,"")</f>
        <v>to finance the 2015 Walnut Township budget exceed the amount levied to finance the 2014</v>
      </c>
    </row>
    <row r="12" spans="1:7" ht="15.75">
      <c r="A12" s="881" t="str">
        <f>CONCATENATE((inputPrYr!D3),"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775"/>
      <c r="C12" s="775"/>
      <c r="D12" s="775"/>
      <c r="E12" s="775"/>
      <c r="F12" s="775"/>
      <c r="G12" s="775"/>
    </row>
    <row r="13" spans="1:7" ht="15.75">
      <c r="A13" s="775"/>
      <c r="B13" s="775"/>
      <c r="C13" s="775"/>
      <c r="D13" s="775"/>
      <c r="E13" s="775"/>
      <c r="F13" s="775"/>
      <c r="G13" s="775"/>
    </row>
    <row r="14" spans="1:7" ht="15.75">
      <c r="A14" s="881" t="s">
        <v>84</v>
      </c>
      <c r="B14" s="775"/>
      <c r="C14" s="775"/>
      <c r="D14" s="775"/>
      <c r="E14" s="775"/>
      <c r="F14" s="775"/>
      <c r="G14" s="775"/>
    </row>
    <row r="15" spans="1:7" ht="15.75">
      <c r="A15" s="775"/>
      <c r="B15" s="775"/>
      <c r="C15" s="775"/>
      <c r="D15" s="775"/>
      <c r="E15" s="775"/>
      <c r="F15" s="775"/>
      <c r="G15" s="775"/>
    </row>
    <row r="16" spans="1:7" ht="15.75">
      <c r="A16" s="882"/>
      <c r="B16" s="882"/>
      <c r="C16" s="882"/>
      <c r="D16" s="882"/>
      <c r="E16" s="882"/>
      <c r="F16" s="882"/>
      <c r="G16" s="882"/>
    </row>
    <row r="17" ht="15.75">
      <c r="A17" s="22"/>
    </row>
    <row r="18" spans="1:7" ht="15.75">
      <c r="A18" s="879" t="s">
        <v>80</v>
      </c>
      <c r="B18" s="775"/>
      <c r="C18" s="775"/>
      <c r="D18" s="775"/>
      <c r="E18" s="775"/>
      <c r="F18" s="775"/>
      <c r="G18" s="775"/>
    </row>
    <row r="19" spans="1:7" ht="15.75">
      <c r="A19" s="775"/>
      <c r="B19" s="775"/>
      <c r="C19" s="775"/>
      <c r="D19" s="775"/>
      <c r="E19" s="775"/>
      <c r="F19" s="775"/>
      <c r="G19" s="775"/>
    </row>
    <row r="20" ht="15.75">
      <c r="A20" s="22"/>
    </row>
    <row r="21" spans="1:7" ht="15.75">
      <c r="A21" s="879" t="str">
        <f>CONCATENATE("Whereas, ",(inputPrYr!D3)," provides essential services to protect the safety and well being of the citizens of the township; and")</f>
        <v>Whereas, Walnut Township provides essential services to protect the safety and well being of the citizens of the township; and</v>
      </c>
      <c r="B21" s="775"/>
      <c r="C21" s="775"/>
      <c r="D21" s="775"/>
      <c r="E21" s="775"/>
      <c r="F21" s="775"/>
      <c r="G21" s="775"/>
    </row>
    <row r="22" spans="1:7" ht="15.75">
      <c r="A22" s="775"/>
      <c r="B22" s="775"/>
      <c r="C22" s="775"/>
      <c r="D22" s="775"/>
      <c r="E22" s="775"/>
      <c r="F22" s="775"/>
      <c r="G22" s="775"/>
    </row>
    <row r="23" ht="15.75">
      <c r="A23" s="24"/>
    </row>
    <row r="24" ht="15.75">
      <c r="A24" s="23" t="s">
        <v>81</v>
      </c>
    </row>
    <row r="25" ht="15.75">
      <c r="A25" s="24"/>
    </row>
    <row r="26" spans="1:7" ht="15.75">
      <c r="A26" s="879" t="str">
        <f>CONCATENATE("NOW, THEREFORE, BE IT RESOLVED by the Board of ",(inputPrYr!D3)," of ",(inputPrYr!D4),", Kansas that is our desire to notify the public of increased property taxes to finance the ",inputPrYr!D9," ",(inputPrYr!D3),"  budget as defined above.")</f>
        <v>NOW, THEREFORE, BE IT RESOLVED by the Board of Walnut Township of Brown County, Kansas that is our desire to notify the public of increased property taxes to finance the 2015 Walnut Township  budget as defined above.</v>
      </c>
      <c r="B26" s="775"/>
      <c r="C26" s="775"/>
      <c r="D26" s="775"/>
      <c r="E26" s="775"/>
      <c r="F26" s="775"/>
      <c r="G26" s="775"/>
    </row>
    <row r="27" spans="1:7" ht="15.75">
      <c r="A27" s="775"/>
      <c r="B27" s="775"/>
      <c r="C27" s="775"/>
      <c r="D27" s="775"/>
      <c r="E27" s="775"/>
      <c r="F27" s="775"/>
      <c r="G27" s="775"/>
    </row>
    <row r="28" spans="1:7" ht="15.75">
      <c r="A28" s="775"/>
      <c r="B28" s="775"/>
      <c r="C28" s="775"/>
      <c r="D28" s="775"/>
      <c r="E28" s="775"/>
      <c r="F28" s="775"/>
      <c r="G28" s="775"/>
    </row>
    <row r="29" ht="15.75">
      <c r="A29" s="24"/>
    </row>
    <row r="30" spans="1:7" ht="15.75">
      <c r="A30" s="884" t="str">
        <f>CONCATENATE("Adopted this _________ day of ___________, ",inputPrYr!D9-1," by the ",(inputPrYr!D3)," Board, ",(inputPrYr!D4),", Kansas.")</f>
        <v>Adopted this _________ day of ___________, 2014 by the Walnut Township Board, Brown County, Kansas.</v>
      </c>
      <c r="B30" s="775"/>
      <c r="C30" s="775"/>
      <c r="D30" s="775"/>
      <c r="E30" s="775"/>
      <c r="F30" s="775"/>
      <c r="G30" s="775"/>
    </row>
    <row r="31" spans="1:7" ht="15.75">
      <c r="A31" s="775"/>
      <c r="B31" s="775"/>
      <c r="C31" s="775"/>
      <c r="D31" s="775"/>
      <c r="E31" s="775"/>
      <c r="F31" s="775"/>
      <c r="G31" s="775"/>
    </row>
    <row r="32" ht="15.75">
      <c r="A32" s="24"/>
    </row>
    <row r="33" spans="4:7" ht="15.75">
      <c r="D33" s="880" t="str">
        <f>CONCATENATE((inputPrYr!D3)," Board")</f>
        <v>Walnut Township Board</v>
      </c>
      <c r="E33" s="880"/>
      <c r="F33" s="880"/>
      <c r="G33" s="880"/>
    </row>
    <row r="35" spans="4:7" ht="15.75">
      <c r="D35" s="883" t="s">
        <v>82</v>
      </c>
      <c r="E35" s="883"/>
      <c r="F35" s="883"/>
      <c r="G35" s="883"/>
    </row>
    <row r="36" spans="1:7" ht="15.75">
      <c r="A36" s="25"/>
      <c r="D36" s="883" t="s">
        <v>86</v>
      </c>
      <c r="E36" s="883"/>
      <c r="F36" s="883"/>
      <c r="G36" s="883"/>
    </row>
    <row r="37" spans="4:7" ht="15.75">
      <c r="D37" s="883"/>
      <c r="E37" s="883"/>
      <c r="F37" s="883"/>
      <c r="G37" s="883"/>
    </row>
    <row r="38" spans="4:7" ht="15.75">
      <c r="D38" s="883" t="s">
        <v>82</v>
      </c>
      <c r="E38" s="883"/>
      <c r="F38" s="883"/>
      <c r="G38" s="883"/>
    </row>
    <row r="39" spans="1:7" ht="15.75">
      <c r="A39" s="24"/>
      <c r="D39" s="883" t="s">
        <v>87</v>
      </c>
      <c r="E39" s="883"/>
      <c r="F39" s="883"/>
      <c r="G39" s="883"/>
    </row>
    <row r="40" spans="4:7" ht="15.75">
      <c r="D40" s="883"/>
      <c r="E40" s="883"/>
      <c r="F40" s="883"/>
      <c r="G40" s="883"/>
    </row>
    <row r="41" spans="4:7" ht="15.75">
      <c r="D41" s="883" t="s">
        <v>85</v>
      </c>
      <c r="E41" s="883"/>
      <c r="F41" s="883"/>
      <c r="G41" s="883"/>
    </row>
    <row r="42" spans="1:7" ht="15.75">
      <c r="A42" s="24"/>
      <c r="D42" s="883" t="s">
        <v>88</v>
      </c>
      <c r="E42" s="883"/>
      <c r="F42" s="883"/>
      <c r="G42" s="883"/>
    </row>
    <row r="43" ht="15.75">
      <c r="A43" s="26"/>
    </row>
    <row r="44" ht="15.75">
      <c r="A44" s="26"/>
    </row>
    <row r="45" ht="15.75">
      <c r="A45" s="26" t="s">
        <v>83</v>
      </c>
    </row>
    <row r="50" spans="3:4" ht="15.75">
      <c r="C50" s="32" t="s">
        <v>266</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406</v>
      </c>
      <c r="B3" s="374"/>
      <c r="C3" s="374"/>
      <c r="D3" s="374"/>
      <c r="E3" s="374"/>
      <c r="F3" s="374"/>
      <c r="G3" s="374"/>
      <c r="H3" s="374"/>
      <c r="I3" s="374"/>
      <c r="J3" s="374"/>
      <c r="K3" s="374"/>
      <c r="L3" s="374"/>
    </row>
    <row r="5" ht="15.75">
      <c r="A5" s="375" t="s">
        <v>407</v>
      </c>
    </row>
    <row r="6" ht="15.75">
      <c r="A6" s="375" t="str">
        <f>CONCATENATE(inputPrYr!D9-2," 'total expenditures' exceed your ",inputPrYr!D9-2," 'budget authority.'")</f>
        <v>2013 'total expenditures' exceed your 2013 'budget authority.'</v>
      </c>
    </row>
    <row r="7" ht="15.75">
      <c r="A7" s="375"/>
    </row>
    <row r="8" ht="15.75">
      <c r="A8" s="375" t="s">
        <v>408</v>
      </c>
    </row>
    <row r="9" ht="15.75">
      <c r="A9" s="375" t="s">
        <v>409</v>
      </c>
    </row>
    <row r="10" ht="15.75">
      <c r="A10" s="375" t="s">
        <v>410</v>
      </c>
    </row>
    <row r="11" ht="15.75">
      <c r="A11" s="375"/>
    </row>
    <row r="12" ht="15.75">
      <c r="A12" s="375"/>
    </row>
    <row r="13" ht="15.75">
      <c r="A13" s="376" t="s">
        <v>411</v>
      </c>
    </row>
    <row r="15" ht="15.75">
      <c r="A15" s="375" t="s">
        <v>412</v>
      </c>
    </row>
    <row r="16" ht="15.75">
      <c r="A16" s="375" t="str">
        <f>CONCATENATE("(i.e. an audit has not been completed, or the ",inputPrYr!D9," adopted")</f>
        <v>(i.e. an audit has not been completed, or the 2015 adopted</v>
      </c>
    </row>
    <row r="17" ht="15.75">
      <c r="A17" s="375" t="s">
        <v>413</v>
      </c>
    </row>
    <row r="18" ht="15.75">
      <c r="A18" s="375" t="s">
        <v>414</v>
      </c>
    </row>
    <row r="19" ht="15.75">
      <c r="A19" s="375" t="s">
        <v>415</v>
      </c>
    </row>
    <row r="21" ht="15.75">
      <c r="A21" s="376" t="s">
        <v>416</v>
      </c>
    </row>
    <row r="22" ht="15.75">
      <c r="A22" s="376"/>
    </row>
    <row r="23" ht="15.75">
      <c r="A23" s="375" t="s">
        <v>417</v>
      </c>
    </row>
    <row r="24" ht="15.75">
      <c r="A24" s="375" t="s">
        <v>418</v>
      </c>
    </row>
    <row r="25" ht="15.75">
      <c r="A25" s="375" t="str">
        <f>CONCATENATE("particular fund.  If your ",inputPrYr!D9-2," budget was amended, did you")</f>
        <v>particular fund.  If your 2013 budget was amended, did you</v>
      </c>
    </row>
    <row r="26" ht="15.75">
      <c r="A26" s="375" t="s">
        <v>419</v>
      </c>
    </row>
    <row r="27" ht="15.75">
      <c r="A27" s="375"/>
    </row>
    <row r="28" ht="15.75">
      <c r="A28" s="375" t="str">
        <f>CONCATENATE("Next, look to see if any of your ",inputPrYr!D9-2," expenditures can be")</f>
        <v>Next, look to see if any of your 2013 expenditures can be</v>
      </c>
    </row>
    <row r="29" ht="15.75">
      <c r="A29" s="375" t="s">
        <v>420</v>
      </c>
    </row>
    <row r="30" ht="15.75">
      <c r="A30" s="375" t="s">
        <v>421</v>
      </c>
    </row>
    <row r="31" ht="15.75">
      <c r="A31" s="375" t="s">
        <v>422</v>
      </c>
    </row>
    <row r="32" ht="15.75">
      <c r="A32" s="375"/>
    </row>
    <row r="33" ht="15.75">
      <c r="A33" s="375" t="str">
        <f>CONCATENATE("Additionally, do your ",inputPrYr!D9-2," receipts contain a reimbursement")</f>
        <v>Additionally, do your 2013 receipts contain a reimbursement</v>
      </c>
    </row>
    <row r="34" ht="15.75">
      <c r="A34" s="375" t="s">
        <v>423</v>
      </c>
    </row>
    <row r="35" ht="15.75">
      <c r="A35" s="375" t="s">
        <v>424</v>
      </c>
    </row>
    <row r="36" ht="15.75">
      <c r="A36" s="375"/>
    </row>
    <row r="37" ht="15.75">
      <c r="A37" s="375" t="s">
        <v>425</v>
      </c>
    </row>
    <row r="38" ht="15.75">
      <c r="A38" s="375" t="s">
        <v>426</v>
      </c>
    </row>
    <row r="39" ht="15.75">
      <c r="A39" s="375" t="s">
        <v>427</v>
      </c>
    </row>
    <row r="40" ht="15.75">
      <c r="A40" s="375" t="s">
        <v>428</v>
      </c>
    </row>
    <row r="41" ht="15.75">
      <c r="A41" s="375" t="s">
        <v>429</v>
      </c>
    </row>
    <row r="42" ht="15.75">
      <c r="A42" s="375" t="s">
        <v>430</v>
      </c>
    </row>
    <row r="43" ht="15.75">
      <c r="A43" s="375" t="s">
        <v>431</v>
      </c>
    </row>
    <row r="44" ht="15.75">
      <c r="A44" s="375" t="s">
        <v>432</v>
      </c>
    </row>
    <row r="45" ht="15.75">
      <c r="A45" s="375"/>
    </row>
    <row r="46" ht="15.75">
      <c r="A46" s="375" t="s">
        <v>433</v>
      </c>
    </row>
    <row r="47" ht="15.75">
      <c r="A47" s="375" t="s">
        <v>434</v>
      </c>
    </row>
    <row r="48" ht="15.75">
      <c r="A48" s="375" t="s">
        <v>435</v>
      </c>
    </row>
    <row r="49" ht="15.75">
      <c r="A49" s="375"/>
    </row>
    <row r="50" ht="15.75">
      <c r="A50" s="375" t="s">
        <v>436</v>
      </c>
    </row>
    <row r="51" ht="15.75">
      <c r="A51" s="375" t="s">
        <v>437</v>
      </c>
    </row>
    <row r="52" ht="15.75">
      <c r="A52" s="375" t="s">
        <v>438</v>
      </c>
    </row>
    <row r="53" ht="15.75">
      <c r="A53" s="375"/>
    </row>
    <row r="54" ht="15.75">
      <c r="A54" s="376" t="s">
        <v>439</v>
      </c>
    </row>
    <row r="55" ht="15.75">
      <c r="A55" s="375"/>
    </row>
    <row r="56" ht="15.75">
      <c r="A56" s="375" t="s">
        <v>440</v>
      </c>
    </row>
    <row r="57" ht="15.75">
      <c r="A57" s="375" t="s">
        <v>441</v>
      </c>
    </row>
    <row r="58" ht="15.75">
      <c r="A58" s="375" t="s">
        <v>442</v>
      </c>
    </row>
    <row r="59" ht="15.75">
      <c r="A59" s="375" t="s">
        <v>443</v>
      </c>
    </row>
    <row r="60" ht="15.75">
      <c r="A60" s="375" t="s">
        <v>444</v>
      </c>
    </row>
    <row r="61" ht="15.75">
      <c r="A61" s="375" t="s">
        <v>445</v>
      </c>
    </row>
    <row r="62" ht="15.75">
      <c r="A62" s="375" t="s">
        <v>446</v>
      </c>
    </row>
    <row r="63" ht="15.75">
      <c r="A63" s="375" t="s">
        <v>447</v>
      </c>
    </row>
    <row r="64" ht="15.75">
      <c r="A64" s="375" t="s">
        <v>448</v>
      </c>
    </row>
    <row r="65" ht="15.75">
      <c r="A65" s="375" t="s">
        <v>449</v>
      </c>
    </row>
    <row r="66" ht="15.75">
      <c r="A66" s="375" t="s">
        <v>450</v>
      </c>
    </row>
    <row r="67" ht="15.75">
      <c r="A67" s="375" t="s">
        <v>451</v>
      </c>
    </row>
    <row r="68" ht="15.75">
      <c r="A68" s="375" t="s">
        <v>452</v>
      </c>
    </row>
    <row r="69" ht="15.75">
      <c r="A69" s="375"/>
    </row>
    <row r="70" ht="15.75">
      <c r="A70" s="375" t="s">
        <v>453</v>
      </c>
    </row>
    <row r="71" ht="15.75">
      <c r="A71" s="375" t="s">
        <v>454</v>
      </c>
    </row>
    <row r="72" ht="15.75">
      <c r="A72" s="375" t="s">
        <v>455</v>
      </c>
    </row>
    <row r="73" ht="15.75">
      <c r="A73" s="375"/>
    </row>
    <row r="74" ht="15.75">
      <c r="A74" s="376" t="str">
        <f>CONCATENATE("What if the ",inputPrYr!D9-2," financial records have been closed?")</f>
        <v>What if the 2013 financial records have been closed?</v>
      </c>
    </row>
    <row r="76" ht="15.75">
      <c r="A76" s="375" t="s">
        <v>456</v>
      </c>
    </row>
    <row r="77" ht="15.75">
      <c r="A77" s="375" t="str">
        <f>CONCATENATE("(i.e. an audit for ",inputPrYr!D9-2," has been completed, or the ",inputPrYr!D9)</f>
        <v>(i.e. an audit for 2013 has been completed, or the 2015</v>
      </c>
    </row>
    <row r="78" ht="15.75">
      <c r="A78" s="375" t="s">
        <v>457</v>
      </c>
    </row>
    <row r="79" ht="15.75">
      <c r="A79" s="375" t="s">
        <v>458</v>
      </c>
    </row>
    <row r="80" ht="15.75">
      <c r="A80" s="375"/>
    </row>
    <row r="81" ht="15.75">
      <c r="A81" s="375" t="s">
        <v>459</v>
      </c>
    </row>
    <row r="82" ht="15.75">
      <c r="A82" s="375" t="s">
        <v>460</v>
      </c>
    </row>
    <row r="83" ht="15.75">
      <c r="A83" s="375" t="s">
        <v>461</v>
      </c>
    </row>
    <row r="84" ht="15.75">
      <c r="A84" s="375"/>
    </row>
    <row r="85" ht="15.75">
      <c r="A85" s="375" t="s">
        <v>462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463</v>
      </c>
      <c r="B3" s="374"/>
      <c r="C3" s="374"/>
      <c r="D3" s="374"/>
      <c r="E3" s="374"/>
      <c r="F3" s="374"/>
      <c r="G3" s="374"/>
      <c r="H3" s="377"/>
      <c r="I3" s="377"/>
      <c r="J3" s="377"/>
    </row>
    <row r="5" ht="15.75">
      <c r="A5" s="375" t="s">
        <v>464</v>
      </c>
    </row>
    <row r="6" ht="15.75">
      <c r="A6" t="str">
        <f>CONCATENATE(inputPrYr!D9-2," expenditures show that you finished the year with a ")</f>
        <v>2013 expenditures show that you finished the year with a </v>
      </c>
    </row>
    <row r="7" ht="15.75">
      <c r="A7" t="s">
        <v>465</v>
      </c>
    </row>
    <row r="9" ht="15.75">
      <c r="A9" t="s">
        <v>466</v>
      </c>
    </row>
    <row r="10" ht="15.75">
      <c r="A10" t="s">
        <v>467</v>
      </c>
    </row>
    <row r="11" ht="15.75">
      <c r="A11" t="s">
        <v>468</v>
      </c>
    </row>
    <row r="13" ht="15.75">
      <c r="A13" s="376" t="s">
        <v>469</v>
      </c>
    </row>
    <row r="14" ht="15.75">
      <c r="A14" s="376"/>
    </row>
    <row r="15" ht="15.75">
      <c r="A15" s="375" t="s">
        <v>470</v>
      </c>
    </row>
    <row r="16" ht="15.75">
      <c r="A16" s="375" t="s">
        <v>471</v>
      </c>
    </row>
    <row r="17" ht="15.75">
      <c r="A17" s="375" t="s">
        <v>472</v>
      </c>
    </row>
    <row r="18" ht="15.75">
      <c r="A18" s="375"/>
    </row>
    <row r="19" ht="15.75">
      <c r="A19" s="376" t="s">
        <v>473</v>
      </c>
    </row>
    <row r="20" ht="15.75">
      <c r="A20" s="376"/>
    </row>
    <row r="21" ht="15.75">
      <c r="A21" s="375" t="s">
        <v>474</v>
      </c>
    </row>
    <row r="22" ht="15.75">
      <c r="A22" s="375" t="s">
        <v>475</v>
      </c>
    </row>
    <row r="23" ht="15.75">
      <c r="A23" s="375" t="s">
        <v>476</v>
      </c>
    </row>
    <row r="24" ht="15.75">
      <c r="A24" s="375"/>
    </row>
    <row r="25" ht="15.75">
      <c r="A25" s="376" t="s">
        <v>477</v>
      </c>
    </row>
    <row r="26" ht="15.75">
      <c r="A26" s="376"/>
    </row>
    <row r="27" ht="15.75">
      <c r="A27" s="375" t="s">
        <v>478</v>
      </c>
    </row>
    <row r="28" ht="15.75">
      <c r="A28" s="375" t="s">
        <v>479</v>
      </c>
    </row>
    <row r="29" ht="15.75">
      <c r="A29" s="375" t="s">
        <v>480</v>
      </c>
    </row>
    <row r="30" ht="15.75">
      <c r="A30" s="375"/>
    </row>
    <row r="31" ht="15.75">
      <c r="A31" s="376" t="s">
        <v>481</v>
      </c>
    </row>
    <row r="32" ht="15.75">
      <c r="A32" s="376"/>
    </row>
    <row r="33" spans="1:8" ht="15.75">
      <c r="A33" s="375" t="str">
        <f>CONCATENATE("If your financial records for ",inputPrYr!D9-2," are not closed")</f>
        <v>If your financial records for 2013 are not closed</v>
      </c>
      <c r="B33" s="375"/>
      <c r="C33" s="375"/>
      <c r="D33" s="375"/>
      <c r="E33" s="375"/>
      <c r="F33" s="375"/>
      <c r="G33" s="375"/>
      <c r="H33" s="375"/>
    </row>
    <row r="34" spans="1:8" ht="15.75">
      <c r="A34" s="375" t="str">
        <f>CONCATENATE("(i.e. an audit has not been completed, or the ",inputPrYr!D9," adopted ")</f>
        <v>(i.e. an audit has not been completed, or the 2015 adopted </v>
      </c>
      <c r="B34" s="375"/>
      <c r="C34" s="375"/>
      <c r="D34" s="375"/>
      <c r="E34" s="375"/>
      <c r="F34" s="375"/>
      <c r="G34" s="375"/>
      <c r="H34" s="375"/>
    </row>
    <row r="35" spans="1:8" ht="15.75">
      <c r="A35" s="375" t="s">
        <v>482</v>
      </c>
      <c r="B35" s="375"/>
      <c r="C35" s="375"/>
      <c r="D35" s="375"/>
      <c r="E35" s="375"/>
      <c r="F35" s="375"/>
      <c r="G35" s="375"/>
      <c r="H35" s="375"/>
    </row>
    <row r="36" spans="1:8" ht="15.75">
      <c r="A36" s="375" t="s">
        <v>483</v>
      </c>
      <c r="B36" s="375"/>
      <c r="C36" s="375"/>
      <c r="D36" s="375"/>
      <c r="E36" s="375"/>
      <c r="F36" s="375"/>
      <c r="G36" s="375"/>
      <c r="H36" s="375"/>
    </row>
    <row r="37" spans="1:8" ht="15.75">
      <c r="A37" s="375" t="s">
        <v>484</v>
      </c>
      <c r="B37" s="375"/>
      <c r="C37" s="375"/>
      <c r="D37" s="375"/>
      <c r="E37" s="375"/>
      <c r="F37" s="375"/>
      <c r="G37" s="375"/>
      <c r="H37" s="375"/>
    </row>
    <row r="38" spans="1:8" ht="15.75">
      <c r="A38" s="375" t="s">
        <v>485</v>
      </c>
      <c r="B38" s="375"/>
      <c r="C38" s="375"/>
      <c r="D38" s="375"/>
      <c r="E38" s="375"/>
      <c r="F38" s="375"/>
      <c r="G38" s="375"/>
      <c r="H38" s="375"/>
    </row>
    <row r="39" spans="1:8" ht="15.75">
      <c r="A39" s="375" t="s">
        <v>486</v>
      </c>
      <c r="B39" s="375"/>
      <c r="C39" s="375"/>
      <c r="D39" s="375"/>
      <c r="E39" s="375"/>
      <c r="F39" s="375"/>
      <c r="G39" s="375"/>
      <c r="H39" s="375"/>
    </row>
    <row r="40" spans="1:8" ht="15.75">
      <c r="A40" s="375"/>
      <c r="B40" s="375"/>
      <c r="C40" s="375"/>
      <c r="D40" s="375"/>
      <c r="E40" s="375"/>
      <c r="F40" s="375"/>
      <c r="G40" s="375"/>
      <c r="H40" s="375"/>
    </row>
    <row r="41" spans="1:8" ht="15.75">
      <c r="A41" s="375" t="s">
        <v>487</v>
      </c>
      <c r="B41" s="375"/>
      <c r="C41" s="375"/>
      <c r="D41" s="375"/>
      <c r="E41" s="375"/>
      <c r="F41" s="375"/>
      <c r="G41" s="375"/>
      <c r="H41" s="375"/>
    </row>
    <row r="42" spans="1:8" ht="15.75">
      <c r="A42" s="375" t="s">
        <v>488</v>
      </c>
      <c r="B42" s="375"/>
      <c r="C42" s="375"/>
      <c r="D42" s="375"/>
      <c r="E42" s="375"/>
      <c r="F42" s="375"/>
      <c r="G42" s="375"/>
      <c r="H42" s="375"/>
    </row>
    <row r="43" spans="1:8" ht="15.75">
      <c r="A43" s="375" t="s">
        <v>489</v>
      </c>
      <c r="B43" s="375"/>
      <c r="C43" s="375"/>
      <c r="D43" s="375"/>
      <c r="E43" s="375"/>
      <c r="F43" s="375"/>
      <c r="G43" s="375"/>
      <c r="H43" s="375"/>
    </row>
    <row r="44" spans="1:8" ht="15.75">
      <c r="A44" s="375" t="s">
        <v>490</v>
      </c>
      <c r="B44" s="375"/>
      <c r="C44" s="375"/>
      <c r="D44" s="375"/>
      <c r="E44" s="375"/>
      <c r="F44" s="375"/>
      <c r="G44" s="375"/>
      <c r="H44" s="375"/>
    </row>
    <row r="45" spans="1:8" ht="15.75">
      <c r="A45" s="375"/>
      <c r="B45" s="375"/>
      <c r="C45" s="375"/>
      <c r="D45" s="375"/>
      <c r="E45" s="375"/>
      <c r="F45" s="375"/>
      <c r="G45" s="375"/>
      <c r="H45" s="375"/>
    </row>
    <row r="46" spans="1:8" ht="15.75">
      <c r="A46" s="375" t="s">
        <v>491</v>
      </c>
      <c r="B46" s="375"/>
      <c r="C46" s="375"/>
      <c r="D46" s="375"/>
      <c r="E46" s="375"/>
      <c r="F46" s="375"/>
      <c r="G46" s="375"/>
      <c r="H46" s="375"/>
    </row>
    <row r="47" spans="1:8" ht="15.75">
      <c r="A47" s="375" t="s">
        <v>492</v>
      </c>
      <c r="B47" s="375"/>
      <c r="C47" s="375"/>
      <c r="D47" s="375"/>
      <c r="E47" s="375"/>
      <c r="F47" s="375"/>
      <c r="G47" s="375"/>
      <c r="H47" s="375"/>
    </row>
    <row r="48" spans="1:8" ht="15.75">
      <c r="A48" s="375" t="s">
        <v>493</v>
      </c>
      <c r="B48" s="375"/>
      <c r="C48" s="375"/>
      <c r="D48" s="375"/>
      <c r="E48" s="375"/>
      <c r="F48" s="375"/>
      <c r="G48" s="375"/>
      <c r="H48" s="375"/>
    </row>
    <row r="49" spans="1:8" ht="15.75">
      <c r="A49" s="375" t="s">
        <v>494</v>
      </c>
      <c r="B49" s="375"/>
      <c r="C49" s="375"/>
      <c r="D49" s="375"/>
      <c r="E49" s="375"/>
      <c r="F49" s="375"/>
      <c r="G49" s="375"/>
      <c r="H49" s="375"/>
    </row>
    <row r="50" spans="1:8" ht="15.75">
      <c r="A50" s="375" t="s">
        <v>495</v>
      </c>
      <c r="B50" s="375"/>
      <c r="C50" s="375"/>
      <c r="D50" s="375"/>
      <c r="E50" s="375"/>
      <c r="F50" s="375"/>
      <c r="G50" s="375"/>
      <c r="H50" s="375"/>
    </row>
    <row r="51" spans="1:8" ht="15.75">
      <c r="A51" s="375"/>
      <c r="B51" s="375"/>
      <c r="C51" s="375"/>
      <c r="D51" s="375"/>
      <c r="E51" s="375"/>
      <c r="F51" s="375"/>
      <c r="G51" s="375"/>
      <c r="H51" s="375"/>
    </row>
    <row r="52" spans="1:8" ht="15.75">
      <c r="A52" s="376" t="s">
        <v>496</v>
      </c>
      <c r="B52" s="376"/>
      <c r="C52" s="376"/>
      <c r="D52" s="376"/>
      <c r="E52" s="376"/>
      <c r="F52" s="376"/>
      <c r="G52" s="376"/>
      <c r="H52" s="375"/>
    </row>
    <row r="53" spans="1:8" ht="15.75">
      <c r="A53" s="376" t="s">
        <v>497</v>
      </c>
      <c r="B53" s="376"/>
      <c r="C53" s="376"/>
      <c r="D53" s="376"/>
      <c r="E53" s="376"/>
      <c r="F53" s="376"/>
      <c r="G53" s="376"/>
      <c r="H53" s="375"/>
    </row>
    <row r="54" spans="1:8" ht="15.75">
      <c r="A54" s="375"/>
      <c r="B54" s="375"/>
      <c r="C54" s="375"/>
      <c r="D54" s="375"/>
      <c r="E54" s="375"/>
      <c r="F54" s="375"/>
      <c r="G54" s="375"/>
      <c r="H54" s="375"/>
    </row>
    <row r="55" spans="1:8" ht="15.75">
      <c r="A55" s="375" t="s">
        <v>498</v>
      </c>
      <c r="B55" s="375"/>
      <c r="C55" s="375"/>
      <c r="D55" s="375"/>
      <c r="E55" s="375"/>
      <c r="F55" s="375"/>
      <c r="G55" s="375"/>
      <c r="H55" s="375"/>
    </row>
    <row r="56" spans="1:8" ht="15.75">
      <c r="A56" s="375" t="s">
        <v>499</v>
      </c>
      <c r="B56" s="375"/>
      <c r="C56" s="375"/>
      <c r="D56" s="375"/>
      <c r="E56" s="375"/>
      <c r="F56" s="375"/>
      <c r="G56" s="375"/>
      <c r="H56" s="375"/>
    </row>
    <row r="57" spans="1:8" ht="15.75">
      <c r="A57" s="375" t="s">
        <v>500</v>
      </c>
      <c r="B57" s="375"/>
      <c r="C57" s="375"/>
      <c r="D57" s="375"/>
      <c r="E57" s="375"/>
      <c r="F57" s="375"/>
      <c r="G57" s="375"/>
      <c r="H57" s="375"/>
    </row>
    <row r="58" spans="1:8" ht="15.75">
      <c r="A58" s="375" t="s">
        <v>501</v>
      </c>
      <c r="B58" s="375"/>
      <c r="C58" s="375"/>
      <c r="D58" s="375"/>
      <c r="E58" s="375"/>
      <c r="F58" s="375"/>
      <c r="G58" s="375"/>
      <c r="H58" s="375"/>
    </row>
    <row r="59" spans="1:8" ht="15.75">
      <c r="A59" s="375"/>
      <c r="B59" s="375"/>
      <c r="C59" s="375"/>
      <c r="D59" s="375"/>
      <c r="E59" s="375"/>
      <c r="F59" s="375"/>
      <c r="G59" s="375"/>
      <c r="H59" s="375"/>
    </row>
    <row r="60" spans="1:8" ht="15.75">
      <c r="A60" s="375" t="s">
        <v>502</v>
      </c>
      <c r="B60" s="375"/>
      <c r="C60" s="375"/>
      <c r="D60" s="375"/>
      <c r="E60" s="375"/>
      <c r="F60" s="375"/>
      <c r="G60" s="375"/>
      <c r="H60" s="375"/>
    </row>
    <row r="61" spans="1:8" ht="15.75">
      <c r="A61" s="375" t="s">
        <v>503</v>
      </c>
      <c r="B61" s="375"/>
      <c r="C61" s="375"/>
      <c r="D61" s="375"/>
      <c r="E61" s="375"/>
      <c r="F61" s="375"/>
      <c r="G61" s="375"/>
      <c r="H61" s="375"/>
    </row>
    <row r="62" spans="1:8" ht="15.75">
      <c r="A62" s="375" t="s">
        <v>504</v>
      </c>
      <c r="B62" s="375"/>
      <c r="C62" s="375"/>
      <c r="D62" s="375"/>
      <c r="E62" s="375"/>
      <c r="F62" s="375"/>
      <c r="G62" s="375"/>
      <c r="H62" s="375"/>
    </row>
    <row r="63" spans="1:8" ht="15.75">
      <c r="A63" s="375" t="s">
        <v>505</v>
      </c>
      <c r="B63" s="375"/>
      <c r="C63" s="375"/>
      <c r="D63" s="375"/>
      <c r="E63" s="375"/>
      <c r="F63" s="375"/>
      <c r="G63" s="375"/>
      <c r="H63" s="375"/>
    </row>
    <row r="64" spans="1:8" ht="15.75">
      <c r="A64" s="375" t="s">
        <v>506</v>
      </c>
      <c r="B64" s="375"/>
      <c r="C64" s="375"/>
      <c r="D64" s="375"/>
      <c r="E64" s="375"/>
      <c r="F64" s="375"/>
      <c r="G64" s="375"/>
      <c r="H64" s="375"/>
    </row>
    <row r="65" spans="1:8" ht="15.75">
      <c r="A65" s="375" t="s">
        <v>507</v>
      </c>
      <c r="B65" s="375"/>
      <c r="C65" s="375"/>
      <c r="D65" s="375"/>
      <c r="E65" s="375"/>
      <c r="F65" s="375"/>
      <c r="G65" s="375"/>
      <c r="H65" s="375"/>
    </row>
    <row r="66" spans="1:8" ht="15.75">
      <c r="A66" s="375"/>
      <c r="B66" s="375"/>
      <c r="C66" s="375"/>
      <c r="D66" s="375"/>
      <c r="E66" s="375"/>
      <c r="F66" s="375"/>
      <c r="G66" s="375"/>
      <c r="H66" s="375"/>
    </row>
    <row r="67" spans="1:8" ht="15.75">
      <c r="A67" s="375" t="s">
        <v>508</v>
      </c>
      <c r="B67" s="375"/>
      <c r="C67" s="375"/>
      <c r="D67" s="375"/>
      <c r="E67" s="375"/>
      <c r="F67" s="375"/>
      <c r="G67" s="375"/>
      <c r="H67" s="375"/>
    </row>
    <row r="68" spans="1:8" ht="15.75">
      <c r="A68" s="375" t="s">
        <v>509</v>
      </c>
      <c r="B68" s="375"/>
      <c r="C68" s="375"/>
      <c r="D68" s="375"/>
      <c r="E68" s="375"/>
      <c r="F68" s="375"/>
      <c r="G68" s="375"/>
      <c r="H68" s="375"/>
    </row>
    <row r="69" spans="1:8" ht="15.75">
      <c r="A69" s="375" t="s">
        <v>510</v>
      </c>
      <c r="B69" s="375"/>
      <c r="C69" s="375"/>
      <c r="D69" s="375"/>
      <c r="E69" s="375"/>
      <c r="F69" s="375"/>
      <c r="G69" s="375"/>
      <c r="H69" s="375"/>
    </row>
    <row r="70" spans="1:8" ht="15.75">
      <c r="A70" s="375" t="s">
        <v>511</v>
      </c>
      <c r="B70" s="375"/>
      <c r="C70" s="375"/>
      <c r="D70" s="375"/>
      <c r="E70" s="375"/>
      <c r="F70" s="375"/>
      <c r="G70" s="375"/>
      <c r="H70" s="375"/>
    </row>
    <row r="71" spans="1:8" ht="15.75">
      <c r="A71" s="375" t="s">
        <v>512</v>
      </c>
      <c r="B71" s="375"/>
      <c r="C71" s="375"/>
      <c r="D71" s="375"/>
      <c r="E71" s="375"/>
      <c r="F71" s="375"/>
      <c r="G71" s="375"/>
      <c r="H71" s="375"/>
    </row>
    <row r="72" spans="1:8" ht="15.75">
      <c r="A72" s="375" t="s">
        <v>513</v>
      </c>
      <c r="B72" s="375"/>
      <c r="C72" s="375"/>
      <c r="D72" s="375"/>
      <c r="E72" s="375"/>
      <c r="F72" s="375"/>
      <c r="G72" s="375"/>
      <c r="H72" s="375"/>
    </row>
    <row r="73" spans="1:8" ht="15.75">
      <c r="A73" s="375" t="s">
        <v>514</v>
      </c>
      <c r="B73" s="375"/>
      <c r="C73" s="375"/>
      <c r="D73" s="375"/>
      <c r="E73" s="375"/>
      <c r="F73" s="375"/>
      <c r="G73" s="375"/>
      <c r="H73" s="375"/>
    </row>
    <row r="74" spans="1:8" ht="15.75">
      <c r="A74" s="375"/>
      <c r="B74" s="375"/>
      <c r="C74" s="375"/>
      <c r="D74" s="375"/>
      <c r="E74" s="375"/>
      <c r="F74" s="375"/>
      <c r="G74" s="375"/>
      <c r="H74" s="375"/>
    </row>
    <row r="75" spans="1:8" ht="15.75">
      <c r="A75" s="375" t="s">
        <v>515</v>
      </c>
      <c r="B75" s="375"/>
      <c r="C75" s="375"/>
      <c r="D75" s="375"/>
      <c r="E75" s="375"/>
      <c r="F75" s="375"/>
      <c r="G75" s="375"/>
      <c r="H75" s="375"/>
    </row>
    <row r="76" spans="1:8" ht="15.75">
      <c r="A76" s="375" t="s">
        <v>516</v>
      </c>
      <c r="B76" s="375"/>
      <c r="C76" s="375"/>
      <c r="D76" s="375"/>
      <c r="E76" s="375"/>
      <c r="F76" s="375"/>
      <c r="G76" s="375"/>
      <c r="H76" s="375"/>
    </row>
    <row r="77" spans="1:8" ht="15.75">
      <c r="A77" s="375" t="s">
        <v>517</v>
      </c>
      <c r="B77" s="375"/>
      <c r="C77" s="375"/>
      <c r="D77" s="375"/>
      <c r="E77" s="375"/>
      <c r="F77" s="375"/>
      <c r="G77" s="375"/>
      <c r="H77" s="375"/>
    </row>
    <row r="78" spans="1:8" ht="15.75">
      <c r="A78" s="375"/>
      <c r="B78" s="375"/>
      <c r="C78" s="375"/>
      <c r="D78" s="375"/>
      <c r="E78" s="375"/>
      <c r="F78" s="375"/>
      <c r="G78" s="375"/>
      <c r="H78" s="375"/>
    </row>
    <row r="79" ht="15.75">
      <c r="A79" s="375" t="s">
        <v>462</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 sqref="E7"/>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142</v>
      </c>
      <c r="B1" s="65"/>
      <c r="C1" s="65"/>
      <c r="D1" s="65"/>
      <c r="E1" s="65"/>
    </row>
    <row r="2" spans="1:5" ht="15.75">
      <c r="A2" s="157" t="s">
        <v>222</v>
      </c>
      <c r="B2" s="65"/>
      <c r="C2" s="65"/>
      <c r="D2" s="65"/>
      <c r="E2" s="65"/>
    </row>
    <row r="3" spans="1:5" ht="15.75">
      <c r="A3" s="157" t="s">
        <v>220</v>
      </c>
      <c r="B3" s="65"/>
      <c r="C3" s="65"/>
      <c r="D3" s="118" t="s">
        <v>959</v>
      </c>
      <c r="E3" s="71"/>
    </row>
    <row r="4" spans="1:5" ht="15.75">
      <c r="A4" s="157" t="s">
        <v>221</v>
      </c>
      <c r="B4" s="65"/>
      <c r="C4" s="65"/>
      <c r="D4" s="158" t="s">
        <v>957</v>
      </c>
      <c r="E4" s="71"/>
    </row>
    <row r="5" spans="1:5" ht="15.75">
      <c r="A5" s="65"/>
      <c r="B5" s="65"/>
      <c r="C5" s="65"/>
      <c r="D5" s="65"/>
      <c r="E5" s="65"/>
    </row>
    <row r="6" spans="1:5" ht="15.75">
      <c r="A6" s="159" t="s">
        <v>143</v>
      </c>
      <c r="B6" s="65"/>
      <c r="C6" s="65"/>
      <c r="D6" s="110" t="s">
        <v>960</v>
      </c>
      <c r="E6" s="65"/>
    </row>
    <row r="7" spans="1:5" ht="15.75">
      <c r="A7" s="159" t="s">
        <v>144</v>
      </c>
      <c r="B7" s="65"/>
      <c r="C7" s="65"/>
      <c r="D7" s="111"/>
      <c r="E7" s="65"/>
    </row>
    <row r="8" spans="1:5" ht="15.75">
      <c r="A8" s="65"/>
      <c r="B8" s="65"/>
      <c r="C8" s="65"/>
      <c r="D8" s="65"/>
      <c r="E8" s="65"/>
    </row>
    <row r="9" spans="1:5" ht="15.75">
      <c r="A9" s="159" t="s">
        <v>94</v>
      </c>
      <c r="B9" s="65"/>
      <c r="C9" s="65"/>
      <c r="D9" s="160">
        <v>2015</v>
      </c>
      <c r="E9" s="65"/>
    </row>
    <row r="10" spans="1:5" ht="15.75">
      <c r="A10" s="65"/>
      <c r="B10" s="65"/>
      <c r="C10" s="65"/>
      <c r="D10" s="65"/>
      <c r="E10" s="65"/>
    </row>
    <row r="11" spans="1:8" ht="15.75">
      <c r="A11" s="161" t="s">
        <v>96</v>
      </c>
      <c r="B11" s="162"/>
      <c r="C11" s="162"/>
      <c r="D11" s="162"/>
      <c r="E11" s="162"/>
      <c r="F11" s="65"/>
      <c r="G11" s="767" t="s">
        <v>801</v>
      </c>
      <c r="H11" s="768"/>
    </row>
    <row r="12" spans="1:8" ht="15.75">
      <c r="A12" s="161" t="s">
        <v>160</v>
      </c>
      <c r="B12" s="162"/>
      <c r="C12" s="162"/>
      <c r="D12" s="162"/>
      <c r="E12" s="162"/>
      <c r="F12" s="65"/>
      <c r="G12" s="769"/>
      <c r="H12" s="768"/>
    </row>
    <row r="13" spans="1:8" ht="15.75">
      <c r="A13" s="65"/>
      <c r="B13" s="65"/>
      <c r="C13" s="65"/>
      <c r="D13" s="65"/>
      <c r="E13" s="65"/>
      <c r="F13" s="65"/>
      <c r="G13" s="769"/>
      <c r="H13" s="768"/>
    </row>
    <row r="14" spans="1:8" ht="15.75">
      <c r="A14" s="765" t="s">
        <v>104</v>
      </c>
      <c r="B14" s="766"/>
      <c r="C14" s="766"/>
      <c r="D14" s="766"/>
      <c r="E14" s="766"/>
      <c r="F14" s="65"/>
      <c r="G14" s="769"/>
      <c r="H14" s="768"/>
    </row>
    <row r="15" spans="1:8" ht="15.75">
      <c r="A15" s="157"/>
      <c r="B15" s="65"/>
      <c r="C15" s="65"/>
      <c r="D15" s="65"/>
      <c r="E15" s="65"/>
      <c r="F15" s="65"/>
      <c r="G15" s="769"/>
      <c r="H15" s="768"/>
    </row>
    <row r="16" spans="1:8" ht="15.75">
      <c r="A16" s="163" t="s">
        <v>95</v>
      </c>
      <c r="B16" s="164"/>
      <c r="C16" s="65"/>
      <c r="D16" s="68"/>
      <c r="E16" s="165"/>
      <c r="F16" s="65"/>
      <c r="G16" s="769"/>
      <c r="H16" s="768"/>
    </row>
    <row r="17" spans="1:8" ht="15.75">
      <c r="A17" s="166" t="str">
        <f>CONCATENATE("the ",D9-1," Budget, Certificate Page:")</f>
        <v>the 2014 Budget, Certificate Page:</v>
      </c>
      <c r="B17" s="167"/>
      <c r="C17" s="68"/>
      <c r="D17" s="65"/>
      <c r="E17" s="65"/>
      <c r="F17" s="65"/>
      <c r="G17" s="71"/>
      <c r="H17" s="192"/>
    </row>
    <row r="18" spans="1:8" ht="15.75">
      <c r="A18" s="166" t="s">
        <v>318</v>
      </c>
      <c r="B18" s="167"/>
      <c r="C18" s="68"/>
      <c r="D18" s="168">
        <f>D9-1</f>
        <v>2014</v>
      </c>
      <c r="E18" s="168">
        <f>D9-2</f>
        <v>2013</v>
      </c>
      <c r="G18" s="229" t="s">
        <v>802</v>
      </c>
      <c r="H18" s="88" t="s">
        <v>286</v>
      </c>
    </row>
    <row r="19" spans="1:8" ht="15.75">
      <c r="A19" s="72" t="s">
        <v>234</v>
      </c>
      <c r="B19" s="65"/>
      <c r="C19" s="169" t="s">
        <v>233</v>
      </c>
      <c r="D19" s="170" t="s">
        <v>349</v>
      </c>
      <c r="E19" s="170" t="s">
        <v>273</v>
      </c>
      <c r="G19" s="231" t="str">
        <f>CONCATENATE("",E18," Ad Valorem Tax")</f>
        <v>2013 Ad Valorem Tax</v>
      </c>
      <c r="H19" s="581">
        <v>0</v>
      </c>
    </row>
    <row r="20" spans="1:7" ht="15.75">
      <c r="A20" s="65"/>
      <c r="B20" s="105" t="s">
        <v>235</v>
      </c>
      <c r="C20" s="83" t="s">
        <v>236</v>
      </c>
      <c r="D20" s="171">
        <v>10852</v>
      </c>
      <c r="E20" s="171">
        <v>7421</v>
      </c>
      <c r="G20" s="261">
        <f>IF(H19&gt;0,ROUND(E20-(E20*H19),0),0)</f>
        <v>0</v>
      </c>
    </row>
    <row r="21" spans="1:7" ht="15.75">
      <c r="A21" s="65"/>
      <c r="B21" s="105" t="s">
        <v>307</v>
      </c>
      <c r="C21" s="83" t="s">
        <v>101</v>
      </c>
      <c r="D21" s="171"/>
      <c r="E21" s="171"/>
      <c r="G21" s="261">
        <f>IF(H19&gt;0,ROUND(E21-(E21*H19),0),0)</f>
        <v>0</v>
      </c>
    </row>
    <row r="22" spans="1:7" ht="15.75">
      <c r="A22" s="65"/>
      <c r="B22" s="105" t="s">
        <v>774</v>
      </c>
      <c r="C22" s="83" t="s">
        <v>775</v>
      </c>
      <c r="D22" s="171"/>
      <c r="E22" s="171"/>
      <c r="G22" s="261">
        <f>IF(H19&gt;0,ROUND(E22-(E22*H19),0),0)</f>
        <v>0</v>
      </c>
    </row>
    <row r="23" spans="1:7" ht="15.75">
      <c r="A23" s="65"/>
      <c r="B23" s="105" t="s">
        <v>237</v>
      </c>
      <c r="C23" s="172" t="s">
        <v>223</v>
      </c>
      <c r="D23" s="171">
        <v>241223</v>
      </c>
      <c r="E23" s="171">
        <v>227416</v>
      </c>
      <c r="G23" s="261">
        <f>IF(H19&gt;0,ROUND(E23-(E23*H19),0),0)</f>
        <v>0</v>
      </c>
    </row>
    <row r="24" spans="1:7" ht="15.75">
      <c r="A24" s="65"/>
      <c r="B24" s="105" t="s">
        <v>316</v>
      </c>
      <c r="C24" s="88" t="s">
        <v>317</v>
      </c>
      <c r="D24" s="171"/>
      <c r="E24" s="171"/>
      <c r="G24" s="261">
        <f>IF(H19&gt;0,ROUND(E24-(E24*H19),0),0)</f>
        <v>0</v>
      </c>
    </row>
    <row r="25" spans="1:7" ht="15.75">
      <c r="A25" s="65"/>
      <c r="B25" s="105" t="s">
        <v>175</v>
      </c>
      <c r="C25" s="88" t="s">
        <v>176</v>
      </c>
      <c r="D25" s="171"/>
      <c r="E25" s="171"/>
      <c r="G25" s="261">
        <f>IF(H19&gt;0,ROUND(E25-(E25*H19),0),0)</f>
        <v>0</v>
      </c>
    </row>
    <row r="26" spans="1:7" ht="15.75">
      <c r="A26" s="65"/>
      <c r="B26" s="207" t="s">
        <v>377</v>
      </c>
      <c r="C26" s="88" t="s">
        <v>378</v>
      </c>
      <c r="D26" s="171">
        <v>26501</v>
      </c>
      <c r="E26" s="171">
        <v>24951</v>
      </c>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2"/>
    </row>
    <row r="31" spans="1:8" ht="15.75">
      <c r="A31" s="65"/>
      <c r="B31" s="173"/>
      <c r="C31" s="483"/>
      <c r="D31" s="171"/>
      <c r="E31" s="171"/>
      <c r="G31" s="261">
        <f>IF(H19&gt;0,ROUND(E31-(E31*H19),0),0)</f>
        <v>0</v>
      </c>
      <c r="H31" s="582"/>
    </row>
    <row r="32" spans="1:5" ht="15.75">
      <c r="A32" s="174" t="str">
        <f>CONCATENATE("Total Ad Valorem Tax for ",D9-1,"")</f>
        <v>Total Ad Valorem Tax for 2014</v>
      </c>
      <c r="B32" s="78"/>
      <c r="C32" s="175"/>
      <c r="D32" s="176"/>
      <c r="E32" s="177">
        <f>SUM(E20:E31)</f>
        <v>259788</v>
      </c>
    </row>
    <row r="33" spans="1:5" ht="15.75">
      <c r="A33" s="71"/>
      <c r="B33" s="71"/>
      <c r="C33" s="71"/>
      <c r="D33" s="178"/>
      <c r="E33" s="179"/>
    </row>
    <row r="34" spans="1:5" ht="15.75">
      <c r="A34" s="65" t="s">
        <v>90</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278576</v>
      </c>
      <c r="E39" s="65"/>
    </row>
    <row r="40" spans="1:5" ht="15.75">
      <c r="A40" s="108" t="s">
        <v>344</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95</v>
      </c>
      <c r="B47" s="164"/>
      <c r="C47" s="65"/>
      <c r="D47" s="763" t="str">
        <f>CONCATENATE("",D9-3," Tax Rate         (",D9-2," Column)")</f>
        <v>2012 Tax Rate         (2013 Column)</v>
      </c>
      <c r="E47" s="65"/>
    </row>
    <row r="48" spans="1:5" ht="15.75">
      <c r="A48" s="166" t="str">
        <f>CONCATENATE("the ",D9-1," Budget, Budget Summary Page:")</f>
        <v>the 2014 Budget, Budget Summary Page:</v>
      </c>
      <c r="B48" s="183"/>
      <c r="C48" s="65"/>
      <c r="D48" s="764"/>
      <c r="E48" s="65"/>
    </row>
    <row r="49" spans="1:5" ht="15.75">
      <c r="A49" s="65"/>
      <c r="B49" s="90" t="str">
        <f>B20</f>
        <v>General</v>
      </c>
      <c r="C49" s="65"/>
      <c r="D49" s="184">
        <v>0.382</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13.929</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1.551</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15.862</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256767</v>
      </c>
    </row>
    <row r="64" spans="1:5" ht="15.75">
      <c r="A64" s="188" t="str">
        <f>CONCATENATE("Assessed Valuation (",D9-2," budget column):")</f>
        <v>Assessed Valuation (2013 budget column):</v>
      </c>
      <c r="B64" s="164"/>
      <c r="C64" s="65"/>
      <c r="D64" s="65"/>
      <c r="E64" s="189">
        <v>18214233</v>
      </c>
    </row>
    <row r="65" spans="1:5" ht="15.75">
      <c r="A65" s="65"/>
      <c r="B65" s="65"/>
      <c r="C65" s="65"/>
      <c r="D65" s="65"/>
      <c r="E65" s="190"/>
    </row>
    <row r="66" spans="1:5" ht="15.75">
      <c r="A66" s="191" t="s">
        <v>161</v>
      </c>
      <c r="B66" s="191"/>
      <c r="C66" s="192"/>
      <c r="D66" s="193">
        <f>D9-3</f>
        <v>2012</v>
      </c>
      <c r="E66" s="193">
        <f>D9-2</f>
        <v>2013</v>
      </c>
    </row>
    <row r="67" spans="1:5" ht="15.75">
      <c r="A67" s="191" t="s">
        <v>110</v>
      </c>
      <c r="B67" s="191"/>
      <c r="C67" s="194"/>
      <c r="D67" s="181"/>
      <c r="E67" s="181"/>
    </row>
    <row r="68" spans="1:5" ht="15.75">
      <c r="A68" s="195" t="s">
        <v>157</v>
      </c>
      <c r="B68" s="195"/>
      <c r="C68" s="196"/>
      <c r="D68" s="181"/>
      <c r="E68" s="181"/>
    </row>
    <row r="69" spans="1:5" ht="15.75">
      <c r="A69" s="195" t="s">
        <v>111</v>
      </c>
      <c r="B69" s="195"/>
      <c r="C69" s="196"/>
      <c r="D69" s="181">
        <v>152000</v>
      </c>
      <c r="E69" s="181">
        <v>120885</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518</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407</v>
      </c>
      <c r="I5" s="374"/>
      <c r="J5" s="374"/>
      <c r="K5" s="374"/>
      <c r="L5" s="374"/>
    </row>
    <row r="6" spans="1:12" ht="15.75">
      <c r="A6" s="375" t="str">
        <f>CONCATENATE("estimated ",inputPrYr!D9-1," 'total expenditures' exceed your ",inputPrYr!D9-1,"")</f>
        <v>estimated 2014 'total expenditures' exceed your 2014</v>
      </c>
      <c r="I6" s="374"/>
      <c r="J6" s="374"/>
      <c r="K6" s="374"/>
      <c r="L6" s="374"/>
    </row>
    <row r="7" spans="1:12" ht="15.75">
      <c r="A7" s="378" t="s">
        <v>519</v>
      </c>
      <c r="I7" s="374"/>
      <c r="J7" s="374"/>
      <c r="K7" s="374"/>
      <c r="L7" s="374"/>
    </row>
    <row r="8" spans="1:12" ht="15.75">
      <c r="A8" s="375"/>
      <c r="I8" s="374"/>
      <c r="J8" s="374"/>
      <c r="K8" s="374"/>
      <c r="L8" s="374"/>
    </row>
    <row r="9" spans="1:12" ht="15.75">
      <c r="A9" s="375" t="s">
        <v>520</v>
      </c>
      <c r="I9" s="374"/>
      <c r="J9" s="374"/>
      <c r="K9" s="374"/>
      <c r="L9" s="374"/>
    </row>
    <row r="10" spans="1:12" ht="15.75">
      <c r="A10" s="375" t="s">
        <v>521</v>
      </c>
      <c r="I10" s="374"/>
      <c r="J10" s="374"/>
      <c r="K10" s="374"/>
      <c r="L10" s="374"/>
    </row>
    <row r="11" spans="1:12" ht="15.75">
      <c r="A11" s="375" t="s">
        <v>522</v>
      </c>
      <c r="I11" s="374"/>
      <c r="J11" s="374"/>
      <c r="K11" s="374"/>
      <c r="L11" s="374"/>
    </row>
    <row r="12" spans="1:12" ht="15.75">
      <c r="A12" s="375" t="s">
        <v>523</v>
      </c>
      <c r="I12" s="374"/>
      <c r="J12" s="374"/>
      <c r="K12" s="374"/>
      <c r="L12" s="374"/>
    </row>
    <row r="13" spans="1:12" ht="15.75">
      <c r="A13" s="375" t="s">
        <v>524</v>
      </c>
      <c r="I13" s="374"/>
      <c r="J13" s="374"/>
      <c r="K13" s="374"/>
      <c r="L13" s="374"/>
    </row>
    <row r="14" spans="1:12" ht="15.75">
      <c r="A14" s="374"/>
      <c r="B14" s="374"/>
      <c r="C14" s="374"/>
      <c r="D14" s="374"/>
      <c r="E14" s="374"/>
      <c r="F14" s="374"/>
      <c r="G14" s="374"/>
      <c r="H14" s="374"/>
      <c r="I14" s="374"/>
      <c r="J14" s="374"/>
      <c r="K14" s="374"/>
      <c r="L14" s="374"/>
    </row>
    <row r="15" ht="15.75">
      <c r="A15" s="376" t="s">
        <v>525</v>
      </c>
    </row>
    <row r="16" ht="15.75">
      <c r="A16" s="376" t="s">
        <v>526</v>
      </c>
    </row>
    <row r="17" ht="15.75">
      <c r="A17" s="376"/>
    </row>
    <row r="18" spans="1:7" ht="15.75">
      <c r="A18" s="375" t="s">
        <v>527</v>
      </c>
      <c r="B18" s="375"/>
      <c r="C18" s="375"/>
      <c r="D18" s="375"/>
      <c r="E18" s="375"/>
      <c r="F18" s="375"/>
      <c r="G18" s="375"/>
    </row>
    <row r="19" spans="1:7" ht="15.75">
      <c r="A19" s="375" t="str">
        <f>CONCATENATE("your ",inputPrYr!D9-1," numbers to see what steps might be necessary to")</f>
        <v>your 2014 numbers to see what steps might be necessary to</v>
      </c>
      <c r="B19" s="375"/>
      <c r="C19" s="375"/>
      <c r="D19" s="375"/>
      <c r="E19" s="375"/>
      <c r="F19" s="375"/>
      <c r="G19" s="375"/>
    </row>
    <row r="20" spans="1:7" ht="15.75">
      <c r="A20" s="375" t="s">
        <v>528</v>
      </c>
      <c r="B20" s="375"/>
      <c r="C20" s="375"/>
      <c r="D20" s="375"/>
      <c r="E20" s="375"/>
      <c r="F20" s="375"/>
      <c r="G20" s="375"/>
    </row>
    <row r="21" spans="1:7" ht="15.75">
      <c r="A21" s="375" t="s">
        <v>529</v>
      </c>
      <c r="B21" s="375"/>
      <c r="C21" s="375"/>
      <c r="D21" s="375"/>
      <c r="E21" s="375"/>
      <c r="F21" s="375"/>
      <c r="G21" s="375"/>
    </row>
    <row r="22" ht="15.75">
      <c r="A22" s="375"/>
    </row>
    <row r="23" ht="15.75">
      <c r="A23" s="376" t="s">
        <v>530</v>
      </c>
    </row>
    <row r="24" ht="15.75">
      <c r="A24" s="376"/>
    </row>
    <row r="25" ht="15.75">
      <c r="A25" s="375" t="s">
        <v>531</v>
      </c>
    </row>
    <row r="26" spans="1:6" ht="15.75">
      <c r="A26" s="375" t="s">
        <v>532</v>
      </c>
      <c r="B26" s="375"/>
      <c r="C26" s="375"/>
      <c r="D26" s="375"/>
      <c r="E26" s="375"/>
      <c r="F26" s="375"/>
    </row>
    <row r="27" spans="1:6" ht="15.75">
      <c r="A27" s="375" t="s">
        <v>533</v>
      </c>
      <c r="B27" s="375"/>
      <c r="C27" s="375"/>
      <c r="D27" s="375"/>
      <c r="E27" s="375"/>
      <c r="F27" s="375"/>
    </row>
    <row r="28" spans="1:6" ht="15.75">
      <c r="A28" s="375" t="s">
        <v>534</v>
      </c>
      <c r="B28" s="375"/>
      <c r="C28" s="375"/>
      <c r="D28" s="375"/>
      <c r="E28" s="375"/>
      <c r="F28" s="375"/>
    </row>
    <row r="29" spans="1:6" ht="15.75">
      <c r="A29" s="375"/>
      <c r="B29" s="375"/>
      <c r="C29" s="375"/>
      <c r="D29" s="375"/>
      <c r="E29" s="375"/>
      <c r="F29" s="375"/>
    </row>
    <row r="30" spans="1:7" ht="15.75">
      <c r="A30" s="376" t="s">
        <v>535</v>
      </c>
      <c r="B30" s="376"/>
      <c r="C30" s="376"/>
      <c r="D30" s="376"/>
      <c r="E30" s="376"/>
      <c r="F30" s="376"/>
      <c r="G30" s="376"/>
    </row>
    <row r="31" spans="1:7" ht="15.75">
      <c r="A31" s="376" t="s">
        <v>536</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2014 expenditures can</v>
      </c>
      <c r="B33" s="375"/>
      <c r="C33" s="375"/>
      <c r="D33" s="375"/>
      <c r="E33" s="375"/>
      <c r="F33" s="375"/>
    </row>
    <row r="34" spans="1:6" ht="15.75">
      <c r="A34" s="379" t="s">
        <v>537</v>
      </c>
      <c r="B34" s="375"/>
      <c r="C34" s="375"/>
      <c r="D34" s="375"/>
      <c r="E34" s="375"/>
      <c r="F34" s="375"/>
    </row>
    <row r="35" spans="1:6" ht="15.75">
      <c r="A35" s="379" t="s">
        <v>421</v>
      </c>
      <c r="B35" s="375"/>
      <c r="C35" s="375"/>
      <c r="D35" s="375"/>
      <c r="E35" s="375"/>
      <c r="F35" s="375"/>
    </row>
    <row r="36" spans="1:6" ht="15.75">
      <c r="A36" s="379" t="s">
        <v>422</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2014 receipts contain a reimbursement</v>
      </c>
      <c r="B38" s="375"/>
      <c r="C38" s="375"/>
      <c r="D38" s="375"/>
      <c r="E38" s="375"/>
      <c r="F38" s="375"/>
    </row>
    <row r="39" spans="1:6" ht="15.75">
      <c r="A39" s="379" t="s">
        <v>423</v>
      </c>
      <c r="B39" s="375"/>
      <c r="C39" s="375"/>
      <c r="D39" s="375"/>
      <c r="E39" s="375"/>
      <c r="F39" s="375"/>
    </row>
    <row r="40" spans="1:6" ht="15.75">
      <c r="A40" s="379" t="s">
        <v>424</v>
      </c>
      <c r="B40" s="375"/>
      <c r="C40" s="375"/>
      <c r="D40" s="375"/>
      <c r="E40" s="375"/>
      <c r="F40" s="375"/>
    </row>
    <row r="41" spans="1:6" ht="15.75">
      <c r="A41" s="379"/>
      <c r="B41" s="375"/>
      <c r="C41" s="375"/>
      <c r="D41" s="375"/>
      <c r="E41" s="375"/>
      <c r="F41" s="375"/>
    </row>
    <row r="42" spans="1:6" ht="15.75">
      <c r="A42" s="379" t="s">
        <v>425</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spans="1:6" ht="15.75">
      <c r="A45" s="379" t="s">
        <v>538</v>
      </c>
      <c r="B45" s="375"/>
      <c r="C45" s="375"/>
      <c r="D45" s="375"/>
      <c r="E45" s="375"/>
      <c r="F45" s="375"/>
    </row>
    <row r="46" spans="1:6" ht="15.75">
      <c r="A46" s="379" t="s">
        <v>429</v>
      </c>
      <c r="B46" s="375"/>
      <c r="C46" s="375"/>
      <c r="D46" s="375"/>
      <c r="E46" s="375"/>
      <c r="F46" s="375"/>
    </row>
    <row r="47" spans="1:6" ht="15.75">
      <c r="A47" s="379" t="s">
        <v>539</v>
      </c>
      <c r="B47" s="375"/>
      <c r="C47" s="375"/>
      <c r="D47" s="375"/>
      <c r="E47" s="375"/>
      <c r="F47" s="375"/>
    </row>
    <row r="48" spans="1:6" ht="15.75">
      <c r="A48" s="379" t="s">
        <v>540</v>
      </c>
      <c r="B48" s="375"/>
      <c r="C48" s="375"/>
      <c r="D48" s="375"/>
      <c r="E48" s="375"/>
      <c r="F48" s="375"/>
    </row>
    <row r="49" spans="1:6" ht="15.75">
      <c r="A49" s="379" t="s">
        <v>432</v>
      </c>
      <c r="B49" s="375"/>
      <c r="C49" s="375"/>
      <c r="D49" s="375"/>
      <c r="E49" s="375"/>
      <c r="F49" s="375"/>
    </row>
    <row r="50" spans="1:6" ht="15.75">
      <c r="A50" s="379"/>
      <c r="B50" s="375"/>
      <c r="C50" s="375"/>
      <c r="D50" s="375"/>
      <c r="E50" s="375"/>
      <c r="F50" s="375"/>
    </row>
    <row r="51" spans="1:6" ht="15.75">
      <c r="A51" s="379" t="s">
        <v>433</v>
      </c>
      <c r="B51" s="375"/>
      <c r="C51" s="375"/>
      <c r="D51" s="375"/>
      <c r="E51" s="375"/>
      <c r="F51" s="375"/>
    </row>
    <row r="52" spans="1:6" ht="15.75">
      <c r="A52" s="379" t="s">
        <v>434</v>
      </c>
      <c r="B52" s="375"/>
      <c r="C52" s="375"/>
      <c r="D52" s="375"/>
      <c r="E52" s="375"/>
      <c r="F52" s="375"/>
    </row>
    <row r="53" spans="1:6" ht="15.75">
      <c r="A53" s="379" t="s">
        <v>435</v>
      </c>
      <c r="B53" s="375"/>
      <c r="C53" s="375"/>
      <c r="D53" s="375"/>
      <c r="E53" s="375"/>
      <c r="F53" s="375"/>
    </row>
    <row r="54" spans="1:6" ht="15.75">
      <c r="A54" s="379"/>
      <c r="B54" s="375"/>
      <c r="C54" s="375"/>
      <c r="D54" s="375"/>
      <c r="E54" s="375"/>
      <c r="F54" s="375"/>
    </row>
    <row r="55" spans="1:6" ht="15.75">
      <c r="A55" s="379" t="s">
        <v>541</v>
      </c>
      <c r="B55" s="375"/>
      <c r="C55" s="375"/>
      <c r="D55" s="375"/>
      <c r="E55" s="375"/>
      <c r="F55" s="375"/>
    </row>
    <row r="56" spans="1:6" ht="15.75">
      <c r="A56" s="379" t="s">
        <v>542</v>
      </c>
      <c r="B56" s="375"/>
      <c r="C56" s="375"/>
      <c r="D56" s="375"/>
      <c r="E56" s="375"/>
      <c r="F56" s="375"/>
    </row>
    <row r="57" spans="1:6" ht="15.75">
      <c r="A57" s="379" t="s">
        <v>543</v>
      </c>
      <c r="B57" s="375"/>
      <c r="C57" s="375"/>
      <c r="D57" s="375"/>
      <c r="E57" s="375"/>
      <c r="F57" s="375"/>
    </row>
    <row r="58" spans="1:6" ht="15.75">
      <c r="A58" s="379" t="s">
        <v>544</v>
      </c>
      <c r="B58" s="375"/>
      <c r="C58" s="375"/>
      <c r="D58" s="375"/>
      <c r="E58" s="375"/>
      <c r="F58" s="375"/>
    </row>
    <row r="59" spans="1:6" ht="15.75">
      <c r="A59" s="379" t="s">
        <v>545</v>
      </c>
      <c r="B59" s="375"/>
      <c r="C59" s="375"/>
      <c r="D59" s="375"/>
      <c r="E59" s="375"/>
      <c r="F59" s="375"/>
    </row>
    <row r="60" spans="1:6" ht="15.75">
      <c r="A60" s="379"/>
      <c r="B60" s="375"/>
      <c r="C60" s="375"/>
      <c r="D60" s="375"/>
      <c r="E60" s="375"/>
      <c r="F60" s="375"/>
    </row>
    <row r="61" spans="1:6" ht="15.75">
      <c r="A61" s="380" t="s">
        <v>546</v>
      </c>
      <c r="B61" s="375"/>
      <c r="C61" s="375"/>
      <c r="D61" s="375"/>
      <c r="E61" s="375"/>
      <c r="F61" s="375"/>
    </row>
    <row r="62" spans="1:6" ht="15.75">
      <c r="A62" s="380" t="s">
        <v>547</v>
      </c>
      <c r="B62" s="375"/>
      <c r="C62" s="375"/>
      <c r="D62" s="375"/>
      <c r="E62" s="375"/>
      <c r="F62" s="375"/>
    </row>
    <row r="63" spans="1:6" ht="15.75">
      <c r="A63" s="380" t="s">
        <v>548</v>
      </c>
      <c r="B63" s="375"/>
      <c r="C63" s="375"/>
      <c r="D63" s="375"/>
      <c r="E63" s="375"/>
      <c r="F63" s="375"/>
    </row>
    <row r="64" ht="15.75">
      <c r="A64" s="380" t="s">
        <v>549</v>
      </c>
    </row>
    <row r="65" ht="15.75">
      <c r="A65" s="380" t="s">
        <v>550</v>
      </c>
    </row>
    <row r="66" ht="15.75">
      <c r="A66" s="380" t="s">
        <v>551</v>
      </c>
    </row>
    <row r="68" ht="15.75">
      <c r="A68" s="375" t="s">
        <v>552</v>
      </c>
    </row>
    <row r="69" ht="15.75">
      <c r="A69" s="375" t="s">
        <v>553</v>
      </c>
    </row>
    <row r="70" ht="15.75">
      <c r="A70" s="375" t="s">
        <v>554</v>
      </c>
    </row>
    <row r="71" ht="15.75">
      <c r="A71" s="375" t="s">
        <v>555</v>
      </c>
    </row>
    <row r="72" ht="15.75">
      <c r="A72" s="375" t="s">
        <v>556</v>
      </c>
    </row>
    <row r="73" ht="15.75">
      <c r="A73" s="375" t="s">
        <v>557</v>
      </c>
    </row>
    <row r="75" ht="15.75">
      <c r="A75" s="375" t="s">
        <v>462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558</v>
      </c>
      <c r="B3" s="374"/>
      <c r="C3" s="374"/>
      <c r="D3" s="374"/>
      <c r="E3" s="374"/>
      <c r="F3" s="374"/>
      <c r="G3" s="374"/>
    </row>
    <row r="4" spans="1:7" ht="15.75">
      <c r="A4" s="374"/>
      <c r="B4" s="374"/>
      <c r="C4" s="374"/>
      <c r="D4" s="374"/>
      <c r="E4" s="374"/>
      <c r="F4" s="374"/>
      <c r="G4" s="374"/>
    </row>
    <row r="5" ht="15.75">
      <c r="A5" s="375" t="s">
        <v>464</v>
      </c>
    </row>
    <row r="6" ht="15.75">
      <c r="A6" s="375" t="str">
        <f>CONCATENATE(inputPrYr!D9," estimated expenditures show that at the end of this year")</f>
        <v>2015 estimated expenditures show that at the end of this year</v>
      </c>
    </row>
    <row r="7" ht="15.75">
      <c r="A7" s="375" t="s">
        <v>559</v>
      </c>
    </row>
    <row r="8" ht="15.75">
      <c r="A8" s="375" t="s">
        <v>560</v>
      </c>
    </row>
    <row r="10" ht="15.75">
      <c r="A10" t="s">
        <v>466</v>
      </c>
    </row>
    <row r="11" ht="15.75">
      <c r="A11" t="s">
        <v>467</v>
      </c>
    </row>
    <row r="12" ht="15.75">
      <c r="A12" t="s">
        <v>468</v>
      </c>
    </row>
    <row r="13" spans="1:7" ht="15.75">
      <c r="A13" s="374"/>
      <c r="B13" s="374"/>
      <c r="C13" s="374"/>
      <c r="D13" s="374"/>
      <c r="E13" s="374"/>
      <c r="F13" s="374"/>
      <c r="G13" s="374"/>
    </row>
    <row r="14" ht="15.75">
      <c r="A14" s="376" t="s">
        <v>561</v>
      </c>
    </row>
    <row r="15" ht="15.75">
      <c r="A15" s="375"/>
    </row>
    <row r="16" ht="15.75">
      <c r="A16" s="375" t="s">
        <v>562</v>
      </c>
    </row>
    <row r="17" ht="15.75">
      <c r="A17" s="375" t="s">
        <v>563</v>
      </c>
    </row>
    <row r="18" ht="15.75">
      <c r="A18" s="375" t="s">
        <v>564</v>
      </c>
    </row>
    <row r="19" ht="15.75">
      <c r="A19" s="375"/>
    </row>
    <row r="20" ht="15.75">
      <c r="A20" s="375" t="s">
        <v>565</v>
      </c>
    </row>
    <row r="21" ht="15.75">
      <c r="A21" s="375" t="s">
        <v>566</v>
      </c>
    </row>
    <row r="22" ht="15.75">
      <c r="A22" s="375" t="s">
        <v>567</v>
      </c>
    </row>
    <row r="23" ht="15.75">
      <c r="A23" s="375" t="s">
        <v>568</v>
      </c>
    </row>
    <row r="24" ht="15.75">
      <c r="A24" s="375"/>
    </row>
    <row r="25" ht="15.75">
      <c r="A25" s="376" t="s">
        <v>530</v>
      </c>
    </row>
    <row r="26" ht="15.75">
      <c r="A26" s="376"/>
    </row>
    <row r="27" ht="15.75">
      <c r="A27" s="375" t="s">
        <v>531</v>
      </c>
    </row>
    <row r="28" spans="1:6" ht="15.75">
      <c r="A28" s="375" t="s">
        <v>532</v>
      </c>
      <c r="B28" s="375"/>
      <c r="C28" s="375"/>
      <c r="D28" s="375"/>
      <c r="E28" s="375"/>
      <c r="F28" s="375"/>
    </row>
    <row r="29" spans="1:6" ht="15.75">
      <c r="A29" s="375" t="s">
        <v>533</v>
      </c>
      <c r="B29" s="375"/>
      <c r="C29" s="375"/>
      <c r="D29" s="375"/>
      <c r="E29" s="375"/>
      <c r="F29" s="375"/>
    </row>
    <row r="30" spans="1:6" ht="15.75">
      <c r="A30" s="375" t="s">
        <v>534</v>
      </c>
      <c r="B30" s="375"/>
      <c r="C30" s="375"/>
      <c r="D30" s="375"/>
      <c r="E30" s="375"/>
      <c r="F30" s="375"/>
    </row>
    <row r="31" ht="15.75">
      <c r="A31" s="375"/>
    </row>
    <row r="32" spans="1:7" ht="15.75">
      <c r="A32" s="376" t="s">
        <v>535</v>
      </c>
      <c r="B32" s="376"/>
      <c r="C32" s="376"/>
      <c r="D32" s="376"/>
      <c r="E32" s="376"/>
      <c r="F32" s="376"/>
      <c r="G32" s="376"/>
    </row>
    <row r="33" spans="1:7" ht="15.75">
      <c r="A33" s="376" t="s">
        <v>536</v>
      </c>
      <c r="B33" s="376"/>
      <c r="C33" s="376"/>
      <c r="D33" s="376"/>
      <c r="E33" s="376"/>
      <c r="F33" s="376"/>
      <c r="G33" s="376"/>
    </row>
    <row r="34" spans="1:7" ht="15.75">
      <c r="A34" s="376"/>
      <c r="B34" s="376"/>
      <c r="C34" s="376"/>
      <c r="D34" s="376"/>
      <c r="E34" s="376"/>
      <c r="F34" s="376"/>
      <c r="G34" s="376"/>
    </row>
    <row r="35" spans="1:7" ht="15.75">
      <c r="A35" s="375" t="s">
        <v>569</v>
      </c>
      <c r="B35" s="375"/>
      <c r="C35" s="375"/>
      <c r="D35" s="375"/>
      <c r="E35" s="375"/>
      <c r="F35" s="375"/>
      <c r="G35" s="375"/>
    </row>
    <row r="36" spans="1:7" ht="15.75">
      <c r="A36" s="375" t="s">
        <v>570</v>
      </c>
      <c r="B36" s="375"/>
      <c r="C36" s="375"/>
      <c r="D36" s="375"/>
      <c r="E36" s="375"/>
      <c r="F36" s="375"/>
      <c r="G36" s="375"/>
    </row>
    <row r="37" spans="1:7" ht="15.75">
      <c r="A37" s="375" t="s">
        <v>571</v>
      </c>
      <c r="B37" s="375"/>
      <c r="C37" s="375"/>
      <c r="D37" s="375"/>
      <c r="E37" s="375"/>
      <c r="F37" s="375"/>
      <c r="G37" s="375"/>
    </row>
    <row r="38" spans="1:7" ht="15.75">
      <c r="A38" s="375" t="s">
        <v>572</v>
      </c>
      <c r="B38" s="375"/>
      <c r="C38" s="375"/>
      <c r="D38" s="375"/>
      <c r="E38" s="375"/>
      <c r="F38" s="375"/>
      <c r="G38" s="375"/>
    </row>
    <row r="39" spans="1:7" ht="15.75">
      <c r="A39" s="375" t="s">
        <v>573</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2014 expenditures can</v>
      </c>
      <c r="B41" s="375"/>
      <c r="C41" s="375"/>
      <c r="D41" s="375"/>
      <c r="E41" s="375"/>
      <c r="F41" s="375"/>
    </row>
    <row r="42" spans="1:6" ht="15.75">
      <c r="A42" s="379" t="s">
        <v>537</v>
      </c>
      <c r="B42" s="375"/>
      <c r="C42" s="375"/>
      <c r="D42" s="375"/>
      <c r="E42" s="375"/>
      <c r="F42" s="375"/>
    </row>
    <row r="43" spans="1:6" ht="15.75">
      <c r="A43" s="379" t="s">
        <v>421</v>
      </c>
      <c r="B43" s="375"/>
      <c r="C43" s="375"/>
      <c r="D43" s="375"/>
      <c r="E43" s="375"/>
      <c r="F43" s="375"/>
    </row>
    <row r="44" spans="1:6" ht="15.75">
      <c r="A44" s="379" t="s">
        <v>422</v>
      </c>
      <c r="B44" s="375"/>
      <c r="C44" s="375"/>
      <c r="D44" s="375"/>
      <c r="E44" s="375"/>
      <c r="F44" s="375"/>
    </row>
    <row r="45" ht="15.75">
      <c r="A45" s="375"/>
    </row>
    <row r="46" spans="1:6" ht="15.75">
      <c r="A46" s="379" t="str">
        <f>CONCATENATE("Additionally, do your ",inputPrYr!D9-1," receipts contain a reimbursement")</f>
        <v>Additionally, do your 2014 receipts contain a reimbursement</v>
      </c>
      <c r="B46" s="375"/>
      <c r="C46" s="375"/>
      <c r="D46" s="375"/>
      <c r="E46" s="375"/>
      <c r="F46" s="375"/>
    </row>
    <row r="47" spans="1:6" ht="15.75">
      <c r="A47" s="379" t="s">
        <v>423</v>
      </c>
      <c r="B47" s="375"/>
      <c r="C47" s="375"/>
      <c r="D47" s="375"/>
      <c r="E47" s="375"/>
      <c r="F47" s="375"/>
    </row>
    <row r="48" spans="1:6" ht="15.75">
      <c r="A48" s="379" t="s">
        <v>424</v>
      </c>
      <c r="B48" s="375"/>
      <c r="C48" s="375"/>
      <c r="D48" s="375"/>
      <c r="E48" s="375"/>
      <c r="F48" s="375"/>
    </row>
    <row r="49" spans="1:7" ht="15.75">
      <c r="A49" s="375"/>
      <c r="B49" s="375"/>
      <c r="C49" s="375"/>
      <c r="D49" s="375"/>
      <c r="E49" s="375"/>
      <c r="F49" s="375"/>
      <c r="G49" s="375"/>
    </row>
    <row r="50" spans="1:7" ht="15.75">
      <c r="A50" s="375" t="s">
        <v>491</v>
      </c>
      <c r="B50" s="375"/>
      <c r="C50" s="375"/>
      <c r="D50" s="375"/>
      <c r="E50" s="375"/>
      <c r="F50" s="375"/>
      <c r="G50" s="375"/>
    </row>
    <row r="51" spans="1:7" ht="15.75">
      <c r="A51" s="375" t="s">
        <v>492</v>
      </c>
      <c r="B51" s="375"/>
      <c r="C51" s="375"/>
      <c r="D51" s="375"/>
      <c r="E51" s="375"/>
      <c r="F51" s="375"/>
      <c r="G51" s="375"/>
    </row>
    <row r="52" spans="1:7" ht="15.75">
      <c r="A52" s="375" t="s">
        <v>493</v>
      </c>
      <c r="B52" s="375"/>
      <c r="C52" s="375"/>
      <c r="D52" s="375"/>
      <c r="E52" s="375"/>
      <c r="F52" s="375"/>
      <c r="G52" s="375"/>
    </row>
    <row r="53" spans="1:7" ht="15.75">
      <c r="A53" s="375" t="s">
        <v>494</v>
      </c>
      <c r="B53" s="375"/>
      <c r="C53" s="375"/>
      <c r="D53" s="375"/>
      <c r="E53" s="375"/>
      <c r="F53" s="375"/>
      <c r="G53" s="375"/>
    </row>
    <row r="54" spans="1:7" ht="15.75">
      <c r="A54" s="375" t="s">
        <v>495</v>
      </c>
      <c r="B54" s="375"/>
      <c r="C54" s="375"/>
      <c r="D54" s="375"/>
      <c r="E54" s="375"/>
      <c r="F54" s="375"/>
      <c r="G54" s="375"/>
    </row>
    <row r="55" spans="1:7" ht="15.75">
      <c r="A55" s="375"/>
      <c r="B55" s="375"/>
      <c r="C55" s="375"/>
      <c r="D55" s="375"/>
      <c r="E55" s="375"/>
      <c r="F55" s="375"/>
      <c r="G55" s="375"/>
    </row>
    <row r="56" spans="1:6" ht="15.75">
      <c r="A56" s="379" t="s">
        <v>433</v>
      </c>
      <c r="B56" s="375"/>
      <c r="C56" s="375"/>
      <c r="D56" s="375"/>
      <c r="E56" s="375"/>
      <c r="F56" s="375"/>
    </row>
    <row r="57" spans="1:6" ht="15.75">
      <c r="A57" s="379" t="s">
        <v>434</v>
      </c>
      <c r="B57" s="375"/>
      <c r="C57" s="375"/>
      <c r="D57" s="375"/>
      <c r="E57" s="375"/>
      <c r="F57" s="375"/>
    </row>
    <row r="58" spans="1:6" ht="15.75">
      <c r="A58" s="379" t="s">
        <v>435</v>
      </c>
      <c r="B58" s="375"/>
      <c r="C58" s="375"/>
      <c r="D58" s="375"/>
      <c r="E58" s="375"/>
      <c r="F58" s="375"/>
    </row>
    <row r="59" spans="1:6" ht="15.75">
      <c r="A59" s="379"/>
      <c r="B59" s="375"/>
      <c r="C59" s="375"/>
      <c r="D59" s="375"/>
      <c r="E59" s="375"/>
      <c r="F59" s="375"/>
    </row>
    <row r="60" spans="1:7" ht="15.75">
      <c r="A60" s="375" t="s">
        <v>574</v>
      </c>
      <c r="B60" s="375"/>
      <c r="C60" s="375"/>
      <c r="D60" s="375"/>
      <c r="E60" s="375"/>
      <c r="F60" s="375"/>
      <c r="G60" s="375"/>
    </row>
    <row r="61" spans="1:7" ht="15.75">
      <c r="A61" s="375" t="s">
        <v>575</v>
      </c>
      <c r="B61" s="375"/>
      <c r="C61" s="375"/>
      <c r="D61" s="375"/>
      <c r="E61" s="375"/>
      <c r="F61" s="375"/>
      <c r="G61" s="375"/>
    </row>
    <row r="62" spans="1:7" ht="15.75">
      <c r="A62" s="375" t="s">
        <v>576</v>
      </c>
      <c r="B62" s="375"/>
      <c r="C62" s="375"/>
      <c r="D62" s="375"/>
      <c r="E62" s="375"/>
      <c r="F62" s="375"/>
      <c r="G62" s="375"/>
    </row>
    <row r="63" spans="1:7" ht="15.75">
      <c r="A63" s="375" t="s">
        <v>577</v>
      </c>
      <c r="B63" s="375"/>
      <c r="C63" s="375"/>
      <c r="D63" s="375"/>
      <c r="E63" s="375"/>
      <c r="F63" s="375"/>
      <c r="G63" s="375"/>
    </row>
    <row r="64" spans="1:7" ht="15.75">
      <c r="A64" s="375" t="s">
        <v>578</v>
      </c>
      <c r="B64" s="375"/>
      <c r="C64" s="375"/>
      <c r="D64" s="375"/>
      <c r="E64" s="375"/>
      <c r="F64" s="375"/>
      <c r="G64" s="375"/>
    </row>
    <row r="66" spans="1:6" ht="15.75">
      <c r="A66" s="379" t="s">
        <v>541</v>
      </c>
      <c r="B66" s="375"/>
      <c r="C66" s="375"/>
      <c r="D66" s="375"/>
      <c r="E66" s="375"/>
      <c r="F66" s="375"/>
    </row>
    <row r="67" spans="1:6" ht="15.75">
      <c r="A67" s="379" t="s">
        <v>542</v>
      </c>
      <c r="B67" s="375"/>
      <c r="C67" s="375"/>
      <c r="D67" s="375"/>
      <c r="E67" s="375"/>
      <c r="F67" s="375"/>
    </row>
    <row r="68" spans="1:6" ht="15.75">
      <c r="A68" s="379" t="s">
        <v>543</v>
      </c>
      <c r="B68" s="375"/>
      <c r="C68" s="375"/>
      <c r="D68" s="375"/>
      <c r="E68" s="375"/>
      <c r="F68" s="375"/>
    </row>
    <row r="69" spans="1:6" ht="15.75">
      <c r="A69" s="379" t="s">
        <v>544</v>
      </c>
      <c r="B69" s="375"/>
      <c r="C69" s="375"/>
      <c r="D69" s="375"/>
      <c r="E69" s="375"/>
      <c r="F69" s="375"/>
    </row>
    <row r="70" spans="1:6" ht="15.75">
      <c r="A70" s="379" t="s">
        <v>545</v>
      </c>
      <c r="B70" s="375"/>
      <c r="C70" s="375"/>
      <c r="D70" s="375"/>
      <c r="E70" s="375"/>
      <c r="F70" s="375"/>
    </row>
    <row r="71" ht="15.75">
      <c r="A71" s="375"/>
    </row>
    <row r="72" ht="15.75">
      <c r="A72" s="375" t="s">
        <v>462</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579</v>
      </c>
      <c r="B3" s="374"/>
      <c r="C3" s="374"/>
      <c r="D3" s="374"/>
      <c r="E3" s="374"/>
      <c r="F3" s="374"/>
      <c r="G3" s="374"/>
    </row>
    <row r="4" spans="1:7" ht="15.75">
      <c r="A4" s="374" t="s">
        <v>580</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407</v>
      </c>
    </row>
    <row r="8" ht="15.75">
      <c r="A8" s="375" t="str">
        <f>CONCATENATE("estimated ",inputPrYr!D9," 'total expenditures' exceed your ",inputPrYr!D9,"")</f>
        <v>estimated 2015 'total expenditures' exceed your 2015</v>
      </c>
    </row>
    <row r="9" ht="15.75">
      <c r="A9" s="378" t="s">
        <v>581</v>
      </c>
    </row>
    <row r="10" ht="15.75">
      <c r="A10" s="375"/>
    </row>
    <row r="11" ht="15.75">
      <c r="A11" s="375" t="s">
        <v>582</v>
      </c>
    </row>
    <row r="12" ht="15.75">
      <c r="A12" s="375" t="s">
        <v>583</v>
      </c>
    </row>
    <row r="13" ht="15.75">
      <c r="A13" s="375" t="s">
        <v>584</v>
      </c>
    </row>
    <row r="14" ht="15.75">
      <c r="A14" s="375"/>
    </row>
    <row r="15" ht="15.75">
      <c r="A15" s="376" t="s">
        <v>585</v>
      </c>
    </row>
    <row r="16" spans="1:7" ht="15.75">
      <c r="A16" s="374"/>
      <c r="B16" s="374"/>
      <c r="C16" s="374"/>
      <c r="D16" s="374"/>
      <c r="E16" s="374"/>
      <c r="F16" s="374"/>
      <c r="G16" s="374"/>
    </row>
    <row r="17" spans="1:8" ht="15.75">
      <c r="A17" s="381" t="s">
        <v>586</v>
      </c>
      <c r="B17" s="373"/>
      <c r="C17" s="373"/>
      <c r="D17" s="373"/>
      <c r="E17" s="373"/>
      <c r="F17" s="373"/>
      <c r="G17" s="373"/>
      <c r="H17" s="373"/>
    </row>
    <row r="18" spans="1:7" ht="15.75">
      <c r="A18" s="375" t="s">
        <v>587</v>
      </c>
      <c r="B18" s="382"/>
      <c r="C18" s="382"/>
      <c r="D18" s="382"/>
      <c r="E18" s="382"/>
      <c r="F18" s="382"/>
      <c r="G18" s="382"/>
    </row>
    <row r="19" ht="15.75">
      <c r="A19" s="375" t="s">
        <v>588</v>
      </c>
    </row>
    <row r="20" ht="15.75">
      <c r="A20" s="375" t="s">
        <v>589</v>
      </c>
    </row>
    <row r="22" ht="15.75">
      <c r="A22" s="376" t="s">
        <v>590</v>
      </c>
    </row>
    <row r="24" ht="15.75">
      <c r="A24" s="375" t="s">
        <v>591</v>
      </c>
    </row>
    <row r="25" ht="15.75">
      <c r="A25" s="375" t="s">
        <v>592</v>
      </c>
    </row>
    <row r="26" ht="15.75">
      <c r="A26" s="375" t="s">
        <v>593</v>
      </c>
    </row>
    <row r="28" ht="15.75">
      <c r="A28" s="376" t="s">
        <v>594</v>
      </c>
    </row>
    <row r="30" ht="15.75">
      <c r="A30" t="s">
        <v>595</v>
      </c>
    </row>
    <row r="31" ht="15.75">
      <c r="A31" t="s">
        <v>596</v>
      </c>
    </row>
    <row r="32" ht="15.75">
      <c r="A32" t="s">
        <v>597</v>
      </c>
    </row>
    <row r="33" ht="15.75">
      <c r="A33" s="375" t="s">
        <v>598</v>
      </c>
    </row>
    <row r="35" ht="15.75">
      <c r="A35" t="s">
        <v>599</v>
      </c>
    </row>
    <row r="36" ht="15.75">
      <c r="A36" t="s">
        <v>600</v>
      </c>
    </row>
    <row r="37" ht="15.75">
      <c r="A37" t="s">
        <v>601</v>
      </c>
    </row>
    <row r="38" ht="15.75">
      <c r="A38" t="s">
        <v>602</v>
      </c>
    </row>
    <row r="40" ht="15.75">
      <c r="A40" t="s">
        <v>603</v>
      </c>
    </row>
    <row r="41" ht="15.75">
      <c r="A41" t="s">
        <v>604</v>
      </c>
    </row>
    <row r="42" ht="15.75">
      <c r="A42" t="s">
        <v>605</v>
      </c>
    </row>
    <row r="43" ht="15.75">
      <c r="A43" t="s">
        <v>606</v>
      </c>
    </row>
    <row r="44" ht="15.75">
      <c r="A44" t="s">
        <v>607</v>
      </c>
    </row>
    <row r="45" ht="15.75">
      <c r="A45" t="s">
        <v>608</v>
      </c>
    </row>
    <row r="47" ht="15.75">
      <c r="A47" t="s">
        <v>609</v>
      </c>
    </row>
    <row r="48" ht="15.75">
      <c r="A48" t="s">
        <v>610</v>
      </c>
    </row>
    <row r="49" ht="15.75">
      <c r="A49" s="375" t="s">
        <v>611</v>
      </c>
    </row>
    <row r="50" ht="15.75">
      <c r="A50" s="375" t="s">
        <v>612</v>
      </c>
    </row>
    <row r="52" ht="15.75">
      <c r="A52" t="s">
        <v>462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93" t="s">
        <v>654</v>
      </c>
      <c r="C6" s="904"/>
      <c r="D6" s="904"/>
      <c r="E6" s="904"/>
      <c r="F6" s="904"/>
      <c r="G6" s="904"/>
      <c r="H6" s="904"/>
      <c r="I6" s="904"/>
      <c r="J6" s="904"/>
      <c r="K6" s="904"/>
      <c r="L6" s="397"/>
    </row>
    <row r="7" spans="1:12" ht="40.5" customHeight="1">
      <c r="A7" s="395"/>
      <c r="B7" s="913" t="s">
        <v>655</v>
      </c>
      <c r="C7" s="914"/>
      <c r="D7" s="914"/>
      <c r="E7" s="914"/>
      <c r="F7" s="914"/>
      <c r="G7" s="914"/>
      <c r="H7" s="914"/>
      <c r="I7" s="914"/>
      <c r="J7" s="914"/>
      <c r="K7" s="914"/>
      <c r="L7" s="395"/>
    </row>
    <row r="8" spans="1:12" ht="14.25">
      <c r="A8" s="395"/>
      <c r="B8" s="906" t="s">
        <v>656</v>
      </c>
      <c r="C8" s="906"/>
      <c r="D8" s="906"/>
      <c r="E8" s="906"/>
      <c r="F8" s="906"/>
      <c r="G8" s="906"/>
      <c r="H8" s="906"/>
      <c r="I8" s="906"/>
      <c r="J8" s="906"/>
      <c r="K8" s="906"/>
      <c r="L8" s="395"/>
    </row>
    <row r="9" spans="1:12" ht="14.25">
      <c r="A9" s="395"/>
      <c r="L9" s="395"/>
    </row>
    <row r="10" spans="1:12" ht="14.25">
      <c r="A10" s="395"/>
      <c r="B10" s="906" t="s">
        <v>657</v>
      </c>
      <c r="C10" s="906"/>
      <c r="D10" s="906"/>
      <c r="E10" s="906"/>
      <c r="F10" s="906"/>
      <c r="G10" s="906"/>
      <c r="H10" s="906"/>
      <c r="I10" s="906"/>
      <c r="J10" s="906"/>
      <c r="K10" s="906"/>
      <c r="L10" s="395"/>
    </row>
    <row r="11" spans="1:12" ht="14.25">
      <c r="A11" s="395"/>
      <c r="B11" s="398"/>
      <c r="C11" s="398"/>
      <c r="D11" s="398"/>
      <c r="E11" s="398"/>
      <c r="F11" s="398"/>
      <c r="G11" s="398"/>
      <c r="H11" s="398"/>
      <c r="I11" s="398"/>
      <c r="J11" s="398"/>
      <c r="K11" s="398"/>
      <c r="L11" s="395"/>
    </row>
    <row r="12" spans="1:12" ht="32.25" customHeight="1">
      <c r="A12" s="395"/>
      <c r="B12" s="894" t="s">
        <v>658</v>
      </c>
      <c r="C12" s="894"/>
      <c r="D12" s="894"/>
      <c r="E12" s="894"/>
      <c r="F12" s="894"/>
      <c r="G12" s="894"/>
      <c r="H12" s="894"/>
      <c r="I12" s="894"/>
      <c r="J12" s="894"/>
      <c r="K12" s="894"/>
      <c r="L12" s="395"/>
    </row>
    <row r="13" spans="1:12" ht="14.25">
      <c r="A13" s="395"/>
      <c r="L13" s="395"/>
    </row>
    <row r="14" spans="1:12" ht="14.25">
      <c r="A14" s="395"/>
      <c r="B14" s="399" t="s">
        <v>659</v>
      </c>
      <c r="L14" s="395"/>
    </row>
    <row r="15" spans="1:12" ht="14.25">
      <c r="A15" s="395"/>
      <c r="L15" s="395"/>
    </row>
    <row r="16" spans="1:12" ht="14.25">
      <c r="A16" s="395"/>
      <c r="B16" s="396" t="s">
        <v>660</v>
      </c>
      <c r="L16" s="395"/>
    </row>
    <row r="17" spans="1:12" ht="14.25">
      <c r="A17" s="395"/>
      <c r="B17" s="396" t="s">
        <v>661</v>
      </c>
      <c r="L17" s="395"/>
    </row>
    <row r="18" spans="1:12" ht="14.25">
      <c r="A18" s="395"/>
      <c r="L18" s="395"/>
    </row>
    <row r="19" spans="1:12" ht="14.25">
      <c r="A19" s="395"/>
      <c r="B19" s="399" t="s">
        <v>662</v>
      </c>
      <c r="L19" s="395"/>
    </row>
    <row r="20" spans="1:12" ht="14.25">
      <c r="A20" s="395"/>
      <c r="B20" s="399"/>
      <c r="L20" s="395"/>
    </row>
    <row r="21" spans="1:12" ht="14.25">
      <c r="A21" s="395"/>
      <c r="B21" s="396" t="s">
        <v>663</v>
      </c>
      <c r="L21" s="395"/>
    </row>
    <row r="22" spans="1:12" ht="14.25">
      <c r="A22" s="395"/>
      <c r="L22" s="395"/>
    </row>
    <row r="23" spans="1:12" ht="14.25">
      <c r="A23" s="395"/>
      <c r="B23" s="396" t="s">
        <v>664</v>
      </c>
      <c r="E23" s="396" t="s">
        <v>665</v>
      </c>
      <c r="F23" s="896">
        <v>133685008</v>
      </c>
      <c r="G23" s="896"/>
      <c r="L23" s="395"/>
    </row>
    <row r="24" spans="1:12" ht="14.25">
      <c r="A24" s="395"/>
      <c r="L24" s="395"/>
    </row>
    <row r="25" spans="1:12" ht="14.25">
      <c r="A25" s="395"/>
      <c r="C25" s="907">
        <f>F23</f>
        <v>133685008</v>
      </c>
      <c r="D25" s="907"/>
      <c r="E25" s="396" t="s">
        <v>666</v>
      </c>
      <c r="F25" s="400">
        <v>1000</v>
      </c>
      <c r="G25" s="400" t="s">
        <v>665</v>
      </c>
      <c r="H25" s="401">
        <f>F23/F25</f>
        <v>133685.008</v>
      </c>
      <c r="L25" s="395"/>
    </row>
    <row r="26" spans="1:12" ht="15" thickBot="1">
      <c r="A26" s="395"/>
      <c r="L26" s="395"/>
    </row>
    <row r="27" spans="1:12" ht="14.25">
      <c r="A27" s="395"/>
      <c r="B27" s="402" t="s">
        <v>659</v>
      </c>
      <c r="C27" s="403"/>
      <c r="D27" s="403"/>
      <c r="E27" s="403"/>
      <c r="F27" s="403"/>
      <c r="G27" s="403"/>
      <c r="H27" s="403"/>
      <c r="I27" s="403"/>
      <c r="J27" s="403"/>
      <c r="K27" s="404"/>
      <c r="L27" s="395"/>
    </row>
    <row r="28" spans="1:12" ht="14.25">
      <c r="A28" s="395"/>
      <c r="B28" s="405">
        <f>F23</f>
        <v>133685008</v>
      </c>
      <c r="C28" s="406" t="s">
        <v>667</v>
      </c>
      <c r="D28" s="406"/>
      <c r="E28" s="406" t="s">
        <v>666</v>
      </c>
      <c r="F28" s="407">
        <v>1000</v>
      </c>
      <c r="G28" s="407" t="s">
        <v>665</v>
      </c>
      <c r="H28" s="408">
        <f>B28/F28</f>
        <v>133685.008</v>
      </c>
      <c r="I28" s="406" t="s">
        <v>668</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901" t="s">
        <v>655</v>
      </c>
      <c r="C30" s="901"/>
      <c r="D30" s="901"/>
      <c r="E30" s="901"/>
      <c r="F30" s="901"/>
      <c r="G30" s="901"/>
      <c r="H30" s="901"/>
      <c r="I30" s="901"/>
      <c r="J30" s="901"/>
      <c r="K30" s="901"/>
      <c r="L30" s="395"/>
    </row>
    <row r="31" spans="1:12" ht="14.25">
      <c r="A31" s="395"/>
      <c r="B31" s="906" t="s">
        <v>669</v>
      </c>
      <c r="C31" s="906"/>
      <c r="D31" s="906"/>
      <c r="E31" s="906"/>
      <c r="F31" s="906"/>
      <c r="G31" s="906"/>
      <c r="H31" s="906"/>
      <c r="I31" s="906"/>
      <c r="J31" s="906"/>
      <c r="K31" s="906"/>
      <c r="L31" s="395"/>
    </row>
    <row r="32" spans="1:12" ht="14.25">
      <c r="A32" s="395"/>
      <c r="L32" s="395"/>
    </row>
    <row r="33" spans="1:12" ht="14.25">
      <c r="A33" s="395"/>
      <c r="B33" s="906" t="s">
        <v>670</v>
      </c>
      <c r="C33" s="906"/>
      <c r="D33" s="906"/>
      <c r="E33" s="906"/>
      <c r="F33" s="906"/>
      <c r="G33" s="906"/>
      <c r="H33" s="906"/>
      <c r="I33" s="906"/>
      <c r="J33" s="906"/>
      <c r="K33" s="906"/>
      <c r="L33" s="395"/>
    </row>
    <row r="34" spans="1:12" ht="14.25">
      <c r="A34" s="395"/>
      <c r="L34" s="395"/>
    </row>
    <row r="35" spans="1:12" ht="89.25" customHeight="1">
      <c r="A35" s="395"/>
      <c r="B35" s="894" t="s">
        <v>671</v>
      </c>
      <c r="C35" s="899"/>
      <c r="D35" s="899"/>
      <c r="E35" s="899"/>
      <c r="F35" s="899"/>
      <c r="G35" s="899"/>
      <c r="H35" s="899"/>
      <c r="I35" s="899"/>
      <c r="J35" s="899"/>
      <c r="K35" s="899"/>
      <c r="L35" s="395"/>
    </row>
    <row r="36" spans="1:12" ht="14.25">
      <c r="A36" s="395"/>
      <c r="L36" s="395"/>
    </row>
    <row r="37" spans="1:12" ht="14.25">
      <c r="A37" s="395"/>
      <c r="B37" s="399" t="s">
        <v>672</v>
      </c>
      <c r="L37" s="395"/>
    </row>
    <row r="38" spans="1:12" ht="14.25">
      <c r="A38" s="395"/>
      <c r="L38" s="395"/>
    </row>
    <row r="39" spans="1:12" ht="14.25">
      <c r="A39" s="395"/>
      <c r="B39" s="396" t="s">
        <v>673</v>
      </c>
      <c r="L39" s="395"/>
    </row>
    <row r="40" spans="1:12" ht="14.25">
      <c r="A40" s="395"/>
      <c r="L40" s="395"/>
    </row>
    <row r="41" spans="1:12" ht="14.25">
      <c r="A41" s="395"/>
      <c r="C41" s="908">
        <v>3120000</v>
      </c>
      <c r="D41" s="908"/>
      <c r="E41" s="396" t="s">
        <v>666</v>
      </c>
      <c r="F41" s="400">
        <v>1000</v>
      </c>
      <c r="G41" s="400" t="s">
        <v>665</v>
      </c>
      <c r="H41" s="413">
        <f>C41/F41</f>
        <v>3120</v>
      </c>
      <c r="L41" s="395"/>
    </row>
    <row r="42" spans="1:12" ht="14.25">
      <c r="A42" s="395"/>
      <c r="L42" s="395"/>
    </row>
    <row r="43" spans="1:12" ht="14.25">
      <c r="A43" s="395"/>
      <c r="B43" s="396" t="s">
        <v>674</v>
      </c>
      <c r="L43" s="395"/>
    </row>
    <row r="44" spans="1:12" ht="14.25">
      <c r="A44" s="395"/>
      <c r="L44" s="395"/>
    </row>
    <row r="45" spans="1:12" ht="14.25">
      <c r="A45" s="395"/>
      <c r="B45" s="396" t="s">
        <v>675</v>
      </c>
      <c r="L45" s="395"/>
    </row>
    <row r="46" spans="1:12" ht="15" thickBot="1">
      <c r="A46" s="395"/>
      <c r="L46" s="395"/>
    </row>
    <row r="47" spans="1:12" ht="14.25">
      <c r="A47" s="395"/>
      <c r="B47" s="414" t="s">
        <v>659</v>
      </c>
      <c r="C47" s="403"/>
      <c r="D47" s="403"/>
      <c r="E47" s="403"/>
      <c r="F47" s="403"/>
      <c r="G47" s="403"/>
      <c r="H47" s="403"/>
      <c r="I47" s="403"/>
      <c r="J47" s="403"/>
      <c r="K47" s="404"/>
      <c r="L47" s="395"/>
    </row>
    <row r="48" spans="1:12" ht="14.25">
      <c r="A48" s="395"/>
      <c r="B48" s="896">
        <v>133685008</v>
      </c>
      <c r="C48" s="896"/>
      <c r="D48" s="406" t="s">
        <v>676</v>
      </c>
      <c r="E48" s="406" t="s">
        <v>666</v>
      </c>
      <c r="F48" s="407">
        <v>1000</v>
      </c>
      <c r="G48" s="407" t="s">
        <v>665</v>
      </c>
      <c r="H48" s="408">
        <f>B48/F48</f>
        <v>133685.008</v>
      </c>
      <c r="I48" s="406" t="s">
        <v>677</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678</v>
      </c>
      <c r="D50" s="406"/>
      <c r="E50" s="406" t="s">
        <v>666</v>
      </c>
      <c r="F50" s="408">
        <f>H48</f>
        <v>133685.008</v>
      </c>
      <c r="G50" s="909" t="s">
        <v>679</v>
      </c>
      <c r="H50" s="910"/>
      <c r="I50" s="407" t="s">
        <v>665</v>
      </c>
      <c r="J50" s="417">
        <f>B50/F50</f>
        <v>52.8690023342034</v>
      </c>
      <c r="K50" s="409"/>
      <c r="L50" s="395"/>
    </row>
    <row r="51" spans="1:15" ht="15" thickBot="1">
      <c r="A51" s="395"/>
      <c r="B51" s="410"/>
      <c r="C51" s="411"/>
      <c r="D51" s="411"/>
      <c r="E51" s="411"/>
      <c r="F51" s="411"/>
      <c r="G51" s="411"/>
      <c r="H51" s="411"/>
      <c r="I51" s="911" t="s">
        <v>680</v>
      </c>
      <c r="J51" s="911"/>
      <c r="K51" s="912"/>
      <c r="L51" s="395"/>
      <c r="O51" s="418"/>
    </row>
    <row r="52" spans="1:12" ht="40.5" customHeight="1">
      <c r="A52" s="395"/>
      <c r="B52" s="901" t="s">
        <v>655</v>
      </c>
      <c r="C52" s="901"/>
      <c r="D52" s="901"/>
      <c r="E52" s="901"/>
      <c r="F52" s="901"/>
      <c r="G52" s="901"/>
      <c r="H52" s="901"/>
      <c r="I52" s="901"/>
      <c r="J52" s="901"/>
      <c r="K52" s="901"/>
      <c r="L52" s="395"/>
    </row>
    <row r="53" spans="1:12" ht="14.25">
      <c r="A53" s="395"/>
      <c r="B53" s="906" t="s">
        <v>681</v>
      </c>
      <c r="C53" s="906"/>
      <c r="D53" s="906"/>
      <c r="E53" s="906"/>
      <c r="F53" s="906"/>
      <c r="G53" s="906"/>
      <c r="H53" s="906"/>
      <c r="I53" s="906"/>
      <c r="J53" s="906"/>
      <c r="K53" s="906"/>
      <c r="L53" s="395"/>
    </row>
    <row r="54" spans="1:12" ht="14.25">
      <c r="A54" s="395"/>
      <c r="B54" s="398"/>
      <c r="C54" s="398"/>
      <c r="D54" s="398"/>
      <c r="E54" s="398"/>
      <c r="F54" s="398"/>
      <c r="G54" s="398"/>
      <c r="H54" s="398"/>
      <c r="I54" s="398"/>
      <c r="J54" s="398"/>
      <c r="K54" s="398"/>
      <c r="L54" s="395"/>
    </row>
    <row r="55" spans="1:12" ht="14.25">
      <c r="A55" s="395"/>
      <c r="B55" s="893" t="s">
        <v>682</v>
      </c>
      <c r="C55" s="893"/>
      <c r="D55" s="893"/>
      <c r="E55" s="893"/>
      <c r="F55" s="893"/>
      <c r="G55" s="893"/>
      <c r="H55" s="893"/>
      <c r="I55" s="893"/>
      <c r="J55" s="893"/>
      <c r="K55" s="893"/>
      <c r="L55" s="395"/>
    </row>
    <row r="56" spans="1:12" ht="15" customHeight="1">
      <c r="A56" s="395"/>
      <c r="L56" s="395"/>
    </row>
    <row r="57" spans="1:24" ht="74.25" customHeight="1">
      <c r="A57" s="395"/>
      <c r="B57" s="894" t="s">
        <v>683</v>
      </c>
      <c r="C57" s="899"/>
      <c r="D57" s="899"/>
      <c r="E57" s="899"/>
      <c r="F57" s="899"/>
      <c r="G57" s="899"/>
      <c r="H57" s="899"/>
      <c r="I57" s="899"/>
      <c r="J57" s="899"/>
      <c r="K57" s="899"/>
      <c r="L57" s="395"/>
      <c r="M57" s="419"/>
      <c r="N57" s="420"/>
      <c r="O57" s="420"/>
      <c r="P57" s="420"/>
      <c r="Q57" s="420"/>
      <c r="R57" s="420"/>
      <c r="S57" s="420"/>
      <c r="T57" s="420"/>
      <c r="U57" s="420"/>
      <c r="V57" s="420"/>
      <c r="W57" s="420"/>
      <c r="X57" s="420"/>
    </row>
    <row r="58" spans="1:24" ht="15" customHeight="1">
      <c r="A58" s="395"/>
      <c r="B58" s="894"/>
      <c r="C58" s="899"/>
      <c r="D58" s="899"/>
      <c r="E58" s="899"/>
      <c r="F58" s="899"/>
      <c r="G58" s="899"/>
      <c r="H58" s="899"/>
      <c r="I58" s="899"/>
      <c r="J58" s="899"/>
      <c r="K58" s="899"/>
      <c r="L58" s="395"/>
      <c r="M58" s="419"/>
      <c r="N58" s="420"/>
      <c r="O58" s="420"/>
      <c r="P58" s="420"/>
      <c r="Q58" s="420"/>
      <c r="R58" s="420"/>
      <c r="S58" s="420"/>
      <c r="T58" s="420"/>
      <c r="U58" s="420"/>
      <c r="V58" s="420"/>
      <c r="W58" s="420"/>
      <c r="X58" s="420"/>
    </row>
    <row r="59" spans="1:24" ht="14.25">
      <c r="A59" s="395"/>
      <c r="B59" s="399" t="s">
        <v>672</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684</v>
      </c>
      <c r="L61" s="395"/>
      <c r="M61" s="420"/>
      <c r="N61" s="420"/>
      <c r="O61" s="420"/>
      <c r="P61" s="420"/>
      <c r="Q61" s="420"/>
      <c r="R61" s="420"/>
      <c r="S61" s="420"/>
      <c r="T61" s="420"/>
      <c r="U61" s="420"/>
      <c r="V61" s="420"/>
      <c r="W61" s="420"/>
      <c r="X61" s="420"/>
    </row>
    <row r="62" spans="1:24" ht="14.25">
      <c r="A62" s="395"/>
      <c r="B62" s="396" t="s">
        <v>685</v>
      </c>
      <c r="L62" s="395"/>
      <c r="M62" s="420"/>
      <c r="N62" s="420"/>
      <c r="O62" s="420"/>
      <c r="P62" s="420"/>
      <c r="Q62" s="420"/>
      <c r="R62" s="420"/>
      <c r="S62" s="420"/>
      <c r="T62" s="420"/>
      <c r="U62" s="420"/>
      <c r="V62" s="420"/>
      <c r="W62" s="420"/>
      <c r="X62" s="420"/>
    </row>
    <row r="63" spans="1:24" ht="14.25">
      <c r="A63" s="395"/>
      <c r="B63" s="396" t="s">
        <v>686</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687</v>
      </c>
      <c r="L65" s="395"/>
      <c r="M65" s="420"/>
      <c r="N65" s="420"/>
      <c r="O65" s="420"/>
      <c r="P65" s="420"/>
      <c r="Q65" s="420"/>
      <c r="R65" s="420"/>
      <c r="S65" s="420"/>
      <c r="T65" s="420"/>
      <c r="U65" s="420"/>
      <c r="V65" s="420"/>
      <c r="W65" s="420"/>
      <c r="X65" s="420"/>
    </row>
    <row r="66" spans="1:24" ht="14.25">
      <c r="A66" s="395"/>
      <c r="B66" s="396" t="s">
        <v>688</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689</v>
      </c>
      <c r="L68" s="395"/>
      <c r="M68" s="421"/>
      <c r="N68" s="422"/>
      <c r="O68" s="422"/>
      <c r="P68" s="422"/>
      <c r="Q68" s="422"/>
      <c r="R68" s="422"/>
      <c r="S68" s="422"/>
      <c r="T68" s="422"/>
      <c r="U68" s="422"/>
      <c r="V68" s="422"/>
      <c r="W68" s="422"/>
      <c r="X68" s="420"/>
    </row>
    <row r="69" spans="1:24" ht="14.25">
      <c r="A69" s="395"/>
      <c r="B69" s="396" t="s">
        <v>690</v>
      </c>
      <c r="L69" s="395"/>
      <c r="M69" s="420"/>
      <c r="N69" s="420"/>
      <c r="O69" s="420"/>
      <c r="P69" s="420"/>
      <c r="Q69" s="420"/>
      <c r="R69" s="420"/>
      <c r="S69" s="420"/>
      <c r="T69" s="420"/>
      <c r="U69" s="420"/>
      <c r="V69" s="420"/>
      <c r="W69" s="420"/>
      <c r="X69" s="420"/>
    </row>
    <row r="70" spans="1:24" ht="14.25">
      <c r="A70" s="395"/>
      <c r="B70" s="396" t="s">
        <v>691</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659</v>
      </c>
      <c r="C72" s="403"/>
      <c r="D72" s="403"/>
      <c r="E72" s="403"/>
      <c r="F72" s="403"/>
      <c r="G72" s="403"/>
      <c r="H72" s="403"/>
      <c r="I72" s="403"/>
      <c r="J72" s="403"/>
      <c r="K72" s="404"/>
      <c r="L72" s="423"/>
    </row>
    <row r="73" spans="1:12" ht="14.25">
      <c r="A73" s="395"/>
      <c r="B73" s="415"/>
      <c r="C73" s="406" t="s">
        <v>667</v>
      </c>
      <c r="D73" s="406"/>
      <c r="E73" s="406"/>
      <c r="F73" s="406"/>
      <c r="G73" s="406"/>
      <c r="H73" s="406"/>
      <c r="I73" s="406"/>
      <c r="J73" s="406"/>
      <c r="K73" s="409"/>
      <c r="L73" s="423"/>
    </row>
    <row r="74" spans="1:12" ht="14.25">
      <c r="A74" s="395"/>
      <c r="B74" s="415" t="s">
        <v>692</v>
      </c>
      <c r="C74" s="896">
        <v>133685008</v>
      </c>
      <c r="D74" s="896"/>
      <c r="E74" s="407" t="s">
        <v>666</v>
      </c>
      <c r="F74" s="407">
        <v>1000</v>
      </c>
      <c r="G74" s="407" t="s">
        <v>665</v>
      </c>
      <c r="H74" s="424">
        <f>C74/F74</f>
        <v>133685.008</v>
      </c>
      <c r="I74" s="406" t="s">
        <v>693</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694</v>
      </c>
      <c r="D76" s="406"/>
      <c r="E76" s="407"/>
      <c r="F76" s="406" t="s">
        <v>693</v>
      </c>
      <c r="G76" s="406"/>
      <c r="H76" s="406"/>
      <c r="I76" s="406"/>
      <c r="J76" s="406"/>
      <c r="K76" s="409"/>
      <c r="L76" s="423"/>
    </row>
    <row r="77" spans="1:12" ht="14.25">
      <c r="A77" s="395"/>
      <c r="B77" s="415" t="s">
        <v>695</v>
      </c>
      <c r="C77" s="896">
        <v>5000</v>
      </c>
      <c r="D77" s="896"/>
      <c r="E77" s="407" t="s">
        <v>666</v>
      </c>
      <c r="F77" s="424">
        <f>H74</f>
        <v>133685.008</v>
      </c>
      <c r="G77" s="407" t="s">
        <v>665</v>
      </c>
      <c r="H77" s="417">
        <f>C77/F77</f>
        <v>0.03740135169083432</v>
      </c>
      <c r="I77" s="406" t="s">
        <v>696</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697</v>
      </c>
      <c r="D79" s="426"/>
      <c r="E79" s="427"/>
      <c r="F79" s="426"/>
      <c r="G79" s="426"/>
      <c r="H79" s="426"/>
      <c r="I79" s="426"/>
      <c r="J79" s="426"/>
      <c r="K79" s="428"/>
      <c r="L79" s="423"/>
    </row>
    <row r="80" spans="1:12" ht="14.25">
      <c r="A80" s="395"/>
      <c r="B80" s="415" t="s">
        <v>698</v>
      </c>
      <c r="C80" s="896">
        <v>100000</v>
      </c>
      <c r="D80" s="896"/>
      <c r="E80" s="407" t="s">
        <v>252</v>
      </c>
      <c r="F80" s="407">
        <v>0.115</v>
      </c>
      <c r="G80" s="407" t="s">
        <v>665</v>
      </c>
      <c r="H80" s="424">
        <f>C80*F80</f>
        <v>11500</v>
      </c>
      <c r="I80" s="406" t="s">
        <v>699</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700</v>
      </c>
      <c r="D82" s="426"/>
      <c r="E82" s="427"/>
      <c r="F82" s="426" t="s">
        <v>696</v>
      </c>
      <c r="G82" s="426"/>
      <c r="H82" s="426"/>
      <c r="I82" s="426"/>
      <c r="J82" s="426" t="s">
        <v>701</v>
      </c>
      <c r="K82" s="428"/>
      <c r="L82" s="423"/>
    </row>
    <row r="83" spans="1:12" ht="14.25">
      <c r="A83" s="395"/>
      <c r="B83" s="415" t="s">
        <v>702</v>
      </c>
      <c r="C83" s="900">
        <f>H80</f>
        <v>11500</v>
      </c>
      <c r="D83" s="900"/>
      <c r="E83" s="407" t="s">
        <v>252</v>
      </c>
      <c r="F83" s="417">
        <f>H77</f>
        <v>0.03740135169083432</v>
      </c>
      <c r="G83" s="407" t="s">
        <v>666</v>
      </c>
      <c r="H83" s="407">
        <v>1000</v>
      </c>
      <c r="I83" s="407" t="s">
        <v>665</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901" t="s">
        <v>655</v>
      </c>
      <c r="C85" s="901"/>
      <c r="D85" s="901"/>
      <c r="E85" s="901"/>
      <c r="F85" s="901"/>
      <c r="G85" s="901"/>
      <c r="H85" s="901"/>
      <c r="I85" s="901"/>
      <c r="J85" s="901"/>
      <c r="K85" s="901"/>
      <c r="L85" s="395"/>
    </row>
    <row r="86" spans="1:12" ht="14.25">
      <c r="A86" s="395"/>
      <c r="B86" s="893" t="s">
        <v>703</v>
      </c>
      <c r="C86" s="893"/>
      <c r="D86" s="893"/>
      <c r="E86" s="893"/>
      <c r="F86" s="893"/>
      <c r="G86" s="893"/>
      <c r="H86" s="893"/>
      <c r="I86" s="893"/>
      <c r="J86" s="893"/>
      <c r="K86" s="893"/>
      <c r="L86" s="395"/>
    </row>
    <row r="87" spans="1:12" ht="14.25">
      <c r="A87" s="395"/>
      <c r="B87" s="434"/>
      <c r="C87" s="434"/>
      <c r="D87" s="434"/>
      <c r="E87" s="434"/>
      <c r="F87" s="434"/>
      <c r="G87" s="434"/>
      <c r="H87" s="434"/>
      <c r="I87" s="434"/>
      <c r="J87" s="434"/>
      <c r="K87" s="434"/>
      <c r="L87" s="395"/>
    </row>
    <row r="88" spans="1:12" ht="14.25">
      <c r="A88" s="395"/>
      <c r="B88" s="893" t="s">
        <v>704</v>
      </c>
      <c r="C88" s="893"/>
      <c r="D88" s="893"/>
      <c r="E88" s="893"/>
      <c r="F88" s="893"/>
      <c r="G88" s="893"/>
      <c r="H88" s="893"/>
      <c r="I88" s="893"/>
      <c r="J88" s="893"/>
      <c r="K88" s="893"/>
      <c r="L88" s="395"/>
    </row>
    <row r="89" spans="1:12" ht="14.25">
      <c r="A89" s="395"/>
      <c r="B89" s="435"/>
      <c r="C89" s="435"/>
      <c r="D89" s="435"/>
      <c r="E89" s="435"/>
      <c r="F89" s="435"/>
      <c r="G89" s="435"/>
      <c r="H89" s="435"/>
      <c r="I89" s="435"/>
      <c r="J89" s="435"/>
      <c r="K89" s="435"/>
      <c r="L89" s="395"/>
    </row>
    <row r="90" spans="1:12" ht="45" customHeight="1">
      <c r="A90" s="395"/>
      <c r="B90" s="894" t="s">
        <v>705</v>
      </c>
      <c r="C90" s="894"/>
      <c r="D90" s="894"/>
      <c r="E90" s="894"/>
      <c r="F90" s="894"/>
      <c r="G90" s="894"/>
      <c r="H90" s="894"/>
      <c r="I90" s="894"/>
      <c r="J90" s="894"/>
      <c r="K90" s="894"/>
      <c r="L90" s="395"/>
    </row>
    <row r="91" spans="1:12" ht="15" customHeight="1" thickBot="1">
      <c r="A91" s="395"/>
      <c r="L91" s="395"/>
    </row>
    <row r="92" spans="1:12" ht="15" customHeight="1">
      <c r="A92" s="395"/>
      <c r="B92" s="436" t="s">
        <v>659</v>
      </c>
      <c r="C92" s="437"/>
      <c r="D92" s="437"/>
      <c r="E92" s="437"/>
      <c r="F92" s="437"/>
      <c r="G92" s="437"/>
      <c r="H92" s="437"/>
      <c r="I92" s="437"/>
      <c r="J92" s="437"/>
      <c r="K92" s="438"/>
      <c r="L92" s="395"/>
    </row>
    <row r="93" spans="1:12" ht="15" customHeight="1">
      <c r="A93" s="395"/>
      <c r="B93" s="439"/>
      <c r="C93" s="440" t="s">
        <v>667</v>
      </c>
      <c r="D93" s="440"/>
      <c r="E93" s="440"/>
      <c r="F93" s="440"/>
      <c r="G93" s="440"/>
      <c r="H93" s="440"/>
      <c r="I93" s="440"/>
      <c r="J93" s="440"/>
      <c r="K93" s="441"/>
      <c r="L93" s="395"/>
    </row>
    <row r="94" spans="1:12" ht="15" customHeight="1">
      <c r="A94" s="395"/>
      <c r="B94" s="439" t="s">
        <v>692</v>
      </c>
      <c r="C94" s="896">
        <v>133685008</v>
      </c>
      <c r="D94" s="896"/>
      <c r="E94" s="407" t="s">
        <v>666</v>
      </c>
      <c r="F94" s="407">
        <v>1000</v>
      </c>
      <c r="G94" s="407" t="s">
        <v>665</v>
      </c>
      <c r="H94" s="424">
        <f>C94/F94</f>
        <v>133685.008</v>
      </c>
      <c r="I94" s="440" t="s">
        <v>693</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694</v>
      </c>
      <c r="D96" s="440"/>
      <c r="E96" s="407"/>
      <c r="F96" s="440" t="s">
        <v>693</v>
      </c>
      <c r="G96" s="440"/>
      <c r="H96" s="440"/>
      <c r="I96" s="440"/>
      <c r="J96" s="440"/>
      <c r="K96" s="441"/>
      <c r="L96" s="395"/>
    </row>
    <row r="97" spans="1:12" ht="15" customHeight="1">
      <c r="A97" s="395"/>
      <c r="B97" s="439" t="s">
        <v>695</v>
      </c>
      <c r="C97" s="896">
        <v>50000</v>
      </c>
      <c r="D97" s="896"/>
      <c r="E97" s="407" t="s">
        <v>666</v>
      </c>
      <c r="F97" s="424">
        <f>H94</f>
        <v>133685.008</v>
      </c>
      <c r="G97" s="407" t="s">
        <v>665</v>
      </c>
      <c r="H97" s="417">
        <f>C97/F97</f>
        <v>0.3740135169083432</v>
      </c>
      <c r="I97" s="440" t="s">
        <v>696</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706</v>
      </c>
      <c r="D99" s="443"/>
      <c r="E99" s="427"/>
      <c r="F99" s="443"/>
      <c r="G99" s="443"/>
      <c r="H99" s="443"/>
      <c r="I99" s="443"/>
      <c r="J99" s="443"/>
      <c r="K99" s="444"/>
      <c r="L99" s="395"/>
    </row>
    <row r="100" spans="1:12" ht="15" customHeight="1">
      <c r="A100" s="395"/>
      <c r="B100" s="439" t="s">
        <v>698</v>
      </c>
      <c r="C100" s="896">
        <v>2500000</v>
      </c>
      <c r="D100" s="896"/>
      <c r="E100" s="407" t="s">
        <v>252</v>
      </c>
      <c r="F100" s="445">
        <v>0.3</v>
      </c>
      <c r="G100" s="407" t="s">
        <v>665</v>
      </c>
      <c r="H100" s="424">
        <f>C100*F100</f>
        <v>750000</v>
      </c>
      <c r="I100" s="440" t="s">
        <v>699</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700</v>
      </c>
      <c r="D102" s="443"/>
      <c r="E102" s="427"/>
      <c r="F102" s="443" t="s">
        <v>696</v>
      </c>
      <c r="G102" s="443"/>
      <c r="H102" s="443"/>
      <c r="I102" s="443"/>
      <c r="J102" s="443" t="s">
        <v>701</v>
      </c>
      <c r="K102" s="444"/>
      <c r="L102" s="395"/>
    </row>
    <row r="103" spans="1:12" ht="15" customHeight="1">
      <c r="A103" s="395"/>
      <c r="B103" s="439" t="s">
        <v>702</v>
      </c>
      <c r="C103" s="900">
        <f>H100</f>
        <v>750000</v>
      </c>
      <c r="D103" s="900"/>
      <c r="E103" s="407" t="s">
        <v>252</v>
      </c>
      <c r="F103" s="417">
        <f>H97</f>
        <v>0.3740135169083432</v>
      </c>
      <c r="G103" s="407" t="s">
        <v>666</v>
      </c>
      <c r="H103" s="407">
        <v>1000</v>
      </c>
      <c r="I103" s="407" t="s">
        <v>665</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901" t="s">
        <v>655</v>
      </c>
      <c r="C105" s="902"/>
      <c r="D105" s="902"/>
      <c r="E105" s="902"/>
      <c r="F105" s="902"/>
      <c r="G105" s="902"/>
      <c r="H105" s="902"/>
      <c r="I105" s="902"/>
      <c r="J105" s="902"/>
      <c r="K105" s="902"/>
      <c r="L105" s="395"/>
    </row>
    <row r="106" spans="1:12" ht="15" customHeight="1">
      <c r="A106" s="395"/>
      <c r="B106" s="903" t="s">
        <v>707</v>
      </c>
      <c r="C106" s="904"/>
      <c r="D106" s="904"/>
      <c r="E106" s="904"/>
      <c r="F106" s="904"/>
      <c r="G106" s="904"/>
      <c r="H106" s="904"/>
      <c r="I106" s="904"/>
      <c r="J106" s="904"/>
      <c r="K106" s="904"/>
      <c r="L106" s="395"/>
    </row>
    <row r="107" spans="1:12" ht="15" customHeight="1">
      <c r="A107" s="395"/>
      <c r="B107" s="440"/>
      <c r="C107" s="448"/>
      <c r="D107" s="448"/>
      <c r="E107" s="407"/>
      <c r="F107" s="417"/>
      <c r="G107" s="407"/>
      <c r="H107" s="407"/>
      <c r="I107" s="407"/>
      <c r="J107" s="429"/>
      <c r="K107" s="440"/>
      <c r="L107" s="395"/>
    </row>
    <row r="108" spans="1:12" ht="15" customHeight="1">
      <c r="A108" s="395"/>
      <c r="B108" s="903" t="s">
        <v>708</v>
      </c>
      <c r="C108" s="905"/>
      <c r="D108" s="905"/>
      <c r="E108" s="905"/>
      <c r="F108" s="905"/>
      <c r="G108" s="905"/>
      <c r="H108" s="905"/>
      <c r="I108" s="905"/>
      <c r="J108" s="905"/>
      <c r="K108" s="905"/>
      <c r="L108" s="395"/>
    </row>
    <row r="109" spans="1:12" ht="15" customHeight="1">
      <c r="A109" s="395"/>
      <c r="B109" s="440"/>
      <c r="C109" s="448"/>
      <c r="D109" s="448"/>
      <c r="E109" s="407"/>
      <c r="F109" s="417"/>
      <c r="G109" s="407"/>
      <c r="H109" s="407"/>
      <c r="I109" s="407"/>
      <c r="J109" s="429"/>
      <c r="K109" s="440"/>
      <c r="L109" s="395"/>
    </row>
    <row r="110" spans="1:12" ht="59.25" customHeight="1">
      <c r="A110" s="395"/>
      <c r="B110" s="898" t="s">
        <v>709</v>
      </c>
      <c r="C110" s="899"/>
      <c r="D110" s="899"/>
      <c r="E110" s="899"/>
      <c r="F110" s="899"/>
      <c r="G110" s="899"/>
      <c r="H110" s="899"/>
      <c r="I110" s="899"/>
      <c r="J110" s="899"/>
      <c r="K110" s="899"/>
      <c r="L110" s="395"/>
    </row>
    <row r="111" spans="1:12" ht="15" thickBot="1">
      <c r="A111" s="395"/>
      <c r="B111" s="398"/>
      <c r="C111" s="398"/>
      <c r="D111" s="398"/>
      <c r="E111" s="398"/>
      <c r="F111" s="398"/>
      <c r="G111" s="398"/>
      <c r="H111" s="398"/>
      <c r="I111" s="398"/>
      <c r="J111" s="398"/>
      <c r="K111" s="398"/>
      <c r="L111" s="449"/>
    </row>
    <row r="112" spans="1:12" ht="14.25">
      <c r="A112" s="395"/>
      <c r="B112" s="402" t="s">
        <v>659</v>
      </c>
      <c r="C112" s="403"/>
      <c r="D112" s="403"/>
      <c r="E112" s="403"/>
      <c r="F112" s="403"/>
      <c r="G112" s="403"/>
      <c r="H112" s="403"/>
      <c r="I112" s="403"/>
      <c r="J112" s="403"/>
      <c r="K112" s="404"/>
      <c r="L112" s="395"/>
    </row>
    <row r="113" spans="1:12" ht="14.25">
      <c r="A113" s="395"/>
      <c r="B113" s="415"/>
      <c r="C113" s="406" t="s">
        <v>667</v>
      </c>
      <c r="D113" s="406"/>
      <c r="E113" s="406"/>
      <c r="F113" s="406"/>
      <c r="G113" s="406"/>
      <c r="H113" s="406"/>
      <c r="I113" s="406"/>
      <c r="J113" s="406"/>
      <c r="K113" s="409"/>
      <c r="L113" s="395"/>
    </row>
    <row r="114" spans="1:12" ht="14.25">
      <c r="A114" s="395"/>
      <c r="B114" s="415" t="s">
        <v>692</v>
      </c>
      <c r="C114" s="896">
        <v>133685008</v>
      </c>
      <c r="D114" s="896"/>
      <c r="E114" s="407" t="s">
        <v>666</v>
      </c>
      <c r="F114" s="407">
        <v>1000</v>
      </c>
      <c r="G114" s="407" t="s">
        <v>665</v>
      </c>
      <c r="H114" s="424">
        <f>C114/F114</f>
        <v>133685.008</v>
      </c>
      <c r="I114" s="406" t="s">
        <v>693</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694</v>
      </c>
      <c r="D116" s="406"/>
      <c r="E116" s="407"/>
      <c r="F116" s="406" t="s">
        <v>693</v>
      </c>
      <c r="G116" s="406"/>
      <c r="H116" s="406"/>
      <c r="I116" s="406"/>
      <c r="J116" s="406"/>
      <c r="K116" s="409"/>
      <c r="L116" s="395"/>
    </row>
    <row r="117" spans="1:12" ht="14.25">
      <c r="A117" s="395"/>
      <c r="B117" s="415" t="s">
        <v>695</v>
      </c>
      <c r="C117" s="896">
        <v>50000</v>
      </c>
      <c r="D117" s="896"/>
      <c r="E117" s="407" t="s">
        <v>666</v>
      </c>
      <c r="F117" s="424">
        <f>H114</f>
        <v>133685.008</v>
      </c>
      <c r="G117" s="407" t="s">
        <v>665</v>
      </c>
      <c r="H117" s="417">
        <f>C117/F117</f>
        <v>0.3740135169083432</v>
      </c>
      <c r="I117" s="406" t="s">
        <v>696</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706</v>
      </c>
      <c r="D119" s="426"/>
      <c r="E119" s="427"/>
      <c r="F119" s="426"/>
      <c r="G119" s="426"/>
      <c r="H119" s="426"/>
      <c r="I119" s="426"/>
      <c r="J119" s="426"/>
      <c r="K119" s="428"/>
      <c r="L119" s="395"/>
    </row>
    <row r="120" spans="1:12" ht="14.25">
      <c r="A120" s="395"/>
      <c r="B120" s="415" t="s">
        <v>698</v>
      </c>
      <c r="C120" s="896">
        <v>2500000</v>
      </c>
      <c r="D120" s="896"/>
      <c r="E120" s="407" t="s">
        <v>252</v>
      </c>
      <c r="F120" s="445">
        <v>0.25</v>
      </c>
      <c r="G120" s="407" t="s">
        <v>665</v>
      </c>
      <c r="H120" s="424">
        <f>C120*F120</f>
        <v>625000</v>
      </c>
      <c r="I120" s="406" t="s">
        <v>699</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700</v>
      </c>
      <c r="D122" s="426"/>
      <c r="E122" s="427"/>
      <c r="F122" s="426" t="s">
        <v>696</v>
      </c>
      <c r="G122" s="426"/>
      <c r="H122" s="426"/>
      <c r="I122" s="426"/>
      <c r="J122" s="426" t="s">
        <v>701</v>
      </c>
      <c r="K122" s="428"/>
      <c r="L122" s="395"/>
    </row>
    <row r="123" spans="1:12" ht="14.25">
      <c r="A123" s="395"/>
      <c r="B123" s="415" t="s">
        <v>702</v>
      </c>
      <c r="C123" s="900">
        <f>H120</f>
        <v>625000</v>
      </c>
      <c r="D123" s="900"/>
      <c r="E123" s="407" t="s">
        <v>252</v>
      </c>
      <c r="F123" s="417">
        <f>H117</f>
        <v>0.3740135169083432</v>
      </c>
      <c r="G123" s="407" t="s">
        <v>666</v>
      </c>
      <c r="H123" s="407">
        <v>1000</v>
      </c>
      <c r="I123" s="407" t="s">
        <v>665</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901" t="s">
        <v>655</v>
      </c>
      <c r="C125" s="901"/>
      <c r="D125" s="901"/>
      <c r="E125" s="901"/>
      <c r="F125" s="901"/>
      <c r="G125" s="901"/>
      <c r="H125" s="901"/>
      <c r="I125" s="901"/>
      <c r="J125" s="901"/>
      <c r="K125" s="901"/>
      <c r="L125" s="449"/>
    </row>
    <row r="126" spans="1:12" ht="14.25">
      <c r="A126" s="395"/>
      <c r="B126" s="893" t="s">
        <v>710</v>
      </c>
      <c r="C126" s="893"/>
      <c r="D126" s="893"/>
      <c r="E126" s="893"/>
      <c r="F126" s="893"/>
      <c r="G126" s="893"/>
      <c r="H126" s="893"/>
      <c r="I126" s="893"/>
      <c r="J126" s="893"/>
      <c r="K126" s="893"/>
      <c r="L126" s="449"/>
    </row>
    <row r="127" spans="1:12" ht="14.25">
      <c r="A127" s="395"/>
      <c r="B127" s="398"/>
      <c r="C127" s="398"/>
      <c r="D127" s="398"/>
      <c r="E127" s="398"/>
      <c r="F127" s="398"/>
      <c r="G127" s="398"/>
      <c r="H127" s="398"/>
      <c r="I127" s="398"/>
      <c r="J127" s="398"/>
      <c r="K127" s="398"/>
      <c r="L127" s="449"/>
    </row>
    <row r="128" spans="1:12" ht="14.25">
      <c r="A128" s="395"/>
      <c r="B128" s="893" t="s">
        <v>711</v>
      </c>
      <c r="C128" s="893"/>
      <c r="D128" s="893"/>
      <c r="E128" s="893"/>
      <c r="F128" s="893"/>
      <c r="G128" s="893"/>
      <c r="H128" s="893"/>
      <c r="I128" s="893"/>
      <c r="J128" s="893"/>
      <c r="K128" s="893"/>
      <c r="L128" s="449"/>
    </row>
    <row r="129" spans="1:12" ht="14.25">
      <c r="A129" s="395"/>
      <c r="B129" s="435"/>
      <c r="C129" s="435"/>
      <c r="D129" s="435"/>
      <c r="E129" s="435"/>
      <c r="F129" s="435"/>
      <c r="G129" s="435"/>
      <c r="H129" s="435"/>
      <c r="I129" s="435"/>
      <c r="J129" s="435"/>
      <c r="K129" s="435"/>
      <c r="L129" s="449"/>
    </row>
    <row r="130" spans="1:12" ht="74.25" customHeight="1">
      <c r="A130" s="395"/>
      <c r="B130" s="894" t="s">
        <v>712</v>
      </c>
      <c r="C130" s="894"/>
      <c r="D130" s="894"/>
      <c r="E130" s="894"/>
      <c r="F130" s="894"/>
      <c r="G130" s="894"/>
      <c r="H130" s="894"/>
      <c r="I130" s="894"/>
      <c r="J130" s="894"/>
      <c r="K130" s="894"/>
      <c r="L130" s="449"/>
    </row>
    <row r="131" spans="1:12" ht="15" thickBot="1">
      <c r="A131" s="395"/>
      <c r="L131" s="395"/>
    </row>
    <row r="132" spans="1:12" ht="14.25">
      <c r="A132" s="395"/>
      <c r="B132" s="402" t="s">
        <v>659</v>
      </c>
      <c r="C132" s="403"/>
      <c r="D132" s="403"/>
      <c r="E132" s="403"/>
      <c r="F132" s="403"/>
      <c r="G132" s="403"/>
      <c r="H132" s="403"/>
      <c r="I132" s="403"/>
      <c r="J132" s="403"/>
      <c r="K132" s="404"/>
      <c r="L132" s="395"/>
    </row>
    <row r="133" spans="1:12" ht="14.25">
      <c r="A133" s="395"/>
      <c r="B133" s="415"/>
      <c r="C133" s="895" t="s">
        <v>713</v>
      </c>
      <c r="D133" s="895"/>
      <c r="E133" s="406"/>
      <c r="F133" s="407" t="s">
        <v>714</v>
      </c>
      <c r="G133" s="406"/>
      <c r="H133" s="895" t="s">
        <v>699</v>
      </c>
      <c r="I133" s="895"/>
      <c r="J133" s="406"/>
      <c r="K133" s="409"/>
      <c r="L133" s="395"/>
    </row>
    <row r="134" spans="1:12" ht="14.25">
      <c r="A134" s="395"/>
      <c r="B134" s="415" t="s">
        <v>692</v>
      </c>
      <c r="C134" s="896">
        <v>100000</v>
      </c>
      <c r="D134" s="896"/>
      <c r="E134" s="407" t="s">
        <v>252</v>
      </c>
      <c r="F134" s="407">
        <v>0.115</v>
      </c>
      <c r="G134" s="407" t="s">
        <v>665</v>
      </c>
      <c r="H134" s="888">
        <f>C134*F134</f>
        <v>11500</v>
      </c>
      <c r="I134" s="888"/>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97" t="s">
        <v>699</v>
      </c>
      <c r="D136" s="897"/>
      <c r="E136" s="426"/>
      <c r="F136" s="427" t="s">
        <v>715</v>
      </c>
      <c r="G136" s="427"/>
      <c r="H136" s="426"/>
      <c r="I136" s="426"/>
      <c r="J136" s="426" t="s">
        <v>716</v>
      </c>
      <c r="K136" s="428"/>
      <c r="L136" s="395"/>
    </row>
    <row r="137" spans="1:12" ht="14.25">
      <c r="A137" s="395"/>
      <c r="B137" s="415" t="s">
        <v>695</v>
      </c>
      <c r="C137" s="888">
        <f>H134</f>
        <v>11500</v>
      </c>
      <c r="D137" s="888"/>
      <c r="E137" s="407" t="s">
        <v>252</v>
      </c>
      <c r="F137" s="450">
        <v>52.869</v>
      </c>
      <c r="G137" s="407" t="s">
        <v>666</v>
      </c>
      <c r="H137" s="407">
        <v>1000</v>
      </c>
      <c r="I137" s="407" t="s">
        <v>665</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655</v>
      </c>
      <c r="C139" s="456"/>
      <c r="D139" s="456"/>
      <c r="E139" s="457"/>
      <c r="F139" s="458"/>
      <c r="G139" s="457"/>
      <c r="H139" s="457"/>
      <c r="I139" s="457"/>
      <c r="J139" s="459"/>
      <c r="K139" s="460"/>
      <c r="L139" s="395"/>
    </row>
    <row r="140" spans="1:12" ht="14.25">
      <c r="A140" s="395"/>
      <c r="B140" s="461" t="s">
        <v>717</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718</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5" t="s">
        <v>719</v>
      </c>
      <c r="C144" s="886"/>
      <c r="D144" s="886"/>
      <c r="E144" s="886"/>
      <c r="F144" s="886"/>
      <c r="G144" s="886"/>
      <c r="H144" s="886"/>
      <c r="I144" s="886"/>
      <c r="J144" s="886"/>
      <c r="K144" s="887"/>
      <c r="L144" s="395"/>
    </row>
    <row r="145" spans="1:12" ht="15" thickBot="1">
      <c r="A145" s="395"/>
      <c r="B145" s="415"/>
      <c r="C145" s="424"/>
      <c r="D145" s="424"/>
      <c r="E145" s="407"/>
      <c r="F145" s="467"/>
      <c r="G145" s="407"/>
      <c r="H145" s="407"/>
      <c r="I145" s="407"/>
      <c r="J145" s="451"/>
      <c r="K145" s="409"/>
      <c r="L145" s="395"/>
    </row>
    <row r="146" spans="1:12" ht="14.25">
      <c r="A146" s="395"/>
      <c r="B146" s="402" t="s">
        <v>659</v>
      </c>
      <c r="C146" s="468"/>
      <c r="D146" s="468"/>
      <c r="E146" s="469"/>
      <c r="F146" s="470"/>
      <c r="G146" s="469"/>
      <c r="H146" s="469"/>
      <c r="I146" s="469"/>
      <c r="J146" s="471"/>
      <c r="K146" s="404"/>
      <c r="L146" s="395"/>
    </row>
    <row r="147" spans="1:12" ht="14.25">
      <c r="A147" s="395"/>
      <c r="B147" s="415"/>
      <c r="C147" s="888" t="s">
        <v>720</v>
      </c>
      <c r="D147" s="888"/>
      <c r="E147" s="407"/>
      <c r="F147" s="467" t="s">
        <v>721</v>
      </c>
      <c r="G147" s="407"/>
      <c r="H147" s="407"/>
      <c r="I147" s="407"/>
      <c r="J147" s="889" t="s">
        <v>722</v>
      </c>
      <c r="K147" s="890"/>
      <c r="L147" s="395"/>
    </row>
    <row r="148" spans="1:12" ht="14.25">
      <c r="A148" s="395"/>
      <c r="B148" s="415"/>
      <c r="C148" s="891">
        <v>52.869</v>
      </c>
      <c r="D148" s="891"/>
      <c r="E148" s="407" t="s">
        <v>252</v>
      </c>
      <c r="F148" s="472">
        <v>133685008</v>
      </c>
      <c r="G148" s="473" t="s">
        <v>666</v>
      </c>
      <c r="H148" s="407">
        <v>1000</v>
      </c>
      <c r="I148" s="407" t="s">
        <v>665</v>
      </c>
      <c r="J148" s="888">
        <f>C148*(F148/1000)</f>
        <v>7067792.687952</v>
      </c>
      <c r="K148" s="892"/>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27"/>
  <sheetViews>
    <sheetView zoomScalePageLayoutView="0" workbookViewId="0" topLeftCell="A19">
      <selection activeCell="B2" sqref="B2"/>
    </sheetView>
  </sheetViews>
  <sheetFormatPr defaultColWidth="8.796875" defaultRowHeight="15.75"/>
  <cols>
    <col min="1" max="1" width="70.09765625" style="109" customWidth="1"/>
    <col min="2" max="16384" width="8.796875" style="109" customWidth="1"/>
  </cols>
  <sheetData>
    <row r="1" ht="18.75">
      <c r="A1" s="363" t="s">
        <v>327</v>
      </c>
    </row>
    <row r="2" ht="15.75">
      <c r="A2" s="113"/>
    </row>
    <row r="3" ht="15.75">
      <c r="A3" s="113"/>
    </row>
    <row r="4" ht="52.5" customHeight="1">
      <c r="A4" s="217" t="s">
        <v>364</v>
      </c>
    </row>
    <row r="5" ht="15.75">
      <c r="A5" s="113"/>
    </row>
    <row r="6" ht="15.75">
      <c r="A6" s="113"/>
    </row>
    <row r="7" ht="70.5" customHeight="1">
      <c r="A7" s="217" t="s">
        <v>365</v>
      </c>
    </row>
    <row r="8" ht="15.75">
      <c r="A8" s="358"/>
    </row>
    <row r="9" ht="15.75">
      <c r="A9" s="113"/>
    </row>
    <row r="10" ht="56.25" customHeight="1">
      <c r="A10" s="217" t="s">
        <v>366</v>
      </c>
    </row>
    <row r="11" ht="15.75">
      <c r="A11" s="358"/>
    </row>
    <row r="12" ht="15.75">
      <c r="A12" s="358"/>
    </row>
    <row r="13" ht="57.75" customHeight="1">
      <c r="A13" s="217" t="s">
        <v>367</v>
      </c>
    </row>
    <row r="14" ht="15.75">
      <c r="A14" s="358"/>
    </row>
    <row r="15" ht="15.75">
      <c r="A15" s="358"/>
    </row>
    <row r="16" ht="87.75" customHeight="1">
      <c r="A16" s="217" t="s">
        <v>368</v>
      </c>
    </row>
    <row r="17" ht="15.75">
      <c r="A17" s="358"/>
    </row>
    <row r="18" ht="15.75">
      <c r="A18" s="113"/>
    </row>
    <row r="19" ht="54.75" customHeight="1">
      <c r="A19" s="217" t="s">
        <v>369</v>
      </c>
    </row>
    <row r="20" ht="15.75">
      <c r="A20" s="113"/>
    </row>
    <row r="21" ht="15.75">
      <c r="A21" s="113"/>
    </row>
    <row r="22" ht="69" customHeight="1">
      <c r="A22" s="217" t="s">
        <v>370</v>
      </c>
    </row>
    <row r="23" ht="15.75">
      <c r="A23" s="113"/>
    </row>
    <row r="24" ht="15.75">
      <c r="A24" s="360"/>
    </row>
    <row r="25" ht="47.25" customHeight="1">
      <c r="A25" s="361" t="s">
        <v>371</v>
      </c>
    </row>
    <row r="26" ht="15.75">
      <c r="A26" s="362"/>
    </row>
    <row r="27" ht="15.75">
      <c r="A27" s="36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4" customWidth="1"/>
    <col min="2" max="4" width="8.796875" style="584" customWidth="1"/>
    <col min="5" max="5" width="8.69921875" style="584" customWidth="1"/>
    <col min="6" max="6" width="8.796875" style="584" customWidth="1"/>
    <col min="7" max="7" width="8.69921875" style="584" customWidth="1"/>
    <col min="8" max="16384" width="8.796875" style="584" customWidth="1"/>
  </cols>
  <sheetData>
    <row r="1" spans="2:9" ht="15.75">
      <c r="B1" s="583"/>
      <c r="C1" s="583"/>
      <c r="D1" s="583"/>
      <c r="E1" s="583"/>
      <c r="F1" s="583"/>
      <c r="G1" s="583"/>
      <c r="H1" s="583"/>
      <c r="I1" s="583"/>
    </row>
    <row r="2" spans="2:9" ht="15.75">
      <c r="B2" s="915" t="s">
        <v>803</v>
      </c>
      <c r="C2" s="915"/>
      <c r="D2" s="915"/>
      <c r="E2" s="915"/>
      <c r="F2" s="915"/>
      <c r="G2" s="915"/>
      <c r="H2" s="915"/>
      <c r="I2" s="915"/>
    </row>
    <row r="3" spans="2:9" ht="15.75">
      <c r="B3" s="915" t="s">
        <v>804</v>
      </c>
      <c r="C3" s="915"/>
      <c r="D3" s="915"/>
      <c r="E3" s="915"/>
      <c r="F3" s="915"/>
      <c r="G3" s="915"/>
      <c r="H3" s="915"/>
      <c r="I3" s="915"/>
    </row>
    <row r="4" spans="2:9" ht="15.75">
      <c r="B4" s="585"/>
      <c r="C4" s="585"/>
      <c r="D4" s="585"/>
      <c r="E4" s="585"/>
      <c r="F4" s="585"/>
      <c r="G4" s="585"/>
      <c r="H4" s="585"/>
      <c r="I4" s="585"/>
    </row>
    <row r="5" spans="2:9" ht="15.75">
      <c r="B5" s="916" t="str">
        <f>CONCATENATE("Budgeted Year: ",inputPrYr!D9,"")</f>
        <v>Budgeted Year: 2015</v>
      </c>
      <c r="C5" s="916"/>
      <c r="D5" s="916"/>
      <c r="E5" s="916"/>
      <c r="F5" s="916"/>
      <c r="G5" s="916"/>
      <c r="H5" s="916"/>
      <c r="I5" s="916"/>
    </row>
    <row r="6" spans="2:9" ht="15.75">
      <c r="B6" s="586"/>
      <c r="C6" s="585"/>
      <c r="D6" s="585"/>
      <c r="E6" s="585"/>
      <c r="F6" s="585"/>
      <c r="G6" s="585"/>
      <c r="H6" s="585"/>
      <c r="I6" s="585"/>
    </row>
    <row r="7" spans="2:9" ht="15.75">
      <c r="B7" s="586" t="str">
        <f>CONCATENATE("Library found in: ",inputPrYr!D3,"")</f>
        <v>Library found in: Walnut Township</v>
      </c>
      <c r="C7" s="585"/>
      <c r="D7" s="585"/>
      <c r="E7" s="585"/>
      <c r="F7" s="585"/>
      <c r="G7" s="585"/>
      <c r="H7" s="585"/>
      <c r="I7" s="585"/>
    </row>
    <row r="8" spans="2:9" ht="15.75">
      <c r="B8" s="586" t="str">
        <f>inputPrYr!D4</f>
        <v>Brown County</v>
      </c>
      <c r="C8" s="585"/>
      <c r="D8" s="585"/>
      <c r="E8" s="585"/>
      <c r="F8" s="585"/>
      <c r="G8" s="585"/>
      <c r="H8" s="585"/>
      <c r="I8" s="585"/>
    </row>
    <row r="9" spans="2:9" ht="15.75">
      <c r="B9" s="585"/>
      <c r="C9" s="585"/>
      <c r="D9" s="585"/>
      <c r="E9" s="585"/>
      <c r="F9" s="585"/>
      <c r="G9" s="585"/>
      <c r="H9" s="585"/>
      <c r="I9" s="585"/>
    </row>
    <row r="10" spans="2:9" ht="39" customHeight="1">
      <c r="B10" s="917" t="s">
        <v>805</v>
      </c>
      <c r="C10" s="917"/>
      <c r="D10" s="917"/>
      <c r="E10" s="917"/>
      <c r="F10" s="917"/>
      <c r="G10" s="917"/>
      <c r="H10" s="917"/>
      <c r="I10" s="917"/>
    </row>
    <row r="11" spans="2:9" ht="15.75">
      <c r="B11" s="585"/>
      <c r="C11" s="585"/>
      <c r="D11" s="585"/>
      <c r="E11" s="585"/>
      <c r="F11" s="585"/>
      <c r="G11" s="585"/>
      <c r="H11" s="585"/>
      <c r="I11" s="585"/>
    </row>
    <row r="12" spans="2:9" ht="15.75">
      <c r="B12" s="587" t="s">
        <v>806</v>
      </c>
      <c r="C12" s="585"/>
      <c r="D12" s="585"/>
      <c r="E12" s="585"/>
      <c r="F12" s="585"/>
      <c r="G12" s="585"/>
      <c r="H12" s="585"/>
      <c r="I12" s="585"/>
    </row>
    <row r="13" spans="2:9" ht="15.75">
      <c r="B13" s="585"/>
      <c r="C13" s="585"/>
      <c r="D13" s="585"/>
      <c r="E13" s="588" t="s">
        <v>269</v>
      </c>
      <c r="F13" s="585"/>
      <c r="G13" s="588" t="s">
        <v>807</v>
      </c>
      <c r="H13" s="585"/>
      <c r="I13" s="585"/>
    </row>
    <row r="14" spans="2:9" ht="15.75">
      <c r="B14" s="585"/>
      <c r="C14" s="585"/>
      <c r="D14" s="585"/>
      <c r="E14" s="589">
        <f>inputPrYr!D9-1</f>
        <v>2014</v>
      </c>
      <c r="F14" s="585"/>
      <c r="G14" s="589">
        <f>inputPrYr!D9</f>
        <v>2015</v>
      </c>
      <c r="H14" s="585"/>
      <c r="I14" s="585"/>
    </row>
    <row r="15" spans="2:9" ht="15.75">
      <c r="B15" s="586" t="str">
        <f>'DebtSvs-Library'!B48</f>
        <v>Ad Valorem Tax</v>
      </c>
      <c r="C15" s="585"/>
      <c r="D15" s="585"/>
      <c r="E15" s="590">
        <f>'DebtSvs-Library'!D48</f>
        <v>0</v>
      </c>
      <c r="F15" s="585"/>
      <c r="G15" s="590">
        <f>'DebtSvs-Library'!E40</f>
        <v>0</v>
      </c>
      <c r="H15" s="585"/>
      <c r="I15" s="585"/>
    </row>
    <row r="16" spans="2:9" ht="15.75">
      <c r="B16" s="586" t="str">
        <f>'DebtSvs-Library'!B49</f>
        <v>Delinquent Tax</v>
      </c>
      <c r="C16" s="585"/>
      <c r="D16" s="585"/>
      <c r="E16" s="590">
        <f>'DebtSvs-Library'!D49</f>
        <v>0</v>
      </c>
      <c r="F16" s="585"/>
      <c r="G16" s="590">
        <f>'DebtSvs-Library'!E49</f>
        <v>0</v>
      </c>
      <c r="H16" s="585"/>
      <c r="I16" s="585"/>
    </row>
    <row r="17" spans="2:9" ht="15.75">
      <c r="B17" s="586" t="str">
        <f>'DebtSvs-Library'!B50</f>
        <v>Motor Vehicle Tax</v>
      </c>
      <c r="C17" s="585"/>
      <c r="D17" s="585"/>
      <c r="E17" s="590">
        <f>'DebtSvs-Library'!D50</f>
        <v>0</v>
      </c>
      <c r="F17" s="585"/>
      <c r="G17" s="590">
        <f>'DebtSvs-Library'!E50</f>
        <v>0</v>
      </c>
      <c r="H17" s="585"/>
      <c r="I17" s="585"/>
    </row>
    <row r="18" spans="2:9" ht="15.75">
      <c r="B18" s="586" t="str">
        <f>'DebtSvs-Library'!B51</f>
        <v>Recreational Vehicle Tax</v>
      </c>
      <c r="C18" s="585"/>
      <c r="D18" s="585"/>
      <c r="E18" s="590">
        <f>'DebtSvs-Library'!D51</f>
        <v>0</v>
      </c>
      <c r="F18" s="585"/>
      <c r="G18" s="590">
        <f>'DebtSvs-Library'!E51</f>
        <v>0</v>
      </c>
      <c r="H18" s="585"/>
      <c r="I18" s="585"/>
    </row>
    <row r="19" spans="2:9" ht="15.75">
      <c r="B19" s="586" t="str">
        <f>'DebtSvs-Library'!B52</f>
        <v>16/20M Vehicle Tax</v>
      </c>
      <c r="C19" s="585"/>
      <c r="D19" s="585"/>
      <c r="E19" s="590">
        <f>'DebtSvs-Library'!D52</f>
        <v>0</v>
      </c>
      <c r="F19" s="585"/>
      <c r="G19" s="590">
        <f>'DebtSvs-Library'!E52</f>
        <v>0</v>
      </c>
      <c r="H19" s="585"/>
      <c r="I19" s="585"/>
    </row>
    <row r="20" spans="2:9" ht="15.75">
      <c r="B20" s="585" t="s">
        <v>107</v>
      </c>
      <c r="C20" s="585"/>
      <c r="D20" s="585"/>
      <c r="E20" s="590">
        <v>0</v>
      </c>
      <c r="F20" s="585"/>
      <c r="G20" s="590">
        <v>0</v>
      </c>
      <c r="H20" s="585"/>
      <c r="I20" s="585"/>
    </row>
    <row r="21" spans="2:9" ht="15.75">
      <c r="B21" s="585"/>
      <c r="C21" s="585"/>
      <c r="D21" s="585"/>
      <c r="E21" s="590">
        <v>0</v>
      </c>
      <c r="F21" s="585"/>
      <c r="G21" s="590">
        <v>0</v>
      </c>
      <c r="H21" s="585"/>
      <c r="I21" s="585"/>
    </row>
    <row r="22" spans="2:9" ht="15.75">
      <c r="B22" s="585" t="s">
        <v>808</v>
      </c>
      <c r="C22" s="585"/>
      <c r="D22" s="585"/>
      <c r="E22" s="591">
        <f>SUM(E15:E21)</f>
        <v>0</v>
      </c>
      <c r="F22" s="585"/>
      <c r="G22" s="591">
        <f>SUM(G15:G21)</f>
        <v>0</v>
      </c>
      <c r="H22" s="585"/>
      <c r="I22" s="585"/>
    </row>
    <row r="23" spans="2:9" ht="15.75">
      <c r="B23" s="585" t="s">
        <v>809</v>
      </c>
      <c r="C23" s="585"/>
      <c r="D23" s="585"/>
      <c r="E23" s="592">
        <f>G22-E22</f>
        <v>0</v>
      </c>
      <c r="F23" s="585"/>
      <c r="G23" s="593"/>
      <c r="H23" s="585"/>
      <c r="I23" s="585"/>
    </row>
    <row r="24" spans="2:9" ht="15.75">
      <c r="B24" s="585" t="s">
        <v>810</v>
      </c>
      <c r="C24" s="585"/>
      <c r="D24" s="594" t="str">
        <f>IF((G22-E22)&gt;0,"Qualify","Not Qualify")</f>
        <v>Not Qualify</v>
      </c>
      <c r="E24" s="585"/>
      <c r="F24" s="585"/>
      <c r="G24" s="585"/>
      <c r="H24" s="585"/>
      <c r="I24" s="585"/>
    </row>
    <row r="25" spans="2:9" ht="15.75">
      <c r="B25" s="585"/>
      <c r="C25" s="585"/>
      <c r="D25" s="585"/>
      <c r="E25" s="585"/>
      <c r="F25" s="585"/>
      <c r="G25" s="585"/>
      <c r="H25" s="585"/>
      <c r="I25" s="585"/>
    </row>
    <row r="26" spans="2:9" ht="15.75">
      <c r="B26" s="587" t="s">
        <v>811</v>
      </c>
      <c r="C26" s="585"/>
      <c r="D26" s="585"/>
      <c r="E26" s="585"/>
      <c r="F26" s="585"/>
      <c r="G26" s="585"/>
      <c r="H26" s="585"/>
      <c r="I26" s="585"/>
    </row>
    <row r="27" spans="2:9" ht="15.75">
      <c r="B27" s="585" t="s">
        <v>812</v>
      </c>
      <c r="C27" s="585"/>
      <c r="D27" s="585"/>
      <c r="E27" s="590">
        <f>summ!D26</f>
        <v>16993198</v>
      </c>
      <c r="F27" s="585"/>
      <c r="G27" s="590">
        <f>summ!F26</f>
        <v>17123908</v>
      </c>
      <c r="H27" s="585"/>
      <c r="I27" s="585"/>
    </row>
    <row r="28" spans="2:9" ht="15.75">
      <c r="B28" s="585" t="s">
        <v>813</v>
      </c>
      <c r="C28" s="585"/>
      <c r="D28" s="585"/>
      <c r="E28" s="595" t="str">
        <f>IF(G27-E27&gt;=0,"No","Yes")</f>
        <v>No</v>
      </c>
      <c r="F28" s="585"/>
      <c r="G28" s="585"/>
      <c r="H28" s="585"/>
      <c r="I28" s="585"/>
    </row>
    <row r="29" spans="2:9" ht="15.75">
      <c r="B29" s="585" t="s">
        <v>814</v>
      </c>
      <c r="C29" s="585"/>
      <c r="D29" s="585"/>
      <c r="E29" s="596" t="e">
        <f>summ!#REF!</f>
        <v>#REF!</v>
      </c>
      <c r="F29" s="585"/>
      <c r="G29" s="596">
        <f>summ!H22</f>
        <v>17.778</v>
      </c>
      <c r="H29" s="585"/>
      <c r="I29" s="585"/>
    </row>
    <row r="30" spans="2:9" ht="15.75">
      <c r="B30" s="585" t="s">
        <v>815</v>
      </c>
      <c r="C30" s="585"/>
      <c r="D30" s="585"/>
      <c r="E30" s="597" t="e">
        <f>G29-E29</f>
        <v>#REF!</v>
      </c>
      <c r="F30" s="585"/>
      <c r="G30" s="585"/>
      <c r="H30" s="585"/>
      <c r="I30" s="585"/>
    </row>
    <row r="31" spans="2:9" ht="15.75">
      <c r="B31" s="585" t="s">
        <v>810</v>
      </c>
      <c r="C31" s="585"/>
      <c r="D31" s="598" t="e">
        <f>IF(E30&gt;=0,"Qualify","Not Qualify")</f>
        <v>#REF!</v>
      </c>
      <c r="E31" s="585"/>
      <c r="F31" s="585"/>
      <c r="G31" s="585"/>
      <c r="H31" s="585"/>
      <c r="I31" s="585"/>
    </row>
    <row r="32" spans="2:9" ht="15.75">
      <c r="B32" s="585"/>
      <c r="C32" s="585"/>
      <c r="D32" s="585"/>
      <c r="E32" s="585"/>
      <c r="F32" s="585"/>
      <c r="G32" s="585"/>
      <c r="H32" s="585"/>
      <c r="I32" s="585"/>
    </row>
    <row r="33" spans="2:9" ht="15.75">
      <c r="B33" s="585" t="s">
        <v>816</v>
      </c>
      <c r="C33" s="585"/>
      <c r="D33" s="585"/>
      <c r="E33" s="585"/>
      <c r="F33" s="599" t="e">
        <f>IF(D24="Not Qualify",IF(D31="Not Qualify",IF(D31="Not Qualify","Not Qualify","Qualify"),"Qualify"),"Qualify")</f>
        <v>#REF!</v>
      </c>
      <c r="G33" s="585"/>
      <c r="H33" s="585"/>
      <c r="I33" s="585"/>
    </row>
    <row r="34" spans="2:9" ht="15.75">
      <c r="B34" s="585"/>
      <c r="C34" s="585"/>
      <c r="D34" s="585"/>
      <c r="E34" s="585"/>
      <c r="F34" s="585"/>
      <c r="G34" s="585"/>
      <c r="H34" s="585"/>
      <c r="I34" s="585"/>
    </row>
    <row r="35" spans="2:9" ht="15.75">
      <c r="B35" s="585"/>
      <c r="C35" s="585"/>
      <c r="D35" s="585"/>
      <c r="E35" s="585"/>
      <c r="F35" s="585"/>
      <c r="G35" s="585"/>
      <c r="H35" s="585"/>
      <c r="I35" s="585"/>
    </row>
    <row r="36" spans="2:9" ht="37.5" customHeight="1">
      <c r="B36" s="917" t="s">
        <v>817</v>
      </c>
      <c r="C36" s="917"/>
      <c r="D36" s="917"/>
      <c r="E36" s="917"/>
      <c r="F36" s="917"/>
      <c r="G36" s="917"/>
      <c r="H36" s="917"/>
      <c r="I36" s="917"/>
    </row>
    <row r="37" spans="2:9" ht="15.75">
      <c r="B37" s="585"/>
      <c r="C37" s="585"/>
      <c r="D37" s="585"/>
      <c r="E37" s="585"/>
      <c r="F37" s="585"/>
      <c r="G37" s="585"/>
      <c r="H37" s="585"/>
      <c r="I37" s="585"/>
    </row>
    <row r="38" spans="2:9" ht="15.75">
      <c r="B38" s="585"/>
      <c r="C38" s="585"/>
      <c r="D38" s="585"/>
      <c r="E38" s="585"/>
      <c r="F38" s="585"/>
      <c r="G38" s="585"/>
      <c r="H38" s="585"/>
      <c r="I38" s="585"/>
    </row>
    <row r="39" spans="2:9" ht="15.75">
      <c r="B39" s="585"/>
      <c r="C39" s="585"/>
      <c r="D39" s="585"/>
      <c r="E39" s="585"/>
      <c r="F39" s="585"/>
      <c r="G39" s="585"/>
      <c r="H39" s="585"/>
      <c r="I39" s="585"/>
    </row>
    <row r="40" spans="2:9" ht="15.75">
      <c r="B40" s="585"/>
      <c r="C40" s="585"/>
      <c r="D40" s="585"/>
      <c r="E40" s="600" t="s">
        <v>818</v>
      </c>
      <c r="F40" s="601">
        <v>6</v>
      </c>
      <c r="G40" s="585"/>
      <c r="H40" s="585"/>
      <c r="I40" s="585"/>
    </row>
    <row r="41" spans="2:9" ht="15.75">
      <c r="B41" s="585"/>
      <c r="C41" s="585"/>
      <c r="D41" s="585"/>
      <c r="E41" s="585"/>
      <c r="F41" s="585"/>
      <c r="G41" s="585"/>
      <c r="H41" s="585"/>
      <c r="I41" s="585"/>
    </row>
    <row r="42" spans="2:9" ht="15.75">
      <c r="B42" s="585"/>
      <c r="C42" s="585"/>
      <c r="D42" s="585"/>
      <c r="E42" s="585"/>
      <c r="F42" s="585"/>
      <c r="G42" s="585"/>
      <c r="H42" s="585"/>
      <c r="I42" s="585"/>
    </row>
    <row r="43" spans="2:9" ht="15.75">
      <c r="B43" s="918" t="s">
        <v>819</v>
      </c>
      <c r="C43" s="919"/>
      <c r="D43" s="919"/>
      <c r="E43" s="919"/>
      <c r="F43" s="919"/>
      <c r="G43" s="919"/>
      <c r="H43" s="919"/>
      <c r="I43" s="919"/>
    </row>
    <row r="44" spans="2:9" ht="15.75">
      <c r="B44" s="585"/>
      <c r="C44" s="585"/>
      <c r="D44" s="585"/>
      <c r="E44" s="585"/>
      <c r="F44" s="585"/>
      <c r="G44" s="585"/>
      <c r="H44" s="585"/>
      <c r="I44" s="585"/>
    </row>
    <row r="45" spans="2:9" ht="15.75">
      <c r="B45" s="602" t="s">
        <v>820</v>
      </c>
      <c r="C45" s="585"/>
      <c r="D45" s="585"/>
      <c r="E45" s="585"/>
      <c r="F45" s="585"/>
      <c r="G45" s="585"/>
      <c r="H45" s="585"/>
      <c r="I45" s="585"/>
    </row>
    <row r="46" spans="2:9" ht="15.75">
      <c r="B46" s="602" t="str">
        <f>CONCATENATE("sources in your ",G14," library fund is not equal to or greater than the amount from the same")</f>
        <v>sources in your 2015 library fund is not equal to or greater than the amount from the same</v>
      </c>
      <c r="C46" s="585"/>
      <c r="D46" s="585"/>
      <c r="E46" s="585"/>
      <c r="F46" s="585"/>
      <c r="G46" s="585"/>
      <c r="H46" s="585"/>
      <c r="I46" s="585"/>
    </row>
    <row r="47" spans="2:9" ht="15.75">
      <c r="B47" s="602" t="str">
        <f>CONCATENATE("sources in ",E14,".")</f>
        <v>sources in 2014.</v>
      </c>
      <c r="C47" s="583"/>
      <c r="D47" s="583"/>
      <c r="E47" s="583"/>
      <c r="F47" s="583"/>
      <c r="G47" s="583"/>
      <c r="H47" s="583"/>
      <c r="I47" s="583"/>
    </row>
    <row r="48" spans="2:9" ht="15.75">
      <c r="B48" s="583"/>
      <c r="C48" s="583"/>
      <c r="D48" s="583"/>
      <c r="E48" s="583"/>
      <c r="F48" s="583"/>
      <c r="G48" s="583"/>
      <c r="H48" s="583"/>
      <c r="I48" s="583"/>
    </row>
    <row r="49" spans="2:9" ht="15.75">
      <c r="B49" s="602" t="s">
        <v>821</v>
      </c>
      <c r="C49" s="602"/>
      <c r="D49" s="603"/>
      <c r="E49" s="603"/>
      <c r="F49" s="603"/>
      <c r="G49" s="603"/>
      <c r="H49" s="603"/>
      <c r="I49" s="603"/>
    </row>
    <row r="50" spans="2:9" ht="15.75">
      <c r="B50" s="602" t="s">
        <v>822</v>
      </c>
      <c r="C50" s="602"/>
      <c r="D50" s="603"/>
      <c r="E50" s="603"/>
      <c r="F50" s="603"/>
      <c r="G50" s="603"/>
      <c r="H50" s="603"/>
      <c r="I50" s="603"/>
    </row>
    <row r="51" spans="2:9" ht="15.75">
      <c r="B51" s="602" t="s">
        <v>823</v>
      </c>
      <c r="C51" s="602"/>
      <c r="D51" s="603"/>
      <c r="E51" s="603"/>
      <c r="F51" s="603"/>
      <c r="G51" s="603"/>
      <c r="H51" s="603"/>
      <c r="I51" s="603"/>
    </row>
    <row r="52" spans="2:9" ht="15">
      <c r="B52" s="603"/>
      <c r="C52" s="603"/>
      <c r="D52" s="603"/>
      <c r="E52" s="603"/>
      <c r="F52" s="603"/>
      <c r="G52" s="603"/>
      <c r="H52" s="603"/>
      <c r="I52" s="603"/>
    </row>
    <row r="53" spans="2:9" ht="15.75">
      <c r="B53" s="604" t="s">
        <v>824</v>
      </c>
      <c r="C53" s="603"/>
      <c r="D53" s="603"/>
      <c r="E53" s="603"/>
      <c r="F53" s="603"/>
      <c r="G53" s="603"/>
      <c r="H53" s="603"/>
      <c r="I53" s="603"/>
    </row>
    <row r="54" spans="2:9" ht="15">
      <c r="B54" s="603"/>
      <c r="C54" s="603"/>
      <c r="D54" s="603"/>
      <c r="E54" s="603"/>
      <c r="F54" s="603"/>
      <c r="G54" s="603"/>
      <c r="H54" s="603"/>
      <c r="I54" s="603"/>
    </row>
    <row r="55" spans="2:9" ht="15.75">
      <c r="B55" s="602" t="s">
        <v>825</v>
      </c>
      <c r="C55" s="603"/>
      <c r="D55" s="603"/>
      <c r="E55" s="603"/>
      <c r="F55" s="603"/>
      <c r="G55" s="603"/>
      <c r="H55" s="603"/>
      <c r="I55" s="603"/>
    </row>
    <row r="56" spans="2:9" ht="15.75">
      <c r="B56" s="602" t="s">
        <v>826</v>
      </c>
      <c r="C56" s="603"/>
      <c r="D56" s="603"/>
      <c r="E56" s="603"/>
      <c r="F56" s="603"/>
      <c r="G56" s="603"/>
      <c r="H56" s="603"/>
      <c r="I56" s="603"/>
    </row>
    <row r="57" spans="2:9" ht="15">
      <c r="B57" s="603"/>
      <c r="C57" s="603"/>
      <c r="D57" s="603"/>
      <c r="E57" s="603"/>
      <c r="F57" s="603"/>
      <c r="G57" s="603"/>
      <c r="H57" s="603"/>
      <c r="I57" s="603"/>
    </row>
    <row r="58" spans="2:9" ht="15.75">
      <c r="B58" s="604" t="s">
        <v>827</v>
      </c>
      <c r="C58" s="602"/>
      <c r="D58" s="602"/>
      <c r="E58" s="602"/>
      <c r="F58" s="602"/>
      <c r="G58" s="603"/>
      <c r="H58" s="603"/>
      <c r="I58" s="603"/>
    </row>
    <row r="59" spans="2:9" ht="15.75">
      <c r="B59" s="602"/>
      <c r="C59" s="602"/>
      <c r="D59" s="602"/>
      <c r="E59" s="602"/>
      <c r="F59" s="602"/>
      <c r="G59" s="603"/>
      <c r="H59" s="603"/>
      <c r="I59" s="603"/>
    </row>
    <row r="60" spans="2:9" ht="15.75">
      <c r="B60" s="602" t="s">
        <v>828</v>
      </c>
      <c r="C60" s="602"/>
      <c r="D60" s="602"/>
      <c r="E60" s="602"/>
      <c r="F60" s="602"/>
      <c r="G60" s="603"/>
      <c r="H60" s="603"/>
      <c r="I60" s="603"/>
    </row>
    <row r="61" spans="2:9" ht="15.75">
      <c r="B61" s="602" t="s">
        <v>829</v>
      </c>
      <c r="C61" s="602"/>
      <c r="D61" s="602"/>
      <c r="E61" s="602"/>
      <c r="F61" s="602"/>
      <c r="G61" s="603"/>
      <c r="H61" s="603"/>
      <c r="I61" s="603"/>
    </row>
    <row r="62" spans="2:9" ht="15.75">
      <c r="B62" s="602" t="s">
        <v>830</v>
      </c>
      <c r="C62" s="602"/>
      <c r="D62" s="602"/>
      <c r="E62" s="602"/>
      <c r="F62" s="602"/>
      <c r="G62" s="603"/>
      <c r="H62" s="603"/>
      <c r="I62" s="603"/>
    </row>
    <row r="63" spans="2:9" ht="15.75">
      <c r="B63" s="602" t="s">
        <v>831</v>
      </c>
      <c r="C63" s="602"/>
      <c r="D63" s="602"/>
      <c r="E63" s="602"/>
      <c r="F63" s="602"/>
      <c r="G63" s="603"/>
      <c r="H63" s="603"/>
      <c r="I63" s="603"/>
    </row>
    <row r="64" spans="2:9" ht="15">
      <c r="B64" s="605"/>
      <c r="C64" s="605"/>
      <c r="D64" s="605"/>
      <c r="E64" s="605"/>
      <c r="F64" s="605"/>
      <c r="G64" s="603"/>
      <c r="H64" s="603"/>
      <c r="I64" s="603"/>
    </row>
    <row r="65" spans="2:9" ht="15.75">
      <c r="B65" s="602" t="s">
        <v>832</v>
      </c>
      <c r="C65" s="605"/>
      <c r="D65" s="605"/>
      <c r="E65" s="605"/>
      <c r="F65" s="605"/>
      <c r="G65" s="603"/>
      <c r="H65" s="603"/>
      <c r="I65" s="603"/>
    </row>
    <row r="66" spans="2:9" ht="15.75">
      <c r="B66" s="602" t="s">
        <v>833</v>
      </c>
      <c r="C66" s="605"/>
      <c r="D66" s="605"/>
      <c r="E66" s="605"/>
      <c r="F66" s="605"/>
      <c r="G66" s="603"/>
      <c r="H66" s="603"/>
      <c r="I66" s="603"/>
    </row>
    <row r="67" spans="2:9" ht="15">
      <c r="B67" s="605"/>
      <c r="C67" s="605"/>
      <c r="D67" s="605"/>
      <c r="E67" s="605"/>
      <c r="F67" s="605"/>
      <c r="G67" s="603"/>
      <c r="H67" s="603"/>
      <c r="I67" s="603"/>
    </row>
    <row r="68" spans="2:9" ht="15.75">
      <c r="B68" s="602" t="s">
        <v>834</v>
      </c>
      <c r="C68" s="605"/>
      <c r="D68" s="605"/>
      <c r="E68" s="605"/>
      <c r="F68" s="605"/>
      <c r="G68" s="603"/>
      <c r="H68" s="603"/>
      <c r="I68" s="603"/>
    </row>
    <row r="69" spans="2:9" ht="15.75">
      <c r="B69" s="602" t="s">
        <v>835</v>
      </c>
      <c r="C69" s="605"/>
      <c r="D69" s="605"/>
      <c r="E69" s="605"/>
      <c r="F69" s="605"/>
      <c r="G69" s="603"/>
      <c r="H69" s="603"/>
      <c r="I69" s="603"/>
    </row>
    <row r="70" spans="2:9" ht="15">
      <c r="B70" s="605"/>
      <c r="C70" s="605"/>
      <c r="D70" s="605"/>
      <c r="E70" s="605"/>
      <c r="F70" s="605"/>
      <c r="G70" s="603"/>
      <c r="H70" s="603"/>
      <c r="I70" s="603"/>
    </row>
    <row r="71" spans="2:9" ht="15.75">
      <c r="B71" s="604" t="s">
        <v>836</v>
      </c>
      <c r="C71" s="605"/>
      <c r="D71" s="605"/>
      <c r="E71" s="605"/>
      <c r="F71" s="605"/>
      <c r="G71" s="603"/>
      <c r="H71" s="603"/>
      <c r="I71" s="603"/>
    </row>
    <row r="72" spans="2:9" ht="15">
      <c r="B72" s="605"/>
      <c r="C72" s="605"/>
      <c r="D72" s="605"/>
      <c r="E72" s="605"/>
      <c r="F72" s="605"/>
      <c r="G72" s="603"/>
      <c r="H72" s="603"/>
      <c r="I72" s="603"/>
    </row>
    <row r="73" spans="2:9" ht="15.75">
      <c r="B73" s="602" t="s">
        <v>837</v>
      </c>
      <c r="C73" s="605"/>
      <c r="D73" s="605"/>
      <c r="E73" s="605"/>
      <c r="F73" s="605"/>
      <c r="G73" s="603"/>
      <c r="H73" s="603"/>
      <c r="I73" s="603"/>
    </row>
    <row r="74" spans="2:9" ht="15.75">
      <c r="B74" s="602" t="s">
        <v>838</v>
      </c>
      <c r="C74" s="605"/>
      <c r="D74" s="605"/>
      <c r="E74" s="605"/>
      <c r="F74" s="605"/>
      <c r="G74" s="603"/>
      <c r="H74" s="603"/>
      <c r="I74" s="603"/>
    </row>
    <row r="75" spans="2:9" ht="15">
      <c r="B75" s="605"/>
      <c r="C75" s="605"/>
      <c r="D75" s="605"/>
      <c r="E75" s="605"/>
      <c r="F75" s="605"/>
      <c r="G75" s="603"/>
      <c r="H75" s="603"/>
      <c r="I75" s="603"/>
    </row>
    <row r="76" spans="2:9" ht="15.75">
      <c r="B76" s="604" t="s">
        <v>839</v>
      </c>
      <c r="C76" s="605"/>
      <c r="D76" s="605"/>
      <c r="E76" s="605"/>
      <c r="F76" s="605"/>
      <c r="G76" s="603"/>
      <c r="H76" s="603"/>
      <c r="I76" s="603"/>
    </row>
    <row r="77" spans="2:9" ht="15">
      <c r="B77" s="605"/>
      <c r="C77" s="605"/>
      <c r="D77" s="605"/>
      <c r="E77" s="605"/>
      <c r="F77" s="605"/>
      <c r="G77" s="603"/>
      <c r="H77" s="603"/>
      <c r="I77" s="603"/>
    </row>
    <row r="78" spans="2:9" ht="15.75">
      <c r="B78" s="602" t="str">
        <f>CONCATENATE("If the ",G14," municipal budget has not been published and has not been submitted to the County")</f>
        <v>If the 2015 municipal budget has not been published and has not been submitted to the County</v>
      </c>
      <c r="C78" s="605"/>
      <c r="D78" s="605"/>
      <c r="E78" s="605"/>
      <c r="F78" s="605"/>
      <c r="G78" s="603"/>
      <c r="H78" s="603"/>
      <c r="I78" s="603"/>
    </row>
    <row r="79" spans="2:9" ht="15.75">
      <c r="B79" s="602" t="s">
        <v>840</v>
      </c>
      <c r="C79" s="605"/>
      <c r="D79" s="605"/>
      <c r="E79" s="605"/>
      <c r="F79" s="605"/>
      <c r="G79" s="603"/>
      <c r="H79" s="603"/>
      <c r="I79" s="603"/>
    </row>
    <row r="80" spans="2:9" ht="15">
      <c r="B80" s="605"/>
      <c r="C80" s="605"/>
      <c r="D80" s="605"/>
      <c r="E80" s="605"/>
      <c r="F80" s="605"/>
      <c r="G80" s="603"/>
      <c r="H80" s="603"/>
      <c r="I80" s="603"/>
    </row>
    <row r="81" spans="2:9" ht="15.75">
      <c r="B81" s="604" t="s">
        <v>416</v>
      </c>
      <c r="C81" s="605"/>
      <c r="D81" s="605"/>
      <c r="E81" s="605"/>
      <c r="F81" s="605"/>
      <c r="G81" s="603"/>
      <c r="H81" s="603"/>
      <c r="I81" s="603"/>
    </row>
    <row r="82" spans="2:9" ht="15">
      <c r="B82" s="605"/>
      <c r="C82" s="605"/>
      <c r="D82" s="605"/>
      <c r="E82" s="605"/>
      <c r="F82" s="605"/>
      <c r="G82" s="603"/>
      <c r="H82" s="603"/>
      <c r="I82" s="603"/>
    </row>
    <row r="83" spans="2:9" ht="15.75">
      <c r="B83" s="602" t="s">
        <v>841</v>
      </c>
      <c r="C83" s="605"/>
      <c r="D83" s="605"/>
      <c r="E83" s="605"/>
      <c r="F83" s="605"/>
      <c r="G83" s="603"/>
      <c r="H83" s="603"/>
      <c r="I83" s="603"/>
    </row>
    <row r="84" spans="2:9" ht="15.75">
      <c r="B84" s="602" t="str">
        <f>CONCATENATE("Budget Year ",G14," is equal to or greater than that for Current Year Estimate ",E14,".")</f>
        <v>Budget Year 2015 is equal to or greater than that for Current Year Estimate 2014.</v>
      </c>
      <c r="C84" s="605"/>
      <c r="D84" s="605"/>
      <c r="E84" s="605"/>
      <c r="F84" s="605"/>
      <c r="G84" s="603"/>
      <c r="H84" s="603"/>
      <c r="I84" s="603"/>
    </row>
    <row r="85" spans="2:9" ht="15">
      <c r="B85" s="605"/>
      <c r="C85" s="605"/>
      <c r="D85" s="605"/>
      <c r="E85" s="605"/>
      <c r="F85" s="605"/>
      <c r="G85" s="603"/>
      <c r="H85" s="603"/>
      <c r="I85" s="603"/>
    </row>
    <row r="86" spans="2:9" ht="15.75">
      <c r="B86" s="602" t="s">
        <v>842</v>
      </c>
      <c r="C86" s="605"/>
      <c r="D86" s="605"/>
      <c r="E86" s="605"/>
      <c r="F86" s="605"/>
      <c r="G86" s="603"/>
      <c r="H86" s="603"/>
      <c r="I86" s="603"/>
    </row>
    <row r="87" spans="2:9" ht="15.75">
      <c r="B87" s="602" t="s">
        <v>843</v>
      </c>
      <c r="C87" s="605"/>
      <c r="D87" s="605"/>
      <c r="E87" s="605"/>
      <c r="F87" s="605"/>
      <c r="G87" s="603"/>
      <c r="H87" s="603"/>
      <c r="I87" s="603"/>
    </row>
    <row r="88" spans="2:9" ht="15.75">
      <c r="B88" s="602" t="s">
        <v>844</v>
      </c>
      <c r="C88" s="605"/>
      <c r="D88" s="605"/>
      <c r="E88" s="605"/>
      <c r="F88" s="605"/>
      <c r="G88" s="603"/>
      <c r="H88" s="603"/>
      <c r="I88" s="603"/>
    </row>
    <row r="89" spans="2:9" ht="15.75">
      <c r="B89" s="602" t="str">
        <f>CONCATENATE("purpose for the previous (",E14,") year.")</f>
        <v>purpose for the previous (2014) year.</v>
      </c>
      <c r="C89" s="605"/>
      <c r="D89" s="605"/>
      <c r="E89" s="605"/>
      <c r="F89" s="605"/>
      <c r="G89" s="603"/>
      <c r="H89" s="603"/>
      <c r="I89" s="603"/>
    </row>
    <row r="90" spans="2:9" ht="15">
      <c r="B90" s="605"/>
      <c r="C90" s="605"/>
      <c r="D90" s="605"/>
      <c r="E90" s="605"/>
      <c r="F90" s="605"/>
      <c r="G90" s="603"/>
      <c r="H90" s="603"/>
      <c r="I90" s="603"/>
    </row>
    <row r="91" spans="2:9" ht="15.75">
      <c r="B91" s="602" t="str">
        <f>CONCATENATE("Next, look to see if delinquent tax for ",G14," is budgeted. Often this line is budgeted at $0 or left")</f>
        <v>Next, look to see if delinquent tax for 2015 is budgeted. Often this line is budgeted at $0 or left</v>
      </c>
      <c r="C91" s="605"/>
      <c r="D91" s="605"/>
      <c r="E91" s="605"/>
      <c r="F91" s="605"/>
      <c r="G91" s="603"/>
      <c r="H91" s="603"/>
      <c r="I91" s="603"/>
    </row>
    <row r="92" spans="2:9" ht="15.75">
      <c r="B92" s="602" t="s">
        <v>845</v>
      </c>
      <c r="C92" s="605"/>
      <c r="D92" s="605"/>
      <c r="E92" s="605"/>
      <c r="F92" s="605"/>
      <c r="G92" s="603"/>
      <c r="H92" s="603"/>
      <c r="I92" s="603"/>
    </row>
    <row r="93" spans="2:9" ht="15.75">
      <c r="B93" s="602" t="s">
        <v>846</v>
      </c>
      <c r="C93" s="605"/>
      <c r="D93" s="605"/>
      <c r="E93" s="605"/>
      <c r="F93" s="605"/>
      <c r="G93" s="603"/>
      <c r="H93" s="603"/>
      <c r="I93" s="603"/>
    </row>
    <row r="94" spans="2:9" ht="15.75">
      <c r="B94" s="602" t="s">
        <v>847</v>
      </c>
      <c r="C94" s="605"/>
      <c r="D94" s="605"/>
      <c r="E94" s="605"/>
      <c r="F94" s="605"/>
      <c r="G94" s="603"/>
      <c r="H94" s="603"/>
      <c r="I94" s="603"/>
    </row>
    <row r="95" spans="2:9" ht="15">
      <c r="B95" s="605"/>
      <c r="C95" s="605"/>
      <c r="D95" s="605"/>
      <c r="E95" s="605"/>
      <c r="F95" s="605"/>
      <c r="G95" s="603"/>
      <c r="H95" s="603"/>
      <c r="I95" s="603"/>
    </row>
    <row r="96" spans="2:9" ht="15.75">
      <c r="B96" s="604" t="s">
        <v>848</v>
      </c>
      <c r="C96" s="605"/>
      <c r="D96" s="605"/>
      <c r="E96" s="605"/>
      <c r="F96" s="605"/>
      <c r="G96" s="603"/>
      <c r="H96" s="603"/>
      <c r="I96" s="603"/>
    </row>
    <row r="97" spans="2:9" ht="15">
      <c r="B97" s="605"/>
      <c r="C97" s="605"/>
      <c r="D97" s="605"/>
      <c r="E97" s="605"/>
      <c r="F97" s="605"/>
      <c r="G97" s="603"/>
      <c r="H97" s="603"/>
      <c r="I97" s="603"/>
    </row>
    <row r="98" spans="2:9" ht="15.75">
      <c r="B98" s="602" t="s">
        <v>849</v>
      </c>
      <c r="C98" s="605"/>
      <c r="D98" s="605"/>
      <c r="E98" s="605"/>
      <c r="F98" s="605"/>
      <c r="G98" s="603"/>
      <c r="H98" s="603"/>
      <c r="I98" s="603"/>
    </row>
    <row r="99" spans="2:9" ht="15.75">
      <c r="B99" s="602" t="s">
        <v>850</v>
      </c>
      <c r="C99" s="605"/>
      <c r="D99" s="605"/>
      <c r="E99" s="605"/>
      <c r="F99" s="605"/>
      <c r="G99" s="603"/>
      <c r="H99" s="603"/>
      <c r="I99" s="603"/>
    </row>
    <row r="100" spans="2:9" ht="15">
      <c r="B100" s="605"/>
      <c r="C100" s="605"/>
      <c r="D100" s="605"/>
      <c r="E100" s="605"/>
      <c r="F100" s="605"/>
      <c r="G100" s="603"/>
      <c r="H100" s="603"/>
      <c r="I100" s="603"/>
    </row>
    <row r="101" spans="2:9" ht="15.75">
      <c r="B101" s="602" t="s">
        <v>851</v>
      </c>
      <c r="C101" s="605"/>
      <c r="D101" s="605"/>
      <c r="E101" s="605"/>
      <c r="F101" s="605"/>
      <c r="G101" s="603"/>
      <c r="H101" s="603"/>
      <c r="I101" s="603"/>
    </row>
    <row r="102" spans="2:9" ht="15.75">
      <c r="B102" s="602" t="s">
        <v>852</v>
      </c>
      <c r="C102" s="605"/>
      <c r="D102" s="605"/>
      <c r="E102" s="605"/>
      <c r="F102" s="605"/>
      <c r="G102" s="603"/>
      <c r="H102" s="603"/>
      <c r="I102" s="603"/>
    </row>
    <row r="103" spans="2:9" ht="15.75">
      <c r="B103" s="602" t="s">
        <v>853</v>
      </c>
      <c r="C103" s="605"/>
      <c r="D103" s="605"/>
      <c r="E103" s="605"/>
      <c r="F103" s="605"/>
      <c r="G103" s="603"/>
      <c r="H103" s="603"/>
      <c r="I103" s="603"/>
    </row>
    <row r="104" spans="2:9" ht="15.75">
      <c r="B104" s="602" t="s">
        <v>854</v>
      </c>
      <c r="C104" s="605"/>
      <c r="D104" s="605"/>
      <c r="E104" s="605"/>
      <c r="F104" s="605"/>
      <c r="G104" s="603"/>
      <c r="H104" s="603"/>
      <c r="I104" s="603"/>
    </row>
    <row r="105" spans="2:9" ht="15.75">
      <c r="B105" s="735" t="s">
        <v>934</v>
      </c>
      <c r="C105" s="736"/>
      <c r="D105" s="736"/>
      <c r="E105" s="736"/>
      <c r="F105" s="736"/>
      <c r="G105" s="603"/>
      <c r="H105" s="603"/>
      <c r="I105" s="603"/>
    </row>
    <row r="108" ht="15">
      <c r="G108" s="6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Walnut Township</v>
      </c>
      <c r="C1" s="72" t="s">
        <v>292</v>
      </c>
      <c r="D1" s="65"/>
      <c r="E1" s="225">
        <f>inputPrYr!D9</f>
        <v>2015</v>
      </c>
    </row>
    <row r="2" spans="2:5" ht="15.75">
      <c r="B2" s="540" t="s">
        <v>763</v>
      </c>
      <c r="C2" s="65"/>
      <c r="D2" s="65"/>
      <c r="E2" s="333"/>
    </row>
    <row r="3" spans="2:5" ht="15.75">
      <c r="B3" s="65"/>
      <c r="C3" s="70"/>
      <c r="D3" s="70"/>
      <c r="E3" s="65"/>
    </row>
    <row r="4" spans="2:5" ht="15.75">
      <c r="B4" s="72" t="s">
        <v>267</v>
      </c>
      <c r="C4" s="388" t="s">
        <v>268</v>
      </c>
      <c r="D4" s="391" t="s">
        <v>269</v>
      </c>
      <c r="E4" s="74" t="s">
        <v>270</v>
      </c>
    </row>
    <row r="5" spans="2:5" ht="15.75">
      <c r="B5" s="484" t="str">
        <f>inputPrYr!B24</f>
        <v>Special Road</v>
      </c>
      <c r="C5" s="389" t="str">
        <f>gen!C5</f>
        <v>Actual for 2013</v>
      </c>
      <c r="D5" s="389" t="str">
        <f>gen!D5</f>
        <v>Estimate for 2014</v>
      </c>
      <c r="E5" s="79" t="str">
        <f>gen!E5</f>
        <v>Year for 2015</v>
      </c>
    </row>
    <row r="6" spans="2:5" ht="15.75">
      <c r="B6" s="80" t="s">
        <v>67</v>
      </c>
      <c r="C6" s="313"/>
      <c r="D6" s="390">
        <f>C34</f>
        <v>0</v>
      </c>
      <c r="E6" s="261">
        <f>D34</f>
        <v>0</v>
      </c>
    </row>
    <row r="7" spans="2:5" ht="15.75">
      <c r="B7" s="80" t="s">
        <v>69</v>
      </c>
      <c r="C7" s="390"/>
      <c r="D7" s="390"/>
      <c r="E7" s="315"/>
    </row>
    <row r="8" spans="2:5" ht="15.75">
      <c r="B8" s="80" t="s">
        <v>273</v>
      </c>
      <c r="C8" s="313"/>
      <c r="D8" s="390">
        <f>IF(inputPrYr!H19&gt;0,inputPrYr!G24,inputPrYr!E24)</f>
        <v>0</v>
      </c>
      <c r="E8" s="315" t="s">
        <v>252</v>
      </c>
    </row>
    <row r="9" spans="2:5" ht="15.75">
      <c r="B9" s="80" t="s">
        <v>274</v>
      </c>
      <c r="C9" s="313"/>
      <c r="D9" s="313"/>
      <c r="E9" s="171"/>
    </row>
    <row r="10" spans="2:5" ht="15.75">
      <c r="B10" s="80" t="s">
        <v>275</v>
      </c>
      <c r="C10" s="313"/>
      <c r="D10" s="313"/>
      <c r="E10" s="261">
        <f>mvalloc!G15</f>
        <v>0</v>
      </c>
    </row>
    <row r="11" spans="2:5" ht="15.75">
      <c r="B11" s="80" t="s">
        <v>276</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279</v>
      </c>
      <c r="C17" s="313"/>
      <c r="D17" s="313"/>
      <c r="E17" s="171"/>
    </row>
    <row r="18" spans="2:5" ht="15.75">
      <c r="B18" s="319" t="s">
        <v>225</v>
      </c>
      <c r="C18" s="313"/>
      <c r="D18" s="313"/>
      <c r="E18" s="171"/>
    </row>
    <row r="19" spans="2:5" ht="15.75">
      <c r="B19" s="319" t="s">
        <v>226</v>
      </c>
      <c r="C19" s="392">
        <f>IF(C20*0.1&lt;C18,"Exceed 10% Rule","")</f>
      </c>
      <c r="D19" s="392">
        <f>IF(D20*0.1&lt;D18,"Exceed 10% Rule","")</f>
      </c>
      <c r="E19" s="323">
        <f>IF(E20*0.1+E40&lt;E18,"Exceed 10% Rule","")</f>
      </c>
    </row>
    <row r="20" spans="2:5" ht="15.75">
      <c r="B20" s="321" t="s">
        <v>280</v>
      </c>
      <c r="C20" s="393">
        <f>SUM(C8:C18)</f>
        <v>0</v>
      </c>
      <c r="D20" s="393">
        <f>SUM(D8:D18)</f>
        <v>0</v>
      </c>
      <c r="E20" s="322">
        <f>SUM(E8:E18)</f>
        <v>0</v>
      </c>
    </row>
    <row r="21" spans="2:5" ht="15.75">
      <c r="B21" s="98" t="s">
        <v>281</v>
      </c>
      <c r="C21" s="393">
        <f>C20+C6</f>
        <v>0</v>
      </c>
      <c r="D21" s="393">
        <f>D20+D6</f>
        <v>0</v>
      </c>
      <c r="E21" s="322">
        <f>E20+E6</f>
        <v>0</v>
      </c>
    </row>
    <row r="22" spans="2:5" ht="15.75">
      <c r="B22" s="80" t="s">
        <v>282</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730</v>
      </c>
      <c r="H26" s="644"/>
      <c r="I26" s="644"/>
      <c r="J26" s="647">
        <v>0</v>
      </c>
      <c r="K26" s="610"/>
    </row>
    <row r="27" spans="2:11" ht="15.75">
      <c r="B27" s="318"/>
      <c r="C27" s="313"/>
      <c r="D27" s="313"/>
      <c r="E27" s="171"/>
      <c r="G27" s="642" t="s">
        <v>731</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859</v>
      </c>
      <c r="H29" s="654"/>
      <c r="I29" s="654"/>
      <c r="J29" s="655">
        <f>IF(J26&gt;0,J28-E37,0)</f>
        <v>0</v>
      </c>
      <c r="K29" s="610"/>
    </row>
    <row r="30" spans="2:11" ht="15.75">
      <c r="B30" s="316" t="s">
        <v>227</v>
      </c>
      <c r="C30" s="313"/>
      <c r="D30" s="313"/>
      <c r="E30" s="182">
        <f>nhood!E10</f>
      </c>
      <c r="G30" s="610"/>
      <c r="H30" s="610"/>
      <c r="I30" s="610"/>
      <c r="J30" s="610"/>
      <c r="K30" s="610"/>
    </row>
    <row r="31" spans="2:11" ht="15.75">
      <c r="B31" s="316" t="s">
        <v>225</v>
      </c>
      <c r="C31" s="313"/>
      <c r="D31" s="313"/>
      <c r="E31" s="171"/>
      <c r="G31" s="836" t="str">
        <f>CONCATENATE("Projected Carryover Into ",E1+1,"")</f>
        <v>Projected Carryover Into 2016</v>
      </c>
      <c r="H31" s="839"/>
      <c r="I31" s="839"/>
      <c r="J31" s="840"/>
      <c r="K31" s="610"/>
    </row>
    <row r="32" spans="2:11" ht="15.75">
      <c r="B32" s="316" t="s">
        <v>727</v>
      </c>
      <c r="C32" s="392">
        <f>IF(C33*0.1&lt;C31,"Exceed 10% Rule","")</f>
      </c>
      <c r="D32" s="392">
        <f>IF(D33*0.1&lt;D31,"Exceed 10% Rule","")</f>
      </c>
      <c r="E32" s="323">
        <f>IF(E33*0.1&lt;E31,"Exceed 10% Rule","")</f>
      </c>
      <c r="G32" s="642"/>
      <c r="H32" s="644"/>
      <c r="I32" s="644"/>
      <c r="J32" s="657"/>
      <c r="K32" s="610"/>
    </row>
    <row r="33" spans="2:11" ht="15.75">
      <c r="B33" s="98" t="s">
        <v>283</v>
      </c>
      <c r="C33" s="393">
        <f>SUM(C23:C31)</f>
        <v>0</v>
      </c>
      <c r="D33" s="393">
        <f>SUM(D23:D31)</f>
        <v>0</v>
      </c>
      <c r="E33" s="322">
        <f>SUM(E23:E31)</f>
        <v>0</v>
      </c>
      <c r="G33" s="660">
        <f>D34</f>
        <v>0</v>
      </c>
      <c r="H33" s="661" t="str">
        <f>CONCATENATE("",E1-1," Ending Cash Balance (est.)")</f>
        <v>2014 Ending Cash Balance (est.)</v>
      </c>
      <c r="I33" s="662"/>
      <c r="J33" s="657"/>
      <c r="K33" s="610"/>
    </row>
    <row r="34" spans="2:11" ht="15.75">
      <c r="B34" s="80" t="s">
        <v>68</v>
      </c>
      <c r="C34" s="394">
        <f>C21-C33</f>
        <v>0</v>
      </c>
      <c r="D34" s="394">
        <f>D21-D33</f>
        <v>0</v>
      </c>
      <c r="E34" s="315" t="s">
        <v>252</v>
      </c>
      <c r="G34" s="660">
        <f>E20</f>
        <v>0</v>
      </c>
      <c r="H34" s="644" t="str">
        <f>CONCATENATE("",E1," Non-AV Receipts (est.)")</f>
        <v>2015 Non-AV Receipts (est.)</v>
      </c>
      <c r="I34" s="662"/>
      <c r="J34" s="657"/>
      <c r="K34" s="610"/>
    </row>
    <row r="35" spans="2:11" ht="15.75">
      <c r="B35" s="117" t="str">
        <f>CONCATENATE("",$E$1-2,"/",$E$1-1," Budget Authority Amount:")</f>
        <v>2013/2014 Budget Authority Amount:</v>
      </c>
      <c r="C35" s="338">
        <f>inputOth!$B87</f>
        <v>0</v>
      </c>
      <c r="D35" s="83">
        <f>inputPrYr!$D24</f>
        <v>0</v>
      </c>
      <c r="E35" s="315" t="s">
        <v>252</v>
      </c>
      <c r="F35" s="324"/>
      <c r="G35" s="669">
        <f>IF(E39&gt;0,E38,E40)</f>
        <v>0</v>
      </c>
      <c r="H35" s="644" t="str">
        <f>CONCATENATE("",E1," Ad Valorem Tax (est.)")</f>
        <v>2015 Ad Valorem Tax (est.)</v>
      </c>
      <c r="I35" s="662"/>
      <c r="J35" s="657"/>
      <c r="K35" s="670">
        <f>IF(G35=E40,"","Note: Does not include Delinquent Taxes")</f>
      </c>
    </row>
    <row r="36" spans="2:11" ht="15.75">
      <c r="B36" s="117"/>
      <c r="C36" s="822" t="s">
        <v>724</v>
      </c>
      <c r="D36" s="823"/>
      <c r="E36" s="171"/>
      <c r="F36" s="729">
        <f>IF(E33/0.95-E33&lt;E36,"Exceeds 5%","")</f>
      </c>
      <c r="G36" s="660">
        <f>SUM(G33:G35)</f>
        <v>0</v>
      </c>
      <c r="H36" s="644" t="str">
        <f>CONCATENATE("Total ",E1," Resources Available")</f>
        <v>Total 2015 Resources Available</v>
      </c>
      <c r="I36" s="662"/>
      <c r="J36" s="657"/>
      <c r="K36" s="610"/>
    </row>
    <row r="37" spans="2:11" ht="15.75">
      <c r="B37" s="499" t="str">
        <f>CONCATENATE(C85,"     ",D85)</f>
        <v>     </v>
      </c>
      <c r="C37" s="824" t="s">
        <v>725</v>
      </c>
      <c r="D37" s="825"/>
      <c r="E37" s="261">
        <f>E33+E36</f>
        <v>0</v>
      </c>
      <c r="G37" s="673"/>
      <c r="H37" s="644"/>
      <c r="I37" s="644"/>
      <c r="J37" s="657"/>
      <c r="K37" s="610"/>
    </row>
    <row r="38" spans="2:11" ht="15.75">
      <c r="B38" s="499" t="str">
        <f>CONCATENATE(C86,"     ",D86)</f>
        <v>     </v>
      </c>
      <c r="C38" s="502"/>
      <c r="D38" s="501" t="s">
        <v>285</v>
      </c>
      <c r="E38" s="182">
        <f>IF(E37-E21&gt;0,E37-E21,0)</f>
        <v>0</v>
      </c>
      <c r="G38" s="669">
        <f>C33*0.05+C33</f>
        <v>0</v>
      </c>
      <c r="H38" s="644" t="str">
        <f>CONCATENATE("Less ",E1-2," Expenditures + 5%")</f>
        <v>Less 2013 Expenditures + 5%</v>
      </c>
      <c r="I38" s="644"/>
      <c r="J38" s="657"/>
      <c r="K38" s="610"/>
    </row>
    <row r="39" spans="2:11" ht="15.75">
      <c r="B39" s="211"/>
      <c r="C39" s="500" t="s">
        <v>726</v>
      </c>
      <c r="D39" s="713">
        <f>inputOth!$E$77</f>
        <v>0</v>
      </c>
      <c r="E39" s="261">
        <f>ROUND(IF(D39&gt;0,(E38*D39),0),0)</f>
        <v>0</v>
      </c>
      <c r="G39" s="677">
        <f>G36-G38</f>
        <v>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0</v>
      </c>
      <c r="G40" s="610"/>
      <c r="H40" s="610"/>
      <c r="I40" s="610"/>
      <c r="J40" s="610"/>
      <c r="K40" s="610"/>
    </row>
    <row r="41" spans="2:11" ht="15.75">
      <c r="B41" s="65"/>
      <c r="C41" s="556"/>
      <c r="D41" s="65"/>
      <c r="E41" s="65"/>
      <c r="G41" s="841" t="s">
        <v>860</v>
      </c>
      <c r="H41" s="842"/>
      <c r="I41" s="842"/>
      <c r="J41" s="843"/>
      <c r="K41" s="610"/>
    </row>
    <row r="42" spans="2:11" ht="15.75">
      <c r="B42" s="65"/>
      <c r="C42" s="556"/>
      <c r="D42" s="65"/>
      <c r="E42" s="65"/>
      <c r="G42" s="684"/>
      <c r="H42" s="661"/>
      <c r="I42" s="685"/>
      <c r="J42" s="686"/>
      <c r="K42" s="610"/>
    </row>
    <row r="43" spans="2:11" ht="15.75">
      <c r="B43" s="72" t="s">
        <v>267</v>
      </c>
      <c r="C43" s="70"/>
      <c r="D43" s="70"/>
      <c r="E43" s="70"/>
      <c r="G43" s="687" t="e">
        <f>summ!#REF!</f>
        <v>#REF!</v>
      </c>
      <c r="H43" s="661" t="str">
        <f>CONCATENATE("",E1," Fund Mill Rate")</f>
        <v>2015 Fund Mill Rate</v>
      </c>
      <c r="I43" s="685"/>
      <c r="J43" s="686"/>
      <c r="K43" s="610"/>
    </row>
    <row r="44" spans="2:11" ht="15.75">
      <c r="B44" s="65"/>
      <c r="C44" s="388" t="s">
        <v>268</v>
      </c>
      <c r="D44" s="391" t="s">
        <v>269</v>
      </c>
      <c r="E44" s="74" t="s">
        <v>270</v>
      </c>
      <c r="G44" s="688" t="e">
        <f>summ!#REF!</f>
        <v>#REF!</v>
      </c>
      <c r="H44" s="661" t="str">
        <f>CONCATENATE("",E1-1," Fund Mill Rate")</f>
        <v>2014 Fund Mill Rate</v>
      </c>
      <c r="I44" s="685"/>
      <c r="J44" s="686"/>
      <c r="K44" s="610"/>
    </row>
    <row r="45" spans="2:11" ht="15.75">
      <c r="B45" s="485" t="str">
        <f>inputPrYr!B25</f>
        <v>Noxious Weed</v>
      </c>
      <c r="C45" s="389" t="str">
        <f>C5</f>
        <v>Actual for 2013</v>
      </c>
      <c r="D45" s="389" t="str">
        <f>D5</f>
        <v>Estimate for 2014</v>
      </c>
      <c r="E45" s="79" t="str">
        <f>E5</f>
        <v>Year for 2015</v>
      </c>
      <c r="G45" s="690">
        <f>summ!H22</f>
        <v>17.778</v>
      </c>
      <c r="H45" s="661" t="str">
        <f>CONCATENATE("Total ",E1," Mill Rate")</f>
        <v>Total 2015 Mill Rate</v>
      </c>
      <c r="I45" s="685"/>
      <c r="J45" s="686"/>
      <c r="K45" s="610"/>
    </row>
    <row r="46" spans="2:11" ht="15.75">
      <c r="B46" s="80" t="s">
        <v>67</v>
      </c>
      <c r="C46" s="313"/>
      <c r="D46" s="390">
        <f>C74</f>
        <v>0</v>
      </c>
      <c r="E46" s="261">
        <f>D74</f>
        <v>0</v>
      </c>
      <c r="G46" s="688">
        <f>summ!E22</f>
        <v>17.448</v>
      </c>
      <c r="H46" s="691" t="str">
        <f>CONCATENATE("Total ",E1-1," Mill Rate")</f>
        <v>Total 2014 Mill Rate</v>
      </c>
      <c r="I46" s="692"/>
      <c r="J46" s="693"/>
      <c r="K46" s="610"/>
    </row>
    <row r="47" spans="2:11" ht="15.75">
      <c r="B47" s="80" t="s">
        <v>69</v>
      </c>
      <c r="C47" s="390"/>
      <c r="D47" s="390"/>
      <c r="E47" s="315"/>
      <c r="G47" s="610"/>
      <c r="H47" s="610"/>
      <c r="I47" s="610"/>
      <c r="J47" s="610"/>
      <c r="K47" s="610"/>
    </row>
    <row r="48" spans="2:11" ht="15.75">
      <c r="B48" s="80" t="s">
        <v>273</v>
      </c>
      <c r="C48" s="313"/>
      <c r="D48" s="390">
        <f>IF(inputPrYr!H19&gt;0,inputPrYr!G25,inputPrYr!E25)</f>
        <v>0</v>
      </c>
      <c r="E48" s="315" t="s">
        <v>252</v>
      </c>
      <c r="G48" s="740" t="s">
        <v>937</v>
      </c>
      <c r="H48" s="739"/>
      <c r="I48" s="738" t="str">
        <f>cert!E41</f>
        <v>No</v>
      </c>
      <c r="J48" s="610"/>
      <c r="K48" s="610"/>
    </row>
    <row r="49" spans="2:11" ht="15.75">
      <c r="B49" s="80" t="s">
        <v>274</v>
      </c>
      <c r="C49" s="313"/>
      <c r="D49" s="313"/>
      <c r="E49" s="171"/>
      <c r="G49" s="610"/>
      <c r="H49" s="610"/>
      <c r="I49" s="610"/>
      <c r="J49" s="610"/>
      <c r="K49" s="610"/>
    </row>
    <row r="50" spans="2:11" ht="15.75">
      <c r="B50" s="80" t="s">
        <v>275</v>
      </c>
      <c r="C50" s="313"/>
      <c r="D50" s="313"/>
      <c r="E50" s="261">
        <f>mvalloc!G16</f>
        <v>0</v>
      </c>
      <c r="G50" s="610"/>
      <c r="H50" s="610"/>
      <c r="I50" s="610"/>
      <c r="J50" s="610"/>
      <c r="K50" s="610"/>
    </row>
    <row r="51" spans="2:11" ht="15.75">
      <c r="B51" s="80" t="s">
        <v>276</v>
      </c>
      <c r="C51" s="313"/>
      <c r="D51" s="313"/>
      <c r="E51" s="261">
        <f>mvalloc!I16</f>
        <v>0</v>
      </c>
      <c r="G51" s="610"/>
      <c r="H51" s="610"/>
      <c r="I51" s="610"/>
      <c r="J51" s="610"/>
      <c r="K51" s="610"/>
    </row>
    <row r="52" spans="2:11" ht="15.75">
      <c r="B52" s="80" t="s">
        <v>51</v>
      </c>
      <c r="C52" s="313"/>
      <c r="D52" s="313"/>
      <c r="E52" s="261">
        <f>mvalloc!J16</f>
        <v>0</v>
      </c>
      <c r="G52" s="610"/>
      <c r="H52" s="610"/>
      <c r="I52" s="610"/>
      <c r="J52" s="610"/>
      <c r="K52" s="610"/>
    </row>
    <row r="53" spans="2:11" ht="15.75">
      <c r="B53" s="317"/>
      <c r="C53" s="313"/>
      <c r="D53" s="313"/>
      <c r="E53" s="171"/>
      <c r="G53" s="610"/>
      <c r="H53" s="610"/>
      <c r="I53" s="610"/>
      <c r="J53" s="610"/>
      <c r="K53" s="610"/>
    </row>
    <row r="54" spans="2:11" ht="15.75">
      <c r="B54" s="317"/>
      <c r="C54" s="313"/>
      <c r="D54" s="313"/>
      <c r="E54" s="171"/>
      <c r="G54" s="610"/>
      <c r="H54" s="610"/>
      <c r="I54" s="610"/>
      <c r="J54" s="610"/>
      <c r="K54" s="610"/>
    </row>
    <row r="55" spans="2:11" ht="15.75">
      <c r="B55" s="317"/>
      <c r="C55" s="313"/>
      <c r="D55" s="313"/>
      <c r="E55" s="171"/>
      <c r="G55" s="610"/>
      <c r="H55" s="610"/>
      <c r="I55" s="610"/>
      <c r="J55" s="610"/>
      <c r="K55" s="610"/>
    </row>
    <row r="56" spans="2:11" ht="15.75">
      <c r="B56" s="318"/>
      <c r="C56" s="313"/>
      <c r="D56" s="313"/>
      <c r="E56" s="171"/>
      <c r="G56" s="610"/>
      <c r="H56" s="610"/>
      <c r="I56" s="610"/>
      <c r="J56" s="610"/>
      <c r="K56" s="610"/>
    </row>
    <row r="57" spans="2:11" ht="15.75">
      <c r="B57" s="318" t="s">
        <v>279</v>
      </c>
      <c r="C57" s="313"/>
      <c r="D57" s="313"/>
      <c r="E57" s="171"/>
      <c r="G57" s="610"/>
      <c r="H57" s="610"/>
      <c r="I57" s="610"/>
      <c r="J57" s="610"/>
      <c r="K57" s="610"/>
    </row>
    <row r="58" spans="2:11" ht="15.75">
      <c r="B58" s="319" t="s">
        <v>225</v>
      </c>
      <c r="C58" s="313"/>
      <c r="D58" s="313"/>
      <c r="E58" s="171"/>
      <c r="G58" s="610"/>
      <c r="H58" s="610"/>
      <c r="I58" s="610"/>
      <c r="J58" s="610"/>
      <c r="K58" s="610"/>
    </row>
    <row r="59" spans="2:11" ht="15.75">
      <c r="B59" s="319" t="s">
        <v>226</v>
      </c>
      <c r="C59" s="392">
        <f>IF(C60*0.1&lt;C58,"Exceed 10% Rule","")</f>
      </c>
      <c r="D59" s="392">
        <f>IF(D60*0.1&lt;D58,"Exceed 10% Rule","")</f>
      </c>
      <c r="E59" s="323">
        <f>IF(E60*0.1+E80&lt;E58,"Exceed 10% Rule","")</f>
      </c>
      <c r="G59" s="610"/>
      <c r="H59" s="610"/>
      <c r="I59" s="610"/>
      <c r="J59" s="610"/>
      <c r="K59" s="610"/>
    </row>
    <row r="60" spans="2:11" ht="15.75">
      <c r="B60" s="321" t="s">
        <v>280</v>
      </c>
      <c r="C60" s="393">
        <f>SUM(C48:C58)</f>
        <v>0</v>
      </c>
      <c r="D60" s="393">
        <f>SUM(D48:D58)</f>
        <v>0</v>
      </c>
      <c r="E60" s="322">
        <f>SUM(E48:E58)</f>
        <v>0</v>
      </c>
      <c r="G60" s="610"/>
      <c r="H60" s="610"/>
      <c r="I60" s="610"/>
      <c r="J60" s="610"/>
      <c r="K60" s="610"/>
    </row>
    <row r="61" spans="2:11" ht="15.75">
      <c r="B61" s="98" t="s">
        <v>281</v>
      </c>
      <c r="C61" s="393">
        <f>C60+C46</f>
        <v>0</v>
      </c>
      <c r="D61" s="393">
        <f>D60+D46</f>
        <v>0</v>
      </c>
      <c r="E61" s="322">
        <f>E60+E46</f>
        <v>0</v>
      </c>
      <c r="G61" s="610"/>
      <c r="H61" s="610"/>
      <c r="I61" s="610"/>
      <c r="J61" s="610"/>
      <c r="K61" s="610"/>
    </row>
    <row r="62" spans="2:11" ht="15.75">
      <c r="B62" s="80" t="s">
        <v>282</v>
      </c>
      <c r="C62" s="390"/>
      <c r="D62" s="390"/>
      <c r="E62" s="261"/>
      <c r="G62" s="610"/>
      <c r="H62" s="610"/>
      <c r="I62" s="610"/>
      <c r="J62" s="610"/>
      <c r="K62" s="610"/>
    </row>
    <row r="63" spans="2:11" ht="15.75">
      <c r="B63" s="318"/>
      <c r="C63" s="313"/>
      <c r="D63" s="313"/>
      <c r="E63" s="171"/>
      <c r="G63" s="610"/>
      <c r="H63" s="610"/>
      <c r="I63" s="610"/>
      <c r="J63" s="610"/>
      <c r="K63" s="610"/>
    </row>
    <row r="64" spans="2:11" ht="15.75">
      <c r="B64" s="318"/>
      <c r="C64" s="313"/>
      <c r="D64" s="313"/>
      <c r="E64" s="171"/>
      <c r="G64" s="836" t="str">
        <f>CONCATENATE("Desired Carryover Into ",E1+1,"")</f>
        <v>Desired Carryover Into 2016</v>
      </c>
      <c r="H64" s="837"/>
      <c r="I64" s="837"/>
      <c r="J64" s="838"/>
      <c r="K64" s="610"/>
    </row>
    <row r="65" spans="2:11" ht="15.75">
      <c r="B65" s="318"/>
      <c r="C65" s="313"/>
      <c r="D65" s="313"/>
      <c r="E65" s="171"/>
      <c r="G65" s="642"/>
      <c r="H65" s="643"/>
      <c r="I65" s="644"/>
      <c r="J65" s="645"/>
      <c r="K65" s="610"/>
    </row>
    <row r="66" spans="2:11" ht="15.75">
      <c r="B66" s="318"/>
      <c r="C66" s="313"/>
      <c r="D66" s="313"/>
      <c r="E66" s="171"/>
      <c r="G66" s="646" t="s">
        <v>730</v>
      </c>
      <c r="H66" s="644"/>
      <c r="I66" s="644"/>
      <c r="J66" s="647">
        <v>0</v>
      </c>
      <c r="K66" s="610"/>
    </row>
    <row r="67" spans="2:11" ht="15.75">
      <c r="B67" s="318"/>
      <c r="C67" s="313"/>
      <c r="D67" s="313"/>
      <c r="E67" s="171"/>
      <c r="G67" s="642" t="s">
        <v>731</v>
      </c>
      <c r="H67" s="643"/>
      <c r="I67" s="643"/>
      <c r="J67" s="648">
        <f>IF(J66=0,"",ROUND((J66+E80-G79)/inputOth!E11*1000,3)-G84)</f>
      </c>
      <c r="K67" s="610"/>
    </row>
    <row r="68" spans="2:11" ht="15.75">
      <c r="B68" s="318"/>
      <c r="C68" s="313"/>
      <c r="D68" s="313"/>
      <c r="E68" s="171"/>
      <c r="G68" s="649" t="str">
        <f>CONCATENATE("",E1," Tot Exp/Non-Appr Must Be:")</f>
        <v>2015 Tot Exp/Non-Appr Must Be:</v>
      </c>
      <c r="H68" s="650"/>
      <c r="I68" s="651"/>
      <c r="J68" s="652">
        <f>IF(J66&gt;0,IF(E77&lt;E61,IF(J66=G79,E77,((J66-G79)*(1-D79))+E61),E77+(J66-G79)),0)</f>
        <v>0</v>
      </c>
      <c r="K68" s="610"/>
    </row>
    <row r="69" spans="2:11" ht="15.75">
      <c r="B69" s="318"/>
      <c r="C69" s="313"/>
      <c r="D69" s="313"/>
      <c r="E69" s="171"/>
      <c r="G69" s="653" t="s">
        <v>859</v>
      </c>
      <c r="H69" s="654"/>
      <c r="I69" s="654"/>
      <c r="J69" s="655">
        <f>IF(J66&gt;0,J68-E77,0)</f>
        <v>0</v>
      </c>
      <c r="K69" s="610"/>
    </row>
    <row r="70" spans="2:11" ht="15.75">
      <c r="B70" s="316" t="s">
        <v>227</v>
      </c>
      <c r="C70" s="313"/>
      <c r="D70" s="313"/>
      <c r="E70" s="182">
        <f>nhood!E11</f>
      </c>
      <c r="G70" s="610"/>
      <c r="H70" s="610"/>
      <c r="I70" s="610"/>
      <c r="J70" s="610"/>
      <c r="K70" s="610"/>
    </row>
    <row r="71" spans="2:11" ht="15.75">
      <c r="B71" s="316" t="s">
        <v>225</v>
      </c>
      <c r="C71" s="313"/>
      <c r="D71" s="313"/>
      <c r="E71" s="171"/>
      <c r="G71" s="836" t="str">
        <f>CONCATENATE("Projected Carryover Into ",E1+1,"")</f>
        <v>Projected Carryover Into 2016</v>
      </c>
      <c r="H71" s="844"/>
      <c r="I71" s="844"/>
      <c r="J71" s="840"/>
      <c r="K71" s="610"/>
    </row>
    <row r="72" spans="2:11" ht="15.75">
      <c r="B72" s="316" t="s">
        <v>727</v>
      </c>
      <c r="C72" s="392">
        <f>IF(C73*0.1&lt;C71,"Exceed 10% Rule","")</f>
      </c>
      <c r="D72" s="392">
        <f>IF(D73*0.1&lt;D71,"Exceed 10% Rule","")</f>
      </c>
      <c r="E72" s="323">
        <f>IF(E73*0.1&lt;E71,"Exceed 10% Rule","")</f>
      </c>
      <c r="G72" s="696"/>
      <c r="H72" s="643"/>
      <c r="I72" s="643"/>
      <c r="J72" s="697"/>
      <c r="K72" s="610"/>
    </row>
    <row r="73" spans="2:11" ht="15.75">
      <c r="B73" s="98" t="s">
        <v>283</v>
      </c>
      <c r="C73" s="393">
        <f>SUM(C63:C71)</f>
        <v>0</v>
      </c>
      <c r="D73" s="393">
        <f>SUM(D63:D71)</f>
        <v>0</v>
      </c>
      <c r="E73" s="322">
        <f>SUM(E63:E71)</f>
        <v>0</v>
      </c>
      <c r="G73" s="660">
        <f>D74</f>
        <v>0</v>
      </c>
      <c r="H73" s="661" t="str">
        <f>CONCATENATE("",E1-1," Ending Cash Balance (est.)")</f>
        <v>2014 Ending Cash Balance (est.)</v>
      </c>
      <c r="I73" s="662"/>
      <c r="J73" s="697"/>
      <c r="K73" s="610"/>
    </row>
    <row r="74" spans="2:11" ht="15.75">
      <c r="B74" s="80" t="s">
        <v>68</v>
      </c>
      <c r="C74" s="394">
        <f>C61-C73</f>
        <v>0</v>
      </c>
      <c r="D74" s="394">
        <f>D61-D73</f>
        <v>0</v>
      </c>
      <c r="E74" s="315" t="s">
        <v>252</v>
      </c>
      <c r="G74" s="660">
        <f>E60</f>
        <v>0</v>
      </c>
      <c r="H74" s="644" t="str">
        <f>CONCATENATE("",E1," Non-AV Receipts (est.)")</f>
        <v>2015 Non-AV Receipts (est.)</v>
      </c>
      <c r="I74" s="662"/>
      <c r="J74" s="697"/>
      <c r="K74" s="610"/>
    </row>
    <row r="75" spans="2:11" ht="15.75">
      <c r="B75" s="117" t="str">
        <f>CONCATENATE("",$E$1-2,"/",$E$1-1," Budget Authority Amount:")</f>
        <v>2013/2014 Budget Authority Amount:</v>
      </c>
      <c r="C75" s="338">
        <f>inputOth!$B88</f>
        <v>0</v>
      </c>
      <c r="D75" s="83">
        <f>inputPrYr!$D25</f>
        <v>0</v>
      </c>
      <c r="E75" s="315" t="s">
        <v>252</v>
      </c>
      <c r="F75" s="324"/>
      <c r="G75" s="669">
        <f>IF(E79&gt;0,E78,E80)</f>
        <v>0</v>
      </c>
      <c r="H75" s="644" t="str">
        <f>CONCATENATE("",E1," Ad Valorem Tax (est.)")</f>
        <v>2015 Ad Valorem Tax (est.)</v>
      </c>
      <c r="I75" s="662"/>
      <c r="J75" s="697"/>
      <c r="K75" s="670">
        <f>IF(G75=E80,"","Note: Does not include Delinquent Taxes")</f>
      </c>
    </row>
    <row r="76" spans="2:11" ht="15.75">
      <c r="B76" s="117"/>
      <c r="C76" s="822" t="s">
        <v>724</v>
      </c>
      <c r="D76" s="823"/>
      <c r="E76" s="171"/>
      <c r="F76" s="729">
        <f>IF(E73/0.95-E73&lt;E76,"Exceeds 5%","")</f>
      </c>
      <c r="G76" s="699">
        <f>SUM(G73:G75)</f>
        <v>0</v>
      </c>
      <c r="H76" s="644" t="str">
        <f>CONCATENATE("Total ",E1," Resources Available")</f>
        <v>Total 2015 Resources Available</v>
      </c>
      <c r="I76" s="700"/>
      <c r="J76" s="697"/>
      <c r="K76" s="610"/>
    </row>
    <row r="77" spans="2:11" ht="15.75">
      <c r="B77" s="499" t="str">
        <f>CONCATENATE(C87,"     ",D87)</f>
        <v>     </v>
      </c>
      <c r="C77" s="824" t="s">
        <v>725</v>
      </c>
      <c r="D77" s="825"/>
      <c r="E77" s="261">
        <f>E73+E76</f>
        <v>0</v>
      </c>
      <c r="G77" s="701"/>
      <c r="H77" s="702"/>
      <c r="I77" s="643"/>
      <c r="J77" s="697"/>
      <c r="K77" s="610"/>
    </row>
    <row r="78" spans="2:11" ht="15.75">
      <c r="B78" s="499" t="str">
        <f>CONCATENATE(C88,"     ",D88)</f>
        <v>     </v>
      </c>
      <c r="C78" s="502"/>
      <c r="D78" s="501" t="s">
        <v>285</v>
      </c>
      <c r="E78" s="182">
        <f>IF(E77-E61&gt;0,E77-E61,0)</f>
        <v>0</v>
      </c>
      <c r="G78" s="669">
        <f>ROUND(C73*0.05+C73,0)</f>
        <v>0</v>
      </c>
      <c r="H78" s="644" t="str">
        <f>CONCATENATE("Less ",E1-2," Expenditures + 5%")</f>
        <v>Less 2013 Expenditures + 5%</v>
      </c>
      <c r="I78" s="700"/>
      <c r="J78" s="697"/>
      <c r="K78" s="610"/>
    </row>
    <row r="79" spans="2:11" ht="15.75">
      <c r="B79" s="211"/>
      <c r="C79" s="500" t="s">
        <v>726</v>
      </c>
      <c r="D79" s="713">
        <f>inputOth!$E$77</f>
        <v>0</v>
      </c>
      <c r="E79" s="261">
        <f>ROUND(IF(D79&gt;0,(E78*D79),0),0)</f>
        <v>0</v>
      </c>
      <c r="G79" s="677">
        <f>G76-G78</f>
        <v>0</v>
      </c>
      <c r="H79" s="678" t="str">
        <f>CONCATENATE("Projected ",E1+1," carryover (est.)")</f>
        <v>Projected 2016 carryover (est.)</v>
      </c>
      <c r="I79" s="703"/>
      <c r="J79" s="704"/>
      <c r="K79" s="610"/>
    </row>
    <row r="80" spans="2:11" ht="15.75">
      <c r="B80" s="65"/>
      <c r="C80" s="826" t="str">
        <f>CONCATENATE("Amount of  ",$E$1-1," Ad Valorem Tax")</f>
        <v>Amount of  2014 Ad Valorem Tax</v>
      </c>
      <c r="D80" s="827"/>
      <c r="E80" s="182">
        <f>E78+E79</f>
        <v>0</v>
      </c>
      <c r="G80" s="610"/>
      <c r="H80" s="610"/>
      <c r="I80" s="610"/>
      <c r="J80" s="610"/>
      <c r="K80" s="610"/>
    </row>
    <row r="81" spans="2:11" ht="15.75">
      <c r="B81" s="211" t="s">
        <v>266</v>
      </c>
      <c r="C81" s="328"/>
      <c r="D81" s="65"/>
      <c r="E81" s="65"/>
      <c r="G81" s="841" t="s">
        <v>860</v>
      </c>
      <c r="H81" s="842"/>
      <c r="I81" s="842"/>
      <c r="J81" s="843"/>
      <c r="K81" s="610"/>
    </row>
    <row r="82" spans="2:11" ht="15.75">
      <c r="B82" s="113"/>
      <c r="G82" s="684"/>
      <c r="H82" s="661"/>
      <c r="I82" s="685"/>
      <c r="J82" s="686"/>
      <c r="K82" s="610"/>
    </row>
    <row r="83" spans="7:11" ht="15.75">
      <c r="G83" s="687" t="e">
        <f>summ!#REF!</f>
        <v>#REF!</v>
      </c>
      <c r="H83" s="661" t="str">
        <f>CONCATENATE("",E1," Fund Mill Rate")</f>
        <v>2015 Fund Mill Rate</v>
      </c>
      <c r="I83" s="685"/>
      <c r="J83" s="686"/>
      <c r="K83" s="610"/>
    </row>
    <row r="84" spans="7:11" ht="15.75">
      <c r="G84" s="688" t="e">
        <f>summ!#REF!</f>
        <v>#REF!</v>
      </c>
      <c r="H84" s="661" t="str">
        <f>CONCATENATE("",E1-1," Fund Mill Rate")</f>
        <v>2014 Fund Mill Rate</v>
      </c>
      <c r="I84" s="685"/>
      <c r="J84" s="686"/>
      <c r="K84" s="610"/>
    </row>
    <row r="85" spans="3:11" ht="15.75" hidden="1">
      <c r="C85" s="156">
        <f>IF(C33&gt;C35,"See Tab A","")</f>
      </c>
      <c r="D85" s="156">
        <f>IF(D33&gt;D35,"See Tab C","")</f>
      </c>
      <c r="G85" s="690">
        <f>'[1]summ'!I36</f>
        <v>0</v>
      </c>
      <c r="H85" s="661" t="str">
        <f>CONCATENATE("Total ",E1," Mill Rate")</f>
        <v>Total 2015 Mill Rate</v>
      </c>
      <c r="I85" s="685"/>
      <c r="J85" s="686"/>
      <c r="K85" s="610"/>
    </row>
    <row r="86" spans="3:11" ht="15.75" hidden="1">
      <c r="C86" s="156">
        <f>IF(C34&lt;0,"See Tab B","")</f>
      </c>
      <c r="D86" s="156">
        <f>IF(D34&lt;0,"See Tab D","")</f>
      </c>
      <c r="G86" s="688">
        <f>'[1]summ'!F36</f>
        <v>0</v>
      </c>
      <c r="H86" s="691" t="str">
        <f>CONCATENATE("Total ",E1-1," Mill Rate")</f>
        <v>Total 2014 Mill Rate</v>
      </c>
      <c r="I86" s="692"/>
      <c r="J86" s="693"/>
      <c r="K86" s="610"/>
    </row>
    <row r="87" spans="3:4" ht="15.75" hidden="1">
      <c r="C87" s="156">
        <f>IF(C73&gt;C75,"See Tab A","")</f>
      </c>
      <c r="D87" s="156">
        <f>IF(D73&gt;D75,"See Tab C","")</f>
      </c>
    </row>
    <row r="88" spans="3:4" ht="15.75" hidden="1">
      <c r="C88" s="156">
        <f>IF(C74&lt;0,"See Tab B","")</f>
      </c>
      <c r="D88" s="156">
        <f>IF(D74&lt;0,"See Tab D","")</f>
      </c>
    </row>
    <row r="89" spans="7:10" ht="15.75">
      <c r="G89" s="690">
        <f>summ!H22</f>
        <v>17.778</v>
      </c>
      <c r="H89" s="661" t="str">
        <f>CONCATENATE("Total ",E1," Mill Rate")</f>
        <v>Total 2015 Mill Rate</v>
      </c>
      <c r="I89" s="685"/>
      <c r="J89" s="686"/>
    </row>
    <row r="90" spans="7:10" ht="15.75">
      <c r="G90" s="688">
        <f>summ!E22</f>
        <v>17.448</v>
      </c>
      <c r="H90" s="691" t="str">
        <f>CONCATENATE("Total ",E1-1," Mill Rate")</f>
        <v>Total 2014 Mill Rate</v>
      </c>
      <c r="I90" s="692"/>
      <c r="J90" s="693"/>
    </row>
    <row r="92" spans="7:9" ht="15.75">
      <c r="G92" s="740" t="s">
        <v>937</v>
      </c>
      <c r="H92" s="739"/>
      <c r="I92" s="738"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0" customWidth="1"/>
    <col min="2" max="2" width="28.59765625" style="610" customWidth="1"/>
    <col min="3" max="4" width="14.19921875" style="610" customWidth="1"/>
    <col min="5" max="5" width="14.59765625" style="610" customWidth="1"/>
    <col min="6" max="6" width="7.296875" style="610" customWidth="1"/>
    <col min="7" max="7" width="9.19921875" style="610" customWidth="1"/>
    <col min="8" max="8" width="8.796875" style="610" customWidth="1"/>
    <col min="9" max="9" width="4.5" style="610" customWidth="1"/>
    <col min="10" max="10" width="9" style="610" customWidth="1"/>
    <col min="11" max="16384" width="8.796875" style="610" customWidth="1"/>
  </cols>
  <sheetData>
    <row r="1" spans="2:5" ht="15.75">
      <c r="B1" s="607" t="str">
        <f>inputPrYr!D3</f>
        <v>Walnut Township</v>
      </c>
      <c r="C1" s="607"/>
      <c r="D1" s="608"/>
      <c r="E1" s="609">
        <f>inputPrYr!D9</f>
        <v>2015</v>
      </c>
    </row>
    <row r="2" spans="2:5" ht="15.75">
      <c r="B2" s="608"/>
      <c r="C2" s="608"/>
      <c r="D2" s="608"/>
      <c r="E2" s="611"/>
    </row>
    <row r="3" spans="2:5" ht="15.75">
      <c r="B3" s="612" t="s">
        <v>763</v>
      </c>
      <c r="C3" s="612"/>
      <c r="D3" s="613"/>
      <c r="E3" s="614"/>
    </row>
    <row r="4" spans="2:5" ht="15.75">
      <c r="B4" s="615" t="s">
        <v>267</v>
      </c>
      <c r="C4" s="616" t="s">
        <v>855</v>
      </c>
      <c r="D4" s="617" t="s">
        <v>856</v>
      </c>
      <c r="E4" s="618" t="s">
        <v>857</v>
      </c>
    </row>
    <row r="5" spans="2:5" ht="15.75">
      <c r="B5" s="619" t="str">
        <f>inputPrYr!B21</f>
        <v>Debt Service</v>
      </c>
      <c r="C5" s="620" t="str">
        <f>CONCATENATE("Actual for ",$E$1-2,"")</f>
        <v>Actual for 2013</v>
      </c>
      <c r="D5" s="621" t="str">
        <f>CONCATENATE("Estimate for ",$E$1-1,"")</f>
        <v>Estimate for 2014</v>
      </c>
      <c r="E5" s="622" t="str">
        <f>CONCATENATE("Year for ",$E$1,"")</f>
        <v>Year for 2015</v>
      </c>
    </row>
    <row r="6" spans="2:5" ht="15.75">
      <c r="B6" s="623" t="s">
        <v>92</v>
      </c>
      <c r="C6" s="624"/>
      <c r="D6" s="625">
        <f>C34</f>
        <v>0</v>
      </c>
      <c r="E6" s="626">
        <f>D34</f>
        <v>0</v>
      </c>
    </row>
    <row r="7" spans="2:5" ht="15.75">
      <c r="B7" s="623" t="s">
        <v>69</v>
      </c>
      <c r="C7" s="627"/>
      <c r="D7" s="625"/>
      <c r="E7" s="626"/>
    </row>
    <row r="8" spans="2:5" ht="15.75">
      <c r="B8" s="623" t="s">
        <v>273</v>
      </c>
      <c r="C8" s="628"/>
      <c r="D8" s="625">
        <f>IF(inputPrYr!H19&gt;0,inputPrYr!G21,inputPrYr!E21)</f>
        <v>0</v>
      </c>
      <c r="E8" s="629" t="s">
        <v>252</v>
      </c>
    </row>
    <row r="9" spans="2:5" ht="15.75">
      <c r="B9" s="623" t="s">
        <v>274</v>
      </c>
      <c r="C9" s="628"/>
      <c r="D9" s="630"/>
      <c r="E9" s="631"/>
    </row>
    <row r="10" spans="2:5" ht="15.75">
      <c r="B10" s="623" t="s">
        <v>275</v>
      </c>
      <c r="C10" s="628"/>
      <c r="D10" s="630"/>
      <c r="E10" s="626">
        <f>mvalloc!G12</f>
        <v>0</v>
      </c>
    </row>
    <row r="11" spans="2:5" ht="15.75">
      <c r="B11" s="623" t="s">
        <v>276</v>
      </c>
      <c r="C11" s="628"/>
      <c r="D11" s="630"/>
      <c r="E11" s="626">
        <f>mvalloc!I12</f>
        <v>0</v>
      </c>
    </row>
    <row r="12" spans="2:5" ht="15.75">
      <c r="B12" s="632" t="s">
        <v>51</v>
      </c>
      <c r="C12" s="628"/>
      <c r="D12" s="630"/>
      <c r="E12" s="626">
        <f>mvalloc!J12</f>
        <v>0</v>
      </c>
    </row>
    <row r="13" spans="2:5" ht="15.75">
      <c r="B13" s="633"/>
      <c r="C13" s="628"/>
      <c r="D13" s="630"/>
      <c r="E13" s="634"/>
    </row>
    <row r="14" spans="2:5" ht="15.75">
      <c r="B14" s="633"/>
      <c r="C14" s="628"/>
      <c r="D14" s="630"/>
      <c r="E14" s="631"/>
    </row>
    <row r="15" spans="2:5" ht="15.75">
      <c r="B15" s="633"/>
      <c r="C15" s="628"/>
      <c r="D15" s="630"/>
      <c r="E15" s="631"/>
    </row>
    <row r="16" spans="2:5" ht="15.75">
      <c r="B16" s="633"/>
      <c r="C16" s="628"/>
      <c r="D16" s="630"/>
      <c r="E16" s="631"/>
    </row>
    <row r="17" spans="2:5" ht="15.75">
      <c r="B17" s="635" t="s">
        <v>279</v>
      </c>
      <c r="C17" s="628"/>
      <c r="D17" s="630"/>
      <c r="E17" s="631"/>
    </row>
    <row r="18" spans="2:5" ht="15.75">
      <c r="B18" s="623" t="s">
        <v>225</v>
      </c>
      <c r="C18" s="636"/>
      <c r="D18" s="630"/>
      <c r="E18" s="631"/>
    </row>
    <row r="19" spans="2:5" ht="15.75">
      <c r="B19" s="623" t="s">
        <v>858</v>
      </c>
      <c r="C19" s="637">
        <f>IF(C20*0.1&lt;C18,"Exceed 10% Rule","")</f>
      </c>
      <c r="D19" s="637">
        <f>IF(D20*0.1&lt;D18,"Exceeds 10% Rule","")</f>
      </c>
      <c r="E19" s="638">
        <f>IF(E20*0.1&lt;E18,"Exceed 10% Rule","")</f>
      </c>
    </row>
    <row r="20" spans="2:5" ht="15.75">
      <c r="B20" s="639" t="s">
        <v>280</v>
      </c>
      <c r="C20" s="640">
        <f>SUM(C8:C18)</f>
        <v>0</v>
      </c>
      <c r="D20" s="640">
        <f>SUM(D8:D18)</f>
        <v>0</v>
      </c>
      <c r="E20" s="641">
        <f>SUM(E9:E18)</f>
        <v>0</v>
      </c>
    </row>
    <row r="21" spans="2:5" ht="15.75">
      <c r="B21" s="639" t="s">
        <v>281</v>
      </c>
      <c r="C21" s="640">
        <f>C6+C20</f>
        <v>0</v>
      </c>
      <c r="D21" s="640">
        <f>D6+D20</f>
        <v>0</v>
      </c>
      <c r="E21" s="641">
        <f>E6+E20</f>
        <v>0</v>
      </c>
    </row>
    <row r="22" spans="2:5" ht="15.75">
      <c r="B22" s="623" t="s">
        <v>282</v>
      </c>
      <c r="C22" s="623"/>
      <c r="D22" s="625"/>
      <c r="E22" s="626"/>
    </row>
    <row r="23" spans="2:5" ht="15.75">
      <c r="B23" s="633"/>
      <c r="C23" s="628"/>
      <c r="D23" s="630"/>
      <c r="E23" s="631"/>
    </row>
    <row r="24" spans="2:10" ht="15.75">
      <c r="B24" s="633"/>
      <c r="C24" s="628"/>
      <c r="D24" s="630"/>
      <c r="E24" s="631"/>
      <c r="G24" s="836" t="str">
        <f>CONCATENATE("Desired Carryover Into ",E1+1,"")</f>
        <v>Desired Carryover Into 2016</v>
      </c>
      <c r="H24" s="837"/>
      <c r="I24" s="837"/>
      <c r="J24" s="838"/>
    </row>
    <row r="25" spans="2:10" ht="15.75">
      <c r="B25" s="633"/>
      <c r="C25" s="630"/>
      <c r="D25" s="630"/>
      <c r="E25" s="631"/>
      <c r="G25" s="642"/>
      <c r="H25" s="643"/>
      <c r="I25" s="644"/>
      <c r="J25" s="645"/>
    </row>
    <row r="26" spans="2:10" ht="15.75">
      <c r="B26" s="633"/>
      <c r="C26" s="628"/>
      <c r="D26" s="630"/>
      <c r="E26" s="631"/>
      <c r="G26" s="646" t="s">
        <v>730</v>
      </c>
      <c r="H26" s="644"/>
      <c r="I26" s="644"/>
      <c r="J26" s="647">
        <v>0</v>
      </c>
    </row>
    <row r="27" spans="2:10" ht="15.75">
      <c r="B27" s="633"/>
      <c r="C27" s="628"/>
      <c r="D27" s="630"/>
      <c r="E27" s="631"/>
      <c r="G27" s="642" t="s">
        <v>731</v>
      </c>
      <c r="H27" s="643"/>
      <c r="I27" s="643"/>
      <c r="J27" s="648">
        <f>IF(J26=0,"",ROUND((J26+E40-G39)/inputOth!E11*1000,3)-G44)</f>
      </c>
    </row>
    <row r="28" spans="2:10" ht="15.75">
      <c r="B28" s="633"/>
      <c r="C28" s="628"/>
      <c r="D28" s="630"/>
      <c r="E28" s="631"/>
      <c r="G28" s="649" t="str">
        <f>CONCATENATE("",E1," Tot Exp/Non-Appr Must Be:")</f>
        <v>2015 Tot Exp/Non-Appr Must Be:</v>
      </c>
      <c r="H28" s="650"/>
      <c r="I28" s="651"/>
      <c r="J28" s="652">
        <f>IF(J26&gt;0,IF(E37&lt;E21,IF(J26=G39,E37,((J26-G39)*(1-D39))+E21),E37+(J26-G39)),0)</f>
        <v>0</v>
      </c>
    </row>
    <row r="29" spans="2:10" ht="15.75">
      <c r="B29" s="633"/>
      <c r="C29" s="628"/>
      <c r="D29" s="630"/>
      <c r="E29" s="631"/>
      <c r="G29" s="653" t="s">
        <v>859</v>
      </c>
      <c r="H29" s="654"/>
      <c r="I29" s="654"/>
      <c r="J29" s="655">
        <f>IF(J26&gt;0,J28-E37,0)</f>
        <v>0</v>
      </c>
    </row>
    <row r="30" spans="2:5" ht="15.75">
      <c r="B30" s="656" t="s">
        <v>227</v>
      </c>
      <c r="C30" s="628"/>
      <c r="D30" s="630"/>
      <c r="E30" s="626">
        <f>nhood!E7</f>
      </c>
    </row>
    <row r="31" spans="2:10" ht="15.75">
      <c r="B31" s="656" t="s">
        <v>225</v>
      </c>
      <c r="C31" s="636"/>
      <c r="D31" s="630"/>
      <c r="E31" s="631"/>
      <c r="G31" s="836" t="str">
        <f>CONCATENATE("Projected Carryover Into ",E1+1,"")</f>
        <v>Projected Carryover Into 2016</v>
      </c>
      <c r="H31" s="839"/>
      <c r="I31" s="839"/>
      <c r="J31" s="840"/>
    </row>
    <row r="32" spans="2:10" ht="15.75">
      <c r="B32" s="656" t="s">
        <v>727</v>
      </c>
      <c r="C32" s="637">
        <f>IF(C33*0.1&lt;C31,"Exceed 10% Rule","")</f>
      </c>
      <c r="D32" s="637">
        <f>IF(D33*0.1&lt;D31,"Exceed 10% Rule","")</f>
      </c>
      <c r="E32" s="638">
        <f>IF(E33*0.1&lt;E31,"Exceed 10% Rule","")</f>
      </c>
      <c r="G32" s="642"/>
      <c r="H32" s="644"/>
      <c r="I32" s="644"/>
      <c r="J32" s="657"/>
    </row>
    <row r="33" spans="2:10" ht="15.75">
      <c r="B33" s="639" t="s">
        <v>283</v>
      </c>
      <c r="C33" s="658">
        <f>SUM(C23:C31)</f>
        <v>0</v>
      </c>
      <c r="D33" s="658">
        <f>SUM(D23:D31)</f>
        <v>0</v>
      </c>
      <c r="E33" s="659">
        <f>SUM(E23:E31)</f>
        <v>0</v>
      </c>
      <c r="G33" s="660">
        <f>D34</f>
        <v>0</v>
      </c>
      <c r="H33" s="661" t="str">
        <f>CONCATENATE("",E1-1," Ending Cash Balance (est.)")</f>
        <v>2014 Ending Cash Balance (est.)</v>
      </c>
      <c r="I33" s="662"/>
      <c r="J33" s="657"/>
    </row>
    <row r="34" spans="2:10" ht="15.75">
      <c r="B34" s="623" t="s">
        <v>68</v>
      </c>
      <c r="C34" s="663">
        <f>C21-C33</f>
        <v>0</v>
      </c>
      <c r="D34" s="663">
        <f>D21-D33</f>
        <v>0</v>
      </c>
      <c r="E34" s="629" t="s">
        <v>252</v>
      </c>
      <c r="F34" s="664"/>
      <c r="G34" s="660">
        <f>E20</f>
        <v>0</v>
      </c>
      <c r="H34" s="644" t="str">
        <f>CONCATENATE("",E1," Non-AV Receipts (est.)")</f>
        <v>2015 Non-AV Receipts (est.)</v>
      </c>
      <c r="I34" s="662"/>
      <c r="J34" s="657"/>
    </row>
    <row r="35" spans="2:11" ht="15.75">
      <c r="B35" s="665" t="str">
        <f>CONCATENATE("",E1-2,"/",E1-1," Budget Authority Amount:")</f>
        <v>2013/2014 Budget Authority Amount:</v>
      </c>
      <c r="C35" s="666">
        <f>inputOth!B84</f>
        <v>0</v>
      </c>
      <c r="D35" s="667">
        <f>inputPrYr!D21</f>
        <v>0</v>
      </c>
      <c r="E35" s="629" t="s">
        <v>252</v>
      </c>
      <c r="F35" s="668"/>
      <c r="G35" s="669">
        <f>IF(E39&gt;0,E38,E40)</f>
        <v>0</v>
      </c>
      <c r="H35" s="644" t="str">
        <f>CONCATENATE("",E1," Ad Valorem Tax (est.)")</f>
        <v>2015 Ad Valorem Tax (est.)</v>
      </c>
      <c r="I35" s="662"/>
      <c r="J35" s="657"/>
      <c r="K35" s="670">
        <f>IF(G35=E40,"","Note: Does not include Delinquent Taxes")</f>
      </c>
    </row>
    <row r="36" spans="2:10" ht="15.75">
      <c r="B36" s="665"/>
      <c r="C36" s="822" t="s">
        <v>724</v>
      </c>
      <c r="D36" s="823"/>
      <c r="E36" s="631"/>
      <c r="F36" s="671">
        <f>IF(E33/0.95-E33&lt;E36,"Exceeds 5%","")</f>
      </c>
      <c r="G36" s="660">
        <f>SUM(G33:G35)</f>
        <v>0</v>
      </c>
      <c r="H36" s="644" t="str">
        <f>CONCATENATE("Total ",E1," Resources Available")</f>
        <v>Total 2015 Resources Available</v>
      </c>
      <c r="I36" s="662"/>
      <c r="J36" s="657"/>
    </row>
    <row r="37" spans="2:10" ht="15.75">
      <c r="B37" s="672" t="str">
        <f>CONCATENATE(C93,"     ",D93)</f>
        <v>     </v>
      </c>
      <c r="C37" s="824" t="s">
        <v>725</v>
      </c>
      <c r="D37" s="825"/>
      <c r="E37" s="626">
        <f>E33+E36</f>
        <v>0</v>
      </c>
      <c r="F37" s="664"/>
      <c r="G37" s="673"/>
      <c r="H37" s="644"/>
      <c r="I37" s="644"/>
      <c r="J37" s="657"/>
    </row>
    <row r="38" spans="2:10" ht="15.75">
      <c r="B38" s="672" t="str">
        <f>CONCATENATE(C94,"     ",D94)</f>
        <v>     </v>
      </c>
      <c r="C38" s="674"/>
      <c r="D38" s="611" t="s">
        <v>285</v>
      </c>
      <c r="E38" s="675">
        <f>IF(E37-E21&gt;0,E37-E21,0)</f>
        <v>0</v>
      </c>
      <c r="F38" s="664"/>
      <c r="G38" s="669">
        <f>C33</f>
        <v>0</v>
      </c>
      <c r="H38" s="644" t="str">
        <f>CONCATENATE("Less ",E1-2," Expenditures")</f>
        <v>Less 2013 Expenditures</v>
      </c>
      <c r="I38" s="644"/>
      <c r="J38" s="657"/>
    </row>
    <row r="39" spans="2:10" ht="15.75">
      <c r="B39" s="611"/>
      <c r="C39" s="500" t="s">
        <v>726</v>
      </c>
      <c r="D39" s="676">
        <f>inputOth!E77</f>
        <v>0</v>
      </c>
      <c r="E39" s="626">
        <f>ROUND(IF(D39&gt;0,(E38*D39),0),0)</f>
        <v>0</v>
      </c>
      <c r="F39" s="664"/>
      <c r="G39" s="677">
        <f>G36-G38</f>
        <v>0</v>
      </c>
      <c r="H39" s="678" t="str">
        <f>CONCATENATE("Projected ",E1+1," carryover (est.)")</f>
        <v>Projected 2016 carryover (est.)</v>
      </c>
      <c r="I39" s="679"/>
      <c r="J39" s="680"/>
    </row>
    <row r="40" spans="2:6" ht="16.5" thickBot="1">
      <c r="B40" s="608"/>
      <c r="C40" s="920" t="str">
        <f>CONCATENATE("Amount of  ",E1-1," Ad Valorem Tax")</f>
        <v>Amount of  2014 Ad Valorem Tax</v>
      </c>
      <c r="D40" s="921"/>
      <c r="E40" s="682">
        <f>SUM(E38:E39)</f>
        <v>0</v>
      </c>
      <c r="F40" s="664"/>
    </row>
    <row r="41" spans="2:10" ht="16.5" thickTop="1">
      <c r="B41" s="608"/>
      <c r="C41" s="920"/>
      <c r="D41" s="921"/>
      <c r="E41" s="683"/>
      <c r="F41" s="664"/>
      <c r="G41" s="841" t="s">
        <v>860</v>
      </c>
      <c r="H41" s="842"/>
      <c r="I41" s="842"/>
      <c r="J41" s="843"/>
    </row>
    <row r="42" spans="2:10" ht="15.75">
      <c r="B42" s="608"/>
      <c r="C42" s="681"/>
      <c r="D42" s="608"/>
      <c r="E42" s="608"/>
      <c r="F42" s="664"/>
      <c r="G42" s="684"/>
      <c r="H42" s="661"/>
      <c r="I42" s="685"/>
      <c r="J42" s="686"/>
    </row>
    <row r="43" spans="2:10" ht="15.75">
      <c r="B43" s="615"/>
      <c r="C43" s="615"/>
      <c r="D43" s="613"/>
      <c r="E43" s="613"/>
      <c r="F43" s="664"/>
      <c r="G43" s="687" t="e">
        <f>summ!#REF!</f>
        <v>#REF!</v>
      </c>
      <c r="H43" s="661" t="str">
        <f>CONCATENATE("",E1," Fund Mill Rate")</f>
        <v>2015 Fund Mill Rate</v>
      </c>
      <c r="I43" s="685"/>
      <c r="J43" s="686"/>
    </row>
    <row r="44" spans="2:10" ht="15.75">
      <c r="B44" s="615" t="s">
        <v>267</v>
      </c>
      <c r="C44" s="616" t="s">
        <v>855</v>
      </c>
      <c r="D44" s="617" t="s">
        <v>856</v>
      </c>
      <c r="E44" s="618" t="s">
        <v>857</v>
      </c>
      <c r="F44" s="664"/>
      <c r="G44" s="688" t="e">
        <f>summ!#REF!</f>
        <v>#REF!</v>
      </c>
      <c r="H44" s="661" t="str">
        <f>CONCATENATE("",E1-1," Fund Mill Rate")</f>
        <v>2014 Fund Mill Rate</v>
      </c>
      <c r="I44" s="685"/>
      <c r="J44" s="686"/>
    </row>
    <row r="45" spans="2:10" ht="15.75">
      <c r="B45" s="689" t="str">
        <f>inputPrYr!B22</f>
        <v>Library</v>
      </c>
      <c r="C45" s="620" t="str">
        <f>CONCATENATE("Actual for ",$E$1-2,"")</f>
        <v>Actual for 2013</v>
      </c>
      <c r="D45" s="621" t="str">
        <f>CONCATENATE("Estimate for ",$E$1-1,"")</f>
        <v>Estimate for 2014</v>
      </c>
      <c r="E45" s="622" t="str">
        <f>CONCATENATE("Year for ",$E$1,"")</f>
        <v>Year for 2015</v>
      </c>
      <c r="F45" s="664"/>
      <c r="G45" s="690">
        <f>summ!H22</f>
        <v>17.778</v>
      </c>
      <c r="H45" s="661" t="str">
        <f>CONCATENATE("Total ",E1," Mill Rate")</f>
        <v>Total 2015 Mill Rate</v>
      </c>
      <c r="I45" s="685"/>
      <c r="J45" s="686"/>
    </row>
    <row r="46" spans="2:10" ht="15.75">
      <c r="B46" s="623" t="s">
        <v>92</v>
      </c>
      <c r="C46" s="628">
        <v>0</v>
      </c>
      <c r="D46" s="625">
        <f>C74</f>
        <v>0</v>
      </c>
      <c r="E46" s="626">
        <f>D74</f>
        <v>0</v>
      </c>
      <c r="F46" s="664"/>
      <c r="G46" s="688">
        <f>summ!E22</f>
        <v>17.448</v>
      </c>
      <c r="H46" s="691" t="str">
        <f>CONCATENATE("Total ",E1-1," Mill Rate")</f>
        <v>Total 2014 Mill Rate</v>
      </c>
      <c r="I46" s="692"/>
      <c r="J46" s="693"/>
    </row>
    <row r="47" spans="2:6" ht="15.75">
      <c r="B47" s="694" t="s">
        <v>69</v>
      </c>
      <c r="C47" s="623"/>
      <c r="D47" s="625"/>
      <c r="E47" s="626"/>
      <c r="F47" s="664"/>
    </row>
    <row r="48" spans="2:9" ht="15.75">
      <c r="B48" s="623" t="s">
        <v>273</v>
      </c>
      <c r="C48" s="636"/>
      <c r="D48" s="625">
        <f>IF(inputPrYr!H19&gt;0,inputPrYr!G22,inputPrYr!E22)</f>
        <v>0</v>
      </c>
      <c r="E48" s="629" t="s">
        <v>252</v>
      </c>
      <c r="F48" s="664"/>
      <c r="G48" s="740" t="s">
        <v>937</v>
      </c>
      <c r="H48" s="739"/>
      <c r="I48" s="738" t="str">
        <f>cert!E41</f>
        <v>No</v>
      </c>
    </row>
    <row r="49" spans="2:6" ht="15.75">
      <c r="B49" s="623" t="s">
        <v>274</v>
      </c>
      <c r="C49" s="636"/>
      <c r="D49" s="630"/>
      <c r="E49" s="631"/>
      <c r="F49" s="664"/>
    </row>
    <row r="50" spans="2:6" ht="15.75">
      <c r="B50" s="623" t="s">
        <v>275</v>
      </c>
      <c r="C50" s="636"/>
      <c r="D50" s="630"/>
      <c r="E50" s="626">
        <f>mvalloc!G13</f>
        <v>0</v>
      </c>
      <c r="F50" s="664"/>
    </row>
    <row r="51" spans="2:6" ht="15.75">
      <c r="B51" s="623" t="s">
        <v>276</v>
      </c>
      <c r="C51" s="636"/>
      <c r="D51" s="630"/>
      <c r="E51" s="626">
        <f>mvalloc!I13</f>
        <v>0</v>
      </c>
      <c r="F51" s="664"/>
    </row>
    <row r="52" spans="2:5" ht="15.75">
      <c r="B52" s="632" t="s">
        <v>51</v>
      </c>
      <c r="C52" s="636"/>
      <c r="D52" s="630"/>
      <c r="E52" s="626">
        <f>mvalloc!J13</f>
        <v>0</v>
      </c>
    </row>
    <row r="53" spans="2:5" ht="15.75">
      <c r="B53" s="633"/>
      <c r="C53" s="636"/>
      <c r="D53" s="630"/>
      <c r="E53" s="634"/>
    </row>
    <row r="54" spans="2:5" ht="15.75">
      <c r="B54" s="633"/>
      <c r="C54" s="636"/>
      <c r="D54" s="630"/>
      <c r="E54" s="634"/>
    </row>
    <row r="55" spans="2:5" ht="15.75">
      <c r="B55" s="633"/>
      <c r="C55" s="636"/>
      <c r="D55" s="630"/>
      <c r="E55" s="631"/>
    </row>
    <row r="56" spans="2:5" ht="15.75">
      <c r="B56" s="633"/>
      <c r="C56" s="636"/>
      <c r="D56" s="630"/>
      <c r="E56" s="631"/>
    </row>
    <row r="57" spans="2:5" ht="15.75">
      <c r="B57" s="635" t="s">
        <v>279</v>
      </c>
      <c r="C57" s="636"/>
      <c r="D57" s="630"/>
      <c r="E57" s="631"/>
    </row>
    <row r="58" spans="2:5" ht="15.75">
      <c r="B58" s="623" t="s">
        <v>225</v>
      </c>
      <c r="C58" s="636"/>
      <c r="D58" s="636"/>
      <c r="E58" s="695"/>
    </row>
    <row r="59" spans="2:5" ht="15.75">
      <c r="B59" s="623" t="s">
        <v>858</v>
      </c>
      <c r="C59" s="637">
        <f>IF(C60*0.1&lt;C58,"Exceed 10% Rule","")</f>
      </c>
      <c r="D59" s="637">
        <f>IF(D60*0.1&lt;D58,"Exceeds 10% Rule","")</f>
      </c>
      <c r="E59" s="638">
        <f>IF(E60*0.1&lt;E58,"Exceed 10% Rule","")</f>
      </c>
    </row>
    <row r="60" spans="2:5" ht="15.75">
      <c r="B60" s="639" t="s">
        <v>280</v>
      </c>
      <c r="C60" s="658">
        <f>SUM(C48:C58)</f>
        <v>0</v>
      </c>
      <c r="D60" s="658">
        <f>SUM(D48:D58)</f>
        <v>0</v>
      </c>
      <c r="E60" s="659">
        <f>SUM(E49:E58)</f>
        <v>0</v>
      </c>
    </row>
    <row r="61" spans="2:5" ht="15.75">
      <c r="B61" s="639" t="s">
        <v>281</v>
      </c>
      <c r="C61" s="658">
        <f>C46+C60</f>
        <v>0</v>
      </c>
      <c r="D61" s="658">
        <f>D46+D60</f>
        <v>0</v>
      </c>
      <c r="E61" s="659">
        <f>E46+E60</f>
        <v>0</v>
      </c>
    </row>
    <row r="62" spans="2:5" ht="15.75">
      <c r="B62" s="623" t="s">
        <v>282</v>
      </c>
      <c r="C62" s="623"/>
      <c r="D62" s="625"/>
      <c r="E62" s="626"/>
    </row>
    <row r="63" spans="2:5" ht="15.75">
      <c r="B63" s="633"/>
      <c r="C63" s="628"/>
      <c r="D63" s="630"/>
      <c r="E63" s="631"/>
    </row>
    <row r="64" spans="2:10" ht="15.75">
      <c r="B64" s="633"/>
      <c r="C64" s="628"/>
      <c r="D64" s="630"/>
      <c r="E64" s="631"/>
      <c r="G64" s="836" t="str">
        <f>CONCATENATE("Desired Carryover Into ",E1+1,"")</f>
        <v>Desired Carryover Into 2016</v>
      </c>
      <c r="H64" s="837"/>
      <c r="I64" s="837"/>
      <c r="J64" s="838"/>
    </row>
    <row r="65" spans="2:10" ht="15.75">
      <c r="B65" s="633"/>
      <c r="C65" s="628"/>
      <c r="D65" s="630"/>
      <c r="E65" s="631"/>
      <c r="G65" s="642"/>
      <c r="H65" s="643"/>
      <c r="I65" s="644"/>
      <c r="J65" s="645"/>
    </row>
    <row r="66" spans="2:10" ht="15.75">
      <c r="B66" s="633"/>
      <c r="C66" s="628"/>
      <c r="D66" s="630"/>
      <c r="E66" s="631"/>
      <c r="G66" s="646" t="s">
        <v>730</v>
      </c>
      <c r="H66" s="644"/>
      <c r="I66" s="644"/>
      <c r="J66" s="647">
        <v>0</v>
      </c>
    </row>
    <row r="67" spans="2:10" ht="15.75">
      <c r="B67" s="633"/>
      <c r="C67" s="628"/>
      <c r="D67" s="630"/>
      <c r="E67" s="631"/>
      <c r="G67" s="642" t="s">
        <v>731</v>
      </c>
      <c r="H67" s="643"/>
      <c r="I67" s="643"/>
      <c r="J67" s="648">
        <f>IF(J66=0,"",ROUND((J66+E80-G79)/inputOth!E11*1000,3)-G84)</f>
      </c>
    </row>
    <row r="68" spans="2:10" ht="15.75">
      <c r="B68" s="633"/>
      <c r="C68" s="628"/>
      <c r="D68" s="630"/>
      <c r="E68" s="631"/>
      <c r="G68" s="649" t="str">
        <f>CONCATENATE("",E1," Tot Exp/Non-Appr Must Be:")</f>
        <v>2015 Tot Exp/Non-Appr Must Be:</v>
      </c>
      <c r="H68" s="650"/>
      <c r="I68" s="651"/>
      <c r="J68" s="652">
        <f>IF(J66&gt;0,IF(E77&lt;E61,IF(J66=G79,E77,((J66-G79)*(1-D79))+E61),E77+(J66-G79)),0)</f>
        <v>0</v>
      </c>
    </row>
    <row r="69" spans="2:10" ht="15.75">
      <c r="B69" s="633"/>
      <c r="C69" s="628"/>
      <c r="D69" s="630"/>
      <c r="E69" s="631"/>
      <c r="G69" s="653" t="s">
        <v>859</v>
      </c>
      <c r="H69" s="654"/>
      <c r="I69" s="654"/>
      <c r="J69" s="655">
        <f>IF(J66&gt;0,J68-E77,0)</f>
        <v>0</v>
      </c>
    </row>
    <row r="70" spans="2:6" ht="15.75">
      <c r="B70" s="632" t="s">
        <v>227</v>
      </c>
      <c r="C70" s="628"/>
      <c r="D70" s="630"/>
      <c r="E70" s="626">
        <f>nhood!E8</f>
      </c>
      <c r="F70" s="664"/>
    </row>
    <row r="71" spans="2:10" ht="15.75">
      <c r="B71" s="632" t="s">
        <v>225</v>
      </c>
      <c r="C71" s="636"/>
      <c r="D71" s="630"/>
      <c r="E71" s="631"/>
      <c r="F71" s="664"/>
      <c r="G71" s="836" t="str">
        <f>CONCATENATE("Projected Carryover Into ",E1+1,"")</f>
        <v>Projected Carryover Into 2016</v>
      </c>
      <c r="H71" s="844"/>
      <c r="I71" s="844"/>
      <c r="J71" s="840"/>
    </row>
    <row r="72" spans="2:10" ht="15.75">
      <c r="B72" s="632" t="s">
        <v>727</v>
      </c>
      <c r="C72" s="637">
        <f>IF(C73*0.1&lt;C71,"Exceed 10% Rule","")</f>
      </c>
      <c r="D72" s="637">
        <f>IF(D73*0.1&lt;D71,"Exceed 10% Rule","")</f>
      </c>
      <c r="E72" s="638">
        <f>IF(E73*0.1&lt;E71,"Exceed 10% Rule","")</f>
      </c>
      <c r="F72" s="664"/>
      <c r="G72" s="696"/>
      <c r="H72" s="643"/>
      <c r="I72" s="643"/>
      <c r="J72" s="697"/>
    </row>
    <row r="73" spans="2:10" ht="15.75">
      <c r="B73" s="639" t="s">
        <v>283</v>
      </c>
      <c r="C73" s="658">
        <f>SUM(C63:C71)</f>
        <v>0</v>
      </c>
      <c r="D73" s="658">
        <f>SUM(D63:D71)</f>
        <v>0</v>
      </c>
      <c r="E73" s="659">
        <f>SUM(E63:E71)</f>
        <v>0</v>
      </c>
      <c r="F73" s="664"/>
      <c r="G73" s="660">
        <f>D74</f>
        <v>0</v>
      </c>
      <c r="H73" s="661" t="str">
        <f>CONCATENATE("",E1-1," Ending Cash Balance (est.)")</f>
        <v>2014 Ending Cash Balance (est.)</v>
      </c>
      <c r="I73" s="662"/>
      <c r="J73" s="697"/>
    </row>
    <row r="74" spans="2:10" ht="15.75">
      <c r="B74" s="623" t="s">
        <v>68</v>
      </c>
      <c r="C74" s="663">
        <f>C61-C73</f>
        <v>0</v>
      </c>
      <c r="D74" s="663">
        <f>D61-D73</f>
        <v>0</v>
      </c>
      <c r="E74" s="629" t="s">
        <v>252</v>
      </c>
      <c r="F74" s="664"/>
      <c r="G74" s="660">
        <f>E60</f>
        <v>0</v>
      </c>
      <c r="H74" s="644" t="str">
        <f>CONCATENATE("",E1," Non-AV Receipts (est.)")</f>
        <v>2015 Non-AV Receipts (est.)</v>
      </c>
      <c r="I74" s="662"/>
      <c r="J74" s="697"/>
    </row>
    <row r="75" spans="2:11" ht="15.75">
      <c r="B75" s="665" t="str">
        <f>CONCATENATE("",E1-2,"/",E1-1," Budget Authority Amount:")</f>
        <v>2013/2014 Budget Authority Amount:</v>
      </c>
      <c r="C75" s="666">
        <f>inputOth!B85</f>
        <v>0</v>
      </c>
      <c r="D75" s="666">
        <f>inputPrYr!D22</f>
        <v>0</v>
      </c>
      <c r="E75" s="629" t="s">
        <v>252</v>
      </c>
      <c r="F75" s="668"/>
      <c r="G75" s="669">
        <f>IF(E79&gt;0,E78,E80)</f>
        <v>0</v>
      </c>
      <c r="H75" s="644" t="str">
        <f>CONCATENATE("",E1," Ad Valorem Tax (est.)")</f>
        <v>2015 Ad Valorem Tax (est.)</v>
      </c>
      <c r="I75" s="662"/>
      <c r="J75" s="697"/>
      <c r="K75" s="670">
        <f>IF(G75=E80,"","Note: Does not include Delinquent Taxes")</f>
      </c>
    </row>
    <row r="76" spans="2:10" ht="15.75">
      <c r="B76" s="665"/>
      <c r="C76" s="822" t="s">
        <v>724</v>
      </c>
      <c r="D76" s="823"/>
      <c r="E76" s="631"/>
      <c r="F76" s="698">
        <f>IF(E73/0.95-E73&lt;E76,"Exceeds 5%","")</f>
      </c>
      <c r="G76" s="699">
        <f>SUM(G73:G75)</f>
        <v>0</v>
      </c>
      <c r="H76" s="644" t="str">
        <f>CONCATENATE("Total ",E1," Resources Available")</f>
        <v>Total 2015 Resources Available</v>
      </c>
      <c r="I76" s="700"/>
      <c r="J76" s="697"/>
    </row>
    <row r="77" spans="2:10" ht="15.75">
      <c r="B77" s="672" t="str">
        <f>CONCATENATE(C95,"     ",D95)</f>
        <v>     </v>
      </c>
      <c r="C77" s="824" t="s">
        <v>725</v>
      </c>
      <c r="D77" s="825"/>
      <c r="E77" s="626">
        <f>E73+E76</f>
        <v>0</v>
      </c>
      <c r="F77" s="664"/>
      <c r="G77" s="701"/>
      <c r="H77" s="702"/>
      <c r="I77" s="643"/>
      <c r="J77" s="697"/>
    </row>
    <row r="78" spans="2:10" ht="15.75">
      <c r="B78" s="672" t="str">
        <f>CONCATENATE(C96,"     ",D96)</f>
        <v>     </v>
      </c>
      <c r="C78" s="674"/>
      <c r="D78" s="611" t="s">
        <v>285</v>
      </c>
      <c r="E78" s="675">
        <f>IF(E77-E61&gt;0,E77-E61,0)</f>
        <v>0</v>
      </c>
      <c r="F78" s="664"/>
      <c r="G78" s="669">
        <f>ROUND(C73*0.05+C73,0)</f>
        <v>0</v>
      </c>
      <c r="H78" s="644" t="str">
        <f>CONCATENATE("Less ",E1-2," Expenditures + 5%")</f>
        <v>Less 2013 Expenditures + 5%</v>
      </c>
      <c r="I78" s="700"/>
      <c r="J78" s="697"/>
    </row>
    <row r="79" spans="2:10" ht="15.75">
      <c r="B79" s="611"/>
      <c r="C79" s="500" t="s">
        <v>726</v>
      </c>
      <c r="D79" s="676">
        <f>inputOth!E77</f>
        <v>0</v>
      </c>
      <c r="E79" s="626">
        <f>ROUND(IF(E78&gt;0,(E78*D79),0),0)</f>
        <v>0</v>
      </c>
      <c r="F79" s="664"/>
      <c r="G79" s="677">
        <f>G76-G78</f>
        <v>0</v>
      </c>
      <c r="H79" s="678" t="str">
        <f>CONCATENATE("Projected ",E1+1," carryover (est.)")</f>
        <v>Projected 2016 carryover (est.)</v>
      </c>
      <c r="I79" s="703"/>
      <c r="J79" s="704"/>
    </row>
    <row r="80" spans="2:6" ht="16.5" thickBot="1">
      <c r="B80" s="608"/>
      <c r="C80" s="920" t="str">
        <f>CONCATENATE("Amount of  ",E1-1," Ad Valorem Tax")</f>
        <v>Amount of  2014 Ad Valorem Tax</v>
      </c>
      <c r="D80" s="921"/>
      <c r="E80" s="682">
        <f>E78+E79</f>
        <v>0</v>
      </c>
      <c r="F80" s="705" t="e">
        <f>IF('[1]Library Grant'!F33="","",IF('[1]Library Grant'!F33="Qualify","Qualifies for State Library Grant","See 'Library Grant' tab"))</f>
        <v>#VALUE!</v>
      </c>
    </row>
    <row r="81" spans="2:10" ht="16.5" thickTop="1">
      <c r="B81" s="611"/>
      <c r="C81" s="920"/>
      <c r="D81" s="921"/>
      <c r="E81" s="683"/>
      <c r="F81" s="664"/>
      <c r="G81" s="841" t="s">
        <v>860</v>
      </c>
      <c r="H81" s="842"/>
      <c r="I81" s="842"/>
      <c r="J81" s="843"/>
    </row>
    <row r="82" spans="2:10" ht="15.75">
      <c r="B82" s="611"/>
      <c r="C82" s="611"/>
      <c r="D82" s="611"/>
      <c r="E82" s="611"/>
      <c r="G82" s="684"/>
      <c r="H82" s="661"/>
      <c r="I82" s="685"/>
      <c r="J82" s="686"/>
    </row>
    <row r="83" spans="2:10" ht="15.75">
      <c r="B83" s="611" t="s">
        <v>266</v>
      </c>
      <c r="C83" s="706"/>
      <c r="D83" s="611"/>
      <c r="E83" s="611"/>
      <c r="F83" s="664"/>
      <c r="G83" s="687" t="e">
        <f>summ!#REF!</f>
        <v>#REF!</v>
      </c>
      <c r="H83" s="661" t="str">
        <f>CONCATENATE("",E1," Fund Mill Rate")</f>
        <v>2015 Fund Mill Rate</v>
      </c>
      <c r="I83" s="685"/>
      <c r="J83" s="686"/>
    </row>
    <row r="84" spans="7:10" ht="15.75">
      <c r="G84" s="688" t="e">
        <f>summ!#REF!</f>
        <v>#REF!</v>
      </c>
      <c r="H84" s="661" t="str">
        <f>CONCATENATE("",E1-1," Fund Mill Rate")</f>
        <v>2014 Fund Mill Rate</v>
      </c>
      <c r="I84" s="685"/>
      <c r="J84" s="686"/>
    </row>
    <row r="85" spans="7:10" ht="15.75">
      <c r="G85" s="690">
        <f>summ!H22</f>
        <v>17.778</v>
      </c>
      <c r="H85" s="661" t="str">
        <f>CONCATENATE("Total ",E1," Mill Rate")</f>
        <v>Total 2015 Mill Rate</v>
      </c>
      <c r="I85" s="685"/>
      <c r="J85" s="686"/>
    </row>
    <row r="86" spans="7:10" ht="15.75">
      <c r="G86" s="688">
        <f>summ!E22</f>
        <v>17.448</v>
      </c>
      <c r="H86" s="691" t="str">
        <f>CONCATENATE("Total ",E1-1," Mill Rate")</f>
        <v>Total 2014 Mill Rate</v>
      </c>
      <c r="I86" s="692"/>
      <c r="J86" s="693"/>
    </row>
    <row r="87" spans="7:10" ht="15.75">
      <c r="G87" s="707"/>
      <c r="H87" s="707"/>
      <c r="I87" s="707"/>
      <c r="J87" s="707"/>
    </row>
    <row r="88" spans="3:9" ht="15.75">
      <c r="C88" s="708" t="s">
        <v>861</v>
      </c>
      <c r="D88" s="708" t="s">
        <v>861</v>
      </c>
      <c r="G88" s="740" t="s">
        <v>937</v>
      </c>
      <c r="H88" s="739"/>
      <c r="I88" s="738" t="str">
        <f>cert!E41</f>
        <v>No</v>
      </c>
    </row>
    <row r="89" spans="3:4" ht="15.75">
      <c r="C89" s="708" t="s">
        <v>861</v>
      </c>
      <c r="D89" s="708" t="s">
        <v>861</v>
      </c>
    </row>
    <row r="91" spans="3:4" ht="15.75">
      <c r="C91" s="708" t="s">
        <v>861</v>
      </c>
      <c r="D91" s="708" t="s">
        <v>861</v>
      </c>
    </row>
    <row r="92" spans="3:4" ht="15.75">
      <c r="C92" s="708" t="s">
        <v>861</v>
      </c>
      <c r="D92" s="708" t="s">
        <v>861</v>
      </c>
    </row>
    <row r="93" spans="3:4" ht="15.75" hidden="1">
      <c r="C93" s="709">
        <f>IF(C33&gt;C35,"See Tab A","")</f>
      </c>
      <c r="D93" s="709">
        <f>IF(D33&gt;D35,"See Tab C","")</f>
      </c>
    </row>
    <row r="94" spans="3:4" ht="15.75" hidden="1">
      <c r="C94" s="709">
        <f>IF(C34&lt;0,"See Tab B","")</f>
      </c>
      <c r="D94" s="709">
        <f>IF(D34&lt;0,"See Tab D","")</f>
      </c>
    </row>
    <row r="95" spans="3:4" ht="15.75" hidden="1">
      <c r="C95" s="710">
        <f>IF(C73&gt;C75,"See Tab A","")</f>
      </c>
      <c r="D95" s="710">
        <f>IF(D73&gt;D75,"See Tab C","")</f>
      </c>
    </row>
    <row r="96" spans="3:4" ht="15.75" hidden="1">
      <c r="C96" s="710">
        <f>IF(C74&lt;0,"See Tab B","")</f>
      </c>
      <c r="D96" s="710">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Walnut Township</v>
      </c>
      <c r="C1" s="65"/>
      <c r="D1" s="65"/>
      <c r="E1" s="225">
        <f>inputPrYr!D9</f>
        <v>2015</v>
      </c>
    </row>
    <row r="2" spans="2:5" ht="15.75">
      <c r="B2" s="540" t="s">
        <v>763</v>
      </c>
      <c r="C2" s="65"/>
      <c r="D2" s="208"/>
      <c r="E2" s="67"/>
    </row>
    <row r="3" spans="2:5" ht="15.75">
      <c r="B3" s="65"/>
      <c r="C3" s="70"/>
      <c r="D3" s="70"/>
      <c r="E3" s="70"/>
    </row>
    <row r="4" spans="2:5" ht="15.75">
      <c r="B4" s="72" t="s">
        <v>267</v>
      </c>
      <c r="C4" s="388" t="s">
        <v>268</v>
      </c>
      <c r="D4" s="391" t="s">
        <v>269</v>
      </c>
      <c r="E4" s="74" t="s">
        <v>270</v>
      </c>
    </row>
    <row r="5" spans="2:5" ht="15.75">
      <c r="B5" s="484">
        <f>inputPrYr!B28</f>
        <v>0</v>
      </c>
      <c r="C5" s="389" t="str">
        <f>gen!C5</f>
        <v>Actual for 2013</v>
      </c>
      <c r="D5" s="389" t="str">
        <f>gen!D5</f>
        <v>Estimate for 2014</v>
      </c>
      <c r="E5" s="79" t="str">
        <f>gen!E5</f>
        <v>Year for 2015</v>
      </c>
    </row>
    <row r="6" spans="2:5" ht="15.75">
      <c r="B6" s="80" t="s">
        <v>67</v>
      </c>
      <c r="C6" s="313"/>
      <c r="D6" s="390">
        <f>C34</f>
        <v>0</v>
      </c>
      <c r="E6" s="261">
        <f>D34</f>
        <v>0</v>
      </c>
    </row>
    <row r="7" spans="2:5" ht="15.75">
      <c r="B7" s="80" t="s">
        <v>69</v>
      </c>
      <c r="C7" s="390"/>
      <c r="D7" s="390"/>
      <c r="E7" s="315"/>
    </row>
    <row r="8" spans="2:5" ht="15.75">
      <c r="B8" s="80" t="s">
        <v>273</v>
      </c>
      <c r="C8" s="313"/>
      <c r="D8" s="390">
        <f>IF(inputPrYr!H19&gt;0,inputPrYr!G28,inputPrYr!E28)</f>
        <v>0</v>
      </c>
      <c r="E8" s="315" t="s">
        <v>252</v>
      </c>
    </row>
    <row r="9" spans="2:5" ht="15.75">
      <c r="B9" s="80" t="s">
        <v>274</v>
      </c>
      <c r="C9" s="313"/>
      <c r="D9" s="313"/>
      <c r="E9" s="171"/>
    </row>
    <row r="10" spans="2:5" ht="15.75">
      <c r="B10" s="80" t="s">
        <v>275</v>
      </c>
      <c r="C10" s="313"/>
      <c r="D10" s="313"/>
      <c r="E10" s="261">
        <f>mvalloc!G19</f>
        <v>0</v>
      </c>
    </row>
    <row r="11" spans="2:5" ht="15.75">
      <c r="B11" s="80" t="s">
        <v>276</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279</v>
      </c>
      <c r="C17" s="313"/>
      <c r="D17" s="313"/>
      <c r="E17" s="171"/>
    </row>
    <row r="18" spans="2:5" ht="15.75">
      <c r="B18" s="319" t="s">
        <v>225</v>
      </c>
      <c r="C18" s="313"/>
      <c r="D18" s="313"/>
      <c r="E18" s="171"/>
    </row>
    <row r="19" spans="2:5" ht="15.75">
      <c r="B19" s="319" t="s">
        <v>226</v>
      </c>
      <c r="C19" s="392">
        <f>IF(C20*0.1&lt;C18,"Exceed 10% Rule","")</f>
      </c>
      <c r="D19" s="392">
        <f>IF(D20*0.1&lt;D18,"Exceed 10% Rule","")</f>
      </c>
      <c r="E19" s="323">
        <f>IF(E20*0.1+E40&lt;E18,"Exceed 10% Rule","")</f>
      </c>
    </row>
    <row r="20" spans="2:5" ht="15.75">
      <c r="B20" s="321" t="s">
        <v>280</v>
      </c>
      <c r="C20" s="393">
        <f>SUM(C8:C18)</f>
        <v>0</v>
      </c>
      <c r="D20" s="393">
        <f>SUM(D8:D18)</f>
        <v>0</v>
      </c>
      <c r="E20" s="322">
        <f>SUM(E8:E18)</f>
        <v>0</v>
      </c>
    </row>
    <row r="21" spans="2:5" ht="15.75">
      <c r="B21" s="98" t="s">
        <v>281</v>
      </c>
      <c r="C21" s="393">
        <f>C20+C6</f>
        <v>0</v>
      </c>
      <c r="D21" s="393">
        <f>D20+D6</f>
        <v>0</v>
      </c>
      <c r="E21" s="322">
        <f>E20+E6</f>
        <v>0</v>
      </c>
    </row>
    <row r="22" spans="2:5" ht="15.75">
      <c r="B22" s="80" t="s">
        <v>282</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730</v>
      </c>
      <c r="H26" s="644"/>
      <c r="I26" s="644"/>
      <c r="J26" s="647">
        <v>0</v>
      </c>
      <c r="K26" s="610"/>
    </row>
    <row r="27" spans="2:11" ht="15.75">
      <c r="B27" s="313"/>
      <c r="C27" s="313"/>
      <c r="D27" s="313"/>
      <c r="E27" s="171"/>
      <c r="G27" s="642" t="s">
        <v>731</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859</v>
      </c>
      <c r="H29" s="654"/>
      <c r="I29" s="654"/>
      <c r="J29" s="655">
        <f>IF(J26&gt;0,J28-E37,0)</f>
        <v>0</v>
      </c>
      <c r="K29" s="610"/>
    </row>
    <row r="30" spans="2:11" ht="15.75">
      <c r="B30" s="316" t="s">
        <v>227</v>
      </c>
      <c r="C30" s="313"/>
      <c r="D30" s="313"/>
      <c r="E30" s="182">
        <f>nhood!E14</f>
      </c>
      <c r="G30" s="610"/>
      <c r="H30" s="610"/>
      <c r="I30" s="610"/>
      <c r="J30" s="610"/>
      <c r="K30" s="610"/>
    </row>
    <row r="31" spans="2:11" ht="15.75">
      <c r="B31" s="316" t="s">
        <v>225</v>
      </c>
      <c r="C31" s="313"/>
      <c r="D31" s="313"/>
      <c r="E31" s="171"/>
      <c r="G31" s="836" t="str">
        <f>CONCATENATE("Projected Carryover Into ",E1+1,"")</f>
        <v>Projected Carryover Into 2016</v>
      </c>
      <c r="H31" s="839"/>
      <c r="I31" s="839"/>
      <c r="J31" s="840"/>
      <c r="K31" s="610"/>
    </row>
    <row r="32" spans="2:11" ht="15.75">
      <c r="B32" s="316" t="s">
        <v>727</v>
      </c>
      <c r="C32" s="392">
        <f>IF(C33*0.1&lt;C31,"Exceed 10% Rule","")</f>
      </c>
      <c r="D32" s="392">
        <f>IF(D33*0.1&lt;D31,"Exceed 10% Rule","")</f>
      </c>
      <c r="E32" s="323">
        <f>IF(E33*0.1&lt;E31,"Exceed 10% Rule","")</f>
      </c>
      <c r="G32" s="642"/>
      <c r="H32" s="644"/>
      <c r="I32" s="644"/>
      <c r="J32" s="657"/>
      <c r="K32" s="610"/>
    </row>
    <row r="33" spans="2:11" ht="15.75">
      <c r="B33" s="98" t="s">
        <v>283</v>
      </c>
      <c r="C33" s="393">
        <f>SUM(C23:C31)</f>
        <v>0</v>
      </c>
      <c r="D33" s="393">
        <f>SUM(D23:D31)</f>
        <v>0</v>
      </c>
      <c r="E33" s="322">
        <f>SUM(E23:E31)</f>
        <v>0</v>
      </c>
      <c r="G33" s="660">
        <f>D34</f>
        <v>0</v>
      </c>
      <c r="H33" s="661" t="str">
        <f>CONCATENATE("",E1-1," Ending Cash Balance (est.)")</f>
        <v>2014 Ending Cash Balance (est.)</v>
      </c>
      <c r="I33" s="662"/>
      <c r="J33" s="657"/>
      <c r="K33" s="610"/>
    </row>
    <row r="34" spans="2:11" ht="15.75">
      <c r="B34" s="80" t="s">
        <v>68</v>
      </c>
      <c r="C34" s="394">
        <f>C21-C33</f>
        <v>0</v>
      </c>
      <c r="D34" s="394">
        <f>D21-D33</f>
        <v>0</v>
      </c>
      <c r="E34" s="315" t="s">
        <v>252</v>
      </c>
      <c r="G34" s="660">
        <f>E20</f>
        <v>0</v>
      </c>
      <c r="H34" s="644" t="str">
        <f>CONCATENATE("",E1," Non-AV Receipts (est.)")</f>
        <v>2015 Non-AV Receipts (est.)</v>
      </c>
      <c r="I34" s="662"/>
      <c r="J34" s="657"/>
      <c r="K34" s="610"/>
    </row>
    <row r="35" spans="2:11" ht="15.75">
      <c r="B35" s="117" t="str">
        <f>CONCATENATE("",$E$1-2,"/",$E$1-1," Budget Authority Amount:")</f>
        <v>2013/2014 Budget Authority Amount:</v>
      </c>
      <c r="C35" s="338">
        <f>inputOth!$B91</f>
        <v>0</v>
      </c>
      <c r="D35" s="83">
        <f>inputPrYr!$D28</f>
        <v>0</v>
      </c>
      <c r="E35" s="315" t="s">
        <v>252</v>
      </c>
      <c r="F35" s="324"/>
      <c r="G35" s="669">
        <f>IF(E39&gt;0,E38,E40)</f>
        <v>0</v>
      </c>
      <c r="H35" s="644" t="str">
        <f>CONCATENATE("",E1," Ad Valorem Tax (est.)")</f>
        <v>2015 Ad Valorem Tax (est.)</v>
      </c>
      <c r="I35" s="662"/>
      <c r="J35" s="657"/>
      <c r="K35" s="670">
        <f>IF(G35=E40,"","Note: Does not include Delinquent Taxes")</f>
      </c>
    </row>
    <row r="36" spans="2:11" ht="15.75">
      <c r="B36" s="117"/>
      <c r="C36" s="822" t="s">
        <v>724</v>
      </c>
      <c r="D36" s="823"/>
      <c r="E36" s="171"/>
      <c r="F36" s="729">
        <f>IF(E33/0.95-E33&lt;E36,"Exceeds 5%","")</f>
      </c>
      <c r="G36" s="660">
        <f>SUM(G33:G35)</f>
        <v>0</v>
      </c>
      <c r="H36" s="644" t="str">
        <f>CONCATENATE("Total ",E1," Resources Available")</f>
        <v>Total 2015 Resources Available</v>
      </c>
      <c r="I36" s="662"/>
      <c r="J36" s="657"/>
      <c r="K36" s="610"/>
    </row>
    <row r="37" spans="2:11" ht="15.75">
      <c r="B37" s="499" t="str">
        <f>CONCATENATE(C85,"     ",D85)</f>
        <v>     </v>
      </c>
      <c r="C37" s="824" t="s">
        <v>725</v>
      </c>
      <c r="D37" s="825"/>
      <c r="E37" s="261">
        <f>E33+E36</f>
        <v>0</v>
      </c>
      <c r="G37" s="673"/>
      <c r="H37" s="644"/>
      <c r="I37" s="644"/>
      <c r="J37" s="657"/>
      <c r="K37" s="610"/>
    </row>
    <row r="38" spans="2:11" ht="15.75">
      <c r="B38" s="499" t="str">
        <f>CONCATENATE(C86,"     ",D86)</f>
        <v>     </v>
      </c>
      <c r="C38" s="502"/>
      <c r="D38" s="501" t="s">
        <v>285</v>
      </c>
      <c r="E38" s="182">
        <f>IF(E37-E21&gt;0,E37-E21,0)</f>
        <v>0</v>
      </c>
      <c r="G38" s="669">
        <f>C33*0.05+C33</f>
        <v>0</v>
      </c>
      <c r="H38" s="644" t="str">
        <f>CONCATENATE("Less ",E1-2," Expenditures + 5%")</f>
        <v>Less 2013 Expenditures + 5%</v>
      </c>
      <c r="I38" s="644"/>
      <c r="J38" s="657"/>
      <c r="K38" s="610"/>
    </row>
    <row r="39" spans="2:11" ht="15.75">
      <c r="B39" s="211"/>
      <c r="C39" s="500" t="s">
        <v>726</v>
      </c>
      <c r="D39" s="713">
        <f>inputOth!$E$77</f>
        <v>0</v>
      </c>
      <c r="E39" s="261">
        <f>ROUND(IF(D39&gt;0,(E38*D39),0),0)</f>
        <v>0</v>
      </c>
      <c r="G39" s="677">
        <f>G36-G38</f>
        <v>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0</v>
      </c>
      <c r="G40" s="610"/>
      <c r="H40" s="610"/>
      <c r="I40" s="610"/>
      <c r="J40" s="610"/>
      <c r="K40" s="610"/>
    </row>
    <row r="41" spans="2:11" ht="15.75">
      <c r="B41" s="65"/>
      <c r="C41" s="556"/>
      <c r="D41" s="65"/>
      <c r="E41" s="65"/>
      <c r="G41" s="841" t="s">
        <v>860</v>
      </c>
      <c r="H41" s="842"/>
      <c r="I41" s="842"/>
      <c r="J41" s="843"/>
      <c r="K41" s="610"/>
    </row>
    <row r="42" spans="2:11" ht="15.75">
      <c r="B42" s="65"/>
      <c r="C42" s="556"/>
      <c r="D42" s="65"/>
      <c r="E42" s="65"/>
      <c r="G42" s="684"/>
      <c r="H42" s="661"/>
      <c r="I42" s="685"/>
      <c r="J42" s="686"/>
      <c r="K42" s="610"/>
    </row>
    <row r="43" spans="2:11" ht="15.75">
      <c r="B43" s="72" t="s">
        <v>267</v>
      </c>
      <c r="C43" s="70"/>
      <c r="D43" s="70"/>
      <c r="E43" s="70"/>
      <c r="G43" s="687" t="e">
        <f>summ!#REF!</f>
        <v>#REF!</v>
      </c>
      <c r="H43" s="661" t="str">
        <f>CONCATENATE("",E1," Fund Mill Rate")</f>
        <v>2015 Fund Mill Rate</v>
      </c>
      <c r="I43" s="685"/>
      <c r="J43" s="686"/>
      <c r="K43" s="610"/>
    </row>
    <row r="44" spans="2:11" ht="15.75">
      <c r="B44" s="65"/>
      <c r="C44" s="388" t="s">
        <v>268</v>
      </c>
      <c r="D44" s="391" t="s">
        <v>269</v>
      </c>
      <c r="E44" s="74" t="s">
        <v>270</v>
      </c>
      <c r="G44" s="688" t="e">
        <f>summ!#REF!</f>
        <v>#REF!</v>
      </c>
      <c r="H44" s="661" t="str">
        <f>CONCATENATE("",E1-1," Fund Mill Rate")</f>
        <v>2014 Fund Mill Rate</v>
      </c>
      <c r="I44" s="685"/>
      <c r="J44" s="686"/>
      <c r="K44" s="610"/>
    </row>
    <row r="45" spans="2:11" ht="15.75">
      <c r="B45" s="485">
        <f>inputPrYr!B29</f>
        <v>0</v>
      </c>
      <c r="C45" s="389" t="str">
        <f>C5</f>
        <v>Actual for 2013</v>
      </c>
      <c r="D45" s="389" t="str">
        <f>D5</f>
        <v>Estimate for 2014</v>
      </c>
      <c r="E45" s="79" t="str">
        <f>E5</f>
        <v>Year for 2015</v>
      </c>
      <c r="G45" s="690">
        <f>summ!H22</f>
        <v>17.778</v>
      </c>
      <c r="H45" s="661" t="str">
        <f>CONCATENATE("Total ",E1," Mill Rate")</f>
        <v>Total 2015 Mill Rate</v>
      </c>
      <c r="I45" s="685"/>
      <c r="J45" s="686"/>
      <c r="K45" s="610"/>
    </row>
    <row r="46" spans="2:11" ht="15.75">
      <c r="B46" s="80" t="s">
        <v>67</v>
      </c>
      <c r="C46" s="313"/>
      <c r="D46" s="390">
        <f>C74</f>
        <v>0</v>
      </c>
      <c r="E46" s="261">
        <f>D74</f>
        <v>0</v>
      </c>
      <c r="G46" s="688">
        <f>summ!E22</f>
        <v>17.448</v>
      </c>
      <c r="H46" s="691" t="str">
        <f>CONCATENATE("Total ",E1-1," Mill Rate")</f>
        <v>Total 2014 Mill Rate</v>
      </c>
      <c r="I46" s="692"/>
      <c r="J46" s="693"/>
      <c r="K46" s="610"/>
    </row>
    <row r="47" spans="2:11" ht="15.75">
      <c r="B47" s="80" t="s">
        <v>69</v>
      </c>
      <c r="C47" s="390"/>
      <c r="D47" s="390"/>
      <c r="E47" s="315"/>
      <c r="G47" s="610"/>
      <c r="H47" s="610"/>
      <c r="I47" s="610"/>
      <c r="J47" s="610"/>
      <c r="K47" s="610"/>
    </row>
    <row r="48" spans="2:11" ht="15.75">
      <c r="B48" s="80" t="s">
        <v>273</v>
      </c>
      <c r="C48" s="313"/>
      <c r="D48" s="390">
        <f>IF(inputPrYr!H19&gt;0,inputPrYr!G29,inputPrYr!E29)</f>
        <v>0</v>
      </c>
      <c r="E48" s="315" t="s">
        <v>252</v>
      </c>
      <c r="G48" s="740" t="s">
        <v>937</v>
      </c>
      <c r="H48" s="739"/>
      <c r="I48" s="738" t="str">
        <f>cert!E41</f>
        <v>No</v>
      </c>
      <c r="J48" s="610"/>
      <c r="K48" s="610"/>
    </row>
    <row r="49" spans="2:11" ht="15.75">
      <c r="B49" s="80" t="s">
        <v>274</v>
      </c>
      <c r="C49" s="313"/>
      <c r="D49" s="313"/>
      <c r="E49" s="171"/>
      <c r="G49" s="610"/>
      <c r="H49" s="610"/>
      <c r="I49" s="610"/>
      <c r="J49" s="610"/>
      <c r="K49" s="610"/>
    </row>
    <row r="50" spans="2:11" ht="15.75">
      <c r="B50" s="80" t="s">
        <v>275</v>
      </c>
      <c r="C50" s="313"/>
      <c r="D50" s="313"/>
      <c r="E50" s="261">
        <f>mvalloc!G20</f>
        <v>0</v>
      </c>
      <c r="G50" s="610"/>
      <c r="H50" s="610"/>
      <c r="I50" s="610"/>
      <c r="J50" s="610"/>
      <c r="K50" s="610"/>
    </row>
    <row r="51" spans="2:11" ht="15.75">
      <c r="B51" s="80" t="s">
        <v>276</v>
      </c>
      <c r="C51" s="313"/>
      <c r="D51" s="313"/>
      <c r="E51" s="261">
        <f>mvalloc!I20</f>
        <v>0</v>
      </c>
      <c r="G51" s="610"/>
      <c r="H51" s="610"/>
      <c r="I51" s="610"/>
      <c r="J51" s="610"/>
      <c r="K51" s="610"/>
    </row>
    <row r="52" spans="2:11" ht="15.75">
      <c r="B52" s="80" t="s">
        <v>51</v>
      </c>
      <c r="C52" s="313"/>
      <c r="D52" s="313"/>
      <c r="E52" s="261">
        <f>mvalloc!J20</f>
        <v>0</v>
      </c>
      <c r="G52" s="610"/>
      <c r="H52" s="610"/>
      <c r="I52" s="610"/>
      <c r="J52" s="610"/>
      <c r="K52" s="610"/>
    </row>
    <row r="53" spans="2:11" ht="15.75">
      <c r="B53" s="317"/>
      <c r="C53" s="313"/>
      <c r="D53" s="313"/>
      <c r="E53" s="171"/>
      <c r="G53" s="610"/>
      <c r="H53" s="610"/>
      <c r="I53" s="610"/>
      <c r="J53" s="610"/>
      <c r="K53" s="610"/>
    </row>
    <row r="54" spans="2:11" ht="15.75">
      <c r="B54" s="317"/>
      <c r="C54" s="313"/>
      <c r="D54" s="313"/>
      <c r="E54" s="171"/>
      <c r="G54" s="610"/>
      <c r="H54" s="610"/>
      <c r="I54" s="610"/>
      <c r="J54" s="610"/>
      <c r="K54" s="610"/>
    </row>
    <row r="55" spans="2:11" ht="15.75">
      <c r="B55" s="317"/>
      <c r="C55" s="313"/>
      <c r="D55" s="313"/>
      <c r="E55" s="171"/>
      <c r="G55" s="610"/>
      <c r="H55" s="610"/>
      <c r="I55" s="610"/>
      <c r="J55" s="610"/>
      <c r="K55" s="610"/>
    </row>
    <row r="56" spans="2:11" ht="15.75">
      <c r="B56" s="318"/>
      <c r="C56" s="313"/>
      <c r="D56" s="313"/>
      <c r="E56" s="171"/>
      <c r="G56" s="610"/>
      <c r="H56" s="610"/>
      <c r="I56" s="610"/>
      <c r="J56" s="610"/>
      <c r="K56" s="610"/>
    </row>
    <row r="57" spans="2:11" ht="15.75">
      <c r="B57" s="318" t="s">
        <v>279</v>
      </c>
      <c r="C57" s="313"/>
      <c r="D57" s="313"/>
      <c r="E57" s="171"/>
      <c r="G57" s="610"/>
      <c r="H57" s="610"/>
      <c r="I57" s="610"/>
      <c r="J57" s="610"/>
      <c r="K57" s="610"/>
    </row>
    <row r="58" spans="2:11" ht="15.75">
      <c r="B58" s="319" t="s">
        <v>225</v>
      </c>
      <c r="C58" s="313"/>
      <c r="D58" s="313"/>
      <c r="E58" s="171"/>
      <c r="G58" s="610"/>
      <c r="H58" s="610"/>
      <c r="I58" s="610"/>
      <c r="J58" s="610"/>
      <c r="K58" s="610"/>
    </row>
    <row r="59" spans="2:11" ht="15.75">
      <c r="B59" s="319" t="s">
        <v>226</v>
      </c>
      <c r="C59" s="392">
        <f>IF(C60*0.1&lt;C58,"Exceed 10% Rule","")</f>
      </c>
      <c r="D59" s="392">
        <f>IF(D60*0.1&lt;D58,"Exceed 10% Rule","")</f>
      </c>
      <c r="E59" s="323">
        <f>IF(E60*0.1+E80&lt;E58,"Exceed 10% Rule","")</f>
      </c>
      <c r="G59" s="610"/>
      <c r="H59" s="610"/>
      <c r="I59" s="610"/>
      <c r="J59" s="610"/>
      <c r="K59" s="610"/>
    </row>
    <row r="60" spans="2:11" ht="15.75">
      <c r="B60" s="321" t="s">
        <v>280</v>
      </c>
      <c r="C60" s="393">
        <f>SUM(C48:C58)</f>
        <v>0</v>
      </c>
      <c r="D60" s="393">
        <f>SUM(D48:D58)</f>
        <v>0</v>
      </c>
      <c r="E60" s="322">
        <f>SUM(E48:E58)</f>
        <v>0</v>
      </c>
      <c r="G60" s="610"/>
      <c r="H60" s="610"/>
      <c r="I60" s="610"/>
      <c r="J60" s="610"/>
      <c r="K60" s="610"/>
    </row>
    <row r="61" spans="2:11" ht="15.75">
      <c r="B61" s="98" t="s">
        <v>281</v>
      </c>
      <c r="C61" s="393">
        <f>C60+C46</f>
        <v>0</v>
      </c>
      <c r="D61" s="393">
        <f>D60+D46</f>
        <v>0</v>
      </c>
      <c r="E61" s="322">
        <f>E60+E46</f>
        <v>0</v>
      </c>
      <c r="G61" s="610"/>
      <c r="H61" s="610"/>
      <c r="I61" s="610"/>
      <c r="J61" s="610"/>
      <c r="K61" s="610"/>
    </row>
    <row r="62" spans="2:11" ht="15.75">
      <c r="B62" s="80" t="s">
        <v>282</v>
      </c>
      <c r="C62" s="390"/>
      <c r="D62" s="390"/>
      <c r="E62" s="261"/>
      <c r="G62" s="610"/>
      <c r="H62" s="610"/>
      <c r="I62" s="610"/>
      <c r="J62" s="610"/>
      <c r="K62" s="610"/>
    </row>
    <row r="63" spans="2:11" ht="15.75">
      <c r="B63" s="318"/>
      <c r="C63" s="313"/>
      <c r="D63" s="313"/>
      <c r="E63" s="171"/>
      <c r="G63" s="610"/>
      <c r="H63" s="610"/>
      <c r="I63" s="610"/>
      <c r="J63" s="610"/>
      <c r="K63" s="610"/>
    </row>
    <row r="64" spans="2:11" ht="15.75">
      <c r="B64" s="318"/>
      <c r="C64" s="313"/>
      <c r="D64" s="313"/>
      <c r="E64" s="171"/>
      <c r="G64" s="836" t="str">
        <f>CONCATENATE("Desired Carryover Into ",E1+1,"")</f>
        <v>Desired Carryover Into 2016</v>
      </c>
      <c r="H64" s="837"/>
      <c r="I64" s="837"/>
      <c r="J64" s="838"/>
      <c r="K64" s="610"/>
    </row>
    <row r="65" spans="2:11" ht="15.75">
      <c r="B65" s="318"/>
      <c r="C65" s="313"/>
      <c r="D65" s="313"/>
      <c r="E65" s="171"/>
      <c r="G65" s="642"/>
      <c r="H65" s="643"/>
      <c r="I65" s="644"/>
      <c r="J65" s="645"/>
      <c r="K65" s="610"/>
    </row>
    <row r="66" spans="2:11" ht="15.75">
      <c r="B66" s="318"/>
      <c r="C66" s="313"/>
      <c r="D66" s="313"/>
      <c r="E66" s="171"/>
      <c r="G66" s="646" t="s">
        <v>730</v>
      </c>
      <c r="H66" s="644"/>
      <c r="I66" s="644"/>
      <c r="J66" s="647">
        <v>0</v>
      </c>
      <c r="K66" s="610"/>
    </row>
    <row r="67" spans="2:11" ht="15.75">
      <c r="B67" s="318"/>
      <c r="C67" s="313"/>
      <c r="D67" s="313"/>
      <c r="E67" s="171"/>
      <c r="G67" s="642" t="s">
        <v>731</v>
      </c>
      <c r="H67" s="643"/>
      <c r="I67" s="643"/>
      <c r="J67" s="648">
        <f>IF(J66=0,"",ROUND((J66+E80-G79)/inputOth!E11*1000,3)-G84)</f>
      </c>
      <c r="K67" s="610"/>
    </row>
    <row r="68" spans="2:11" ht="15.75">
      <c r="B68" s="318"/>
      <c r="C68" s="313"/>
      <c r="D68" s="313"/>
      <c r="E68" s="171"/>
      <c r="G68" s="649" t="str">
        <f>CONCATENATE("",E1," Tot Exp/Non-Appr Must Be:")</f>
        <v>2015 Tot Exp/Non-Appr Must Be:</v>
      </c>
      <c r="H68" s="650"/>
      <c r="I68" s="651"/>
      <c r="J68" s="652">
        <f>IF(J66&gt;0,IF(E77&lt;E61,IF(J66=G79,E77,((J66-G79)*(1-D79))+E61),E77+(J66-G79)),0)</f>
        <v>0</v>
      </c>
      <c r="K68" s="610"/>
    </row>
    <row r="69" spans="2:11" ht="15.75">
      <c r="B69" s="318"/>
      <c r="C69" s="313"/>
      <c r="D69" s="313"/>
      <c r="E69" s="171"/>
      <c r="G69" s="653" t="s">
        <v>859</v>
      </c>
      <c r="H69" s="654"/>
      <c r="I69" s="654"/>
      <c r="J69" s="655">
        <f>IF(J66&gt;0,J68-E77,0)</f>
        <v>0</v>
      </c>
      <c r="K69" s="610"/>
    </row>
    <row r="70" spans="2:11" ht="15.75">
      <c r="B70" s="316" t="s">
        <v>227</v>
      </c>
      <c r="C70" s="313"/>
      <c r="D70" s="313"/>
      <c r="E70" s="182">
        <f>nhood!E15</f>
      </c>
      <c r="G70" s="610"/>
      <c r="H70" s="610"/>
      <c r="I70" s="610"/>
      <c r="J70" s="610"/>
      <c r="K70" s="610"/>
    </row>
    <row r="71" spans="2:11" ht="15.75">
      <c r="B71" s="316" t="s">
        <v>225</v>
      </c>
      <c r="C71" s="313"/>
      <c r="D71" s="313"/>
      <c r="E71" s="171"/>
      <c r="G71" s="836" t="str">
        <f>CONCATENATE("Projected Carryover Into ",E1+1,"")</f>
        <v>Projected Carryover Into 2016</v>
      </c>
      <c r="H71" s="844"/>
      <c r="I71" s="844"/>
      <c r="J71" s="840"/>
      <c r="K71" s="610"/>
    </row>
    <row r="72" spans="2:11" ht="15.75">
      <c r="B72" s="316" t="s">
        <v>727</v>
      </c>
      <c r="C72" s="392">
        <f>IF(C73*0.1&lt;C71,"Exceed 10% Rule","")</f>
      </c>
      <c r="D72" s="392">
        <f>IF(D73*0.1&lt;D71,"Exceed 10% Rule","")</f>
      </c>
      <c r="E72" s="323">
        <f>IF(E73*0.1&lt;E71,"Exceed 10% Rule","")</f>
      </c>
      <c r="G72" s="696"/>
      <c r="H72" s="643"/>
      <c r="I72" s="643"/>
      <c r="J72" s="697"/>
      <c r="K72" s="610"/>
    </row>
    <row r="73" spans="2:11" ht="15.75">
      <c r="B73" s="98" t="s">
        <v>283</v>
      </c>
      <c r="C73" s="393">
        <f>SUM(C63:C71)</f>
        <v>0</v>
      </c>
      <c r="D73" s="393">
        <f>SUM(D63:D71)</f>
        <v>0</v>
      </c>
      <c r="E73" s="322">
        <f>SUM(E63:E71)</f>
        <v>0</v>
      </c>
      <c r="G73" s="660">
        <f>D74</f>
        <v>0</v>
      </c>
      <c r="H73" s="661" t="str">
        <f>CONCATENATE("",E1-1," Ending Cash Balance (est.)")</f>
        <v>2014 Ending Cash Balance (est.)</v>
      </c>
      <c r="I73" s="662"/>
      <c r="J73" s="697"/>
      <c r="K73" s="610"/>
    </row>
    <row r="74" spans="2:11" ht="15.75">
      <c r="B74" s="80" t="s">
        <v>68</v>
      </c>
      <c r="C74" s="394">
        <f>C61-C73</f>
        <v>0</v>
      </c>
      <c r="D74" s="394">
        <f>D61-D73</f>
        <v>0</v>
      </c>
      <c r="E74" s="315" t="s">
        <v>252</v>
      </c>
      <c r="G74" s="660">
        <f>E60</f>
        <v>0</v>
      </c>
      <c r="H74" s="644" t="str">
        <f>CONCATENATE("",E1," Non-AV Receipts (est.)")</f>
        <v>2015 Non-AV Receipts (est.)</v>
      </c>
      <c r="I74" s="662"/>
      <c r="J74" s="697"/>
      <c r="K74" s="610"/>
    </row>
    <row r="75" spans="2:11" ht="15.75">
      <c r="B75" s="117" t="str">
        <f>CONCATENATE("",$E$1-2,"/",$E$1-1," Budget Authority Amount:")</f>
        <v>2013/2014 Budget Authority Amount:</v>
      </c>
      <c r="C75" s="338">
        <f>inputOth!$B92</f>
        <v>0</v>
      </c>
      <c r="D75" s="83">
        <f>inputPrYr!$D29</f>
        <v>0</v>
      </c>
      <c r="E75" s="315" t="s">
        <v>252</v>
      </c>
      <c r="F75" s="324"/>
      <c r="G75" s="669">
        <f>IF(E79&gt;0,E78,E80)</f>
        <v>0</v>
      </c>
      <c r="H75" s="644" t="str">
        <f>CONCATENATE("",E1," Ad Valorem Tax (est.)")</f>
        <v>2015 Ad Valorem Tax (est.)</v>
      </c>
      <c r="I75" s="662"/>
      <c r="J75" s="697"/>
      <c r="K75" s="670">
        <f>IF(G75=E80,"","Note: Does not include Delinquent Taxes")</f>
      </c>
    </row>
    <row r="76" spans="2:11" ht="15.75">
      <c r="B76" s="117"/>
      <c r="C76" s="822" t="s">
        <v>724</v>
      </c>
      <c r="D76" s="823"/>
      <c r="E76" s="171"/>
      <c r="F76" s="729">
        <f>IF(E73/0.95-E73&lt;E76,"Exceeds 5%","")</f>
      </c>
      <c r="G76" s="699">
        <f>SUM(G73:G75)</f>
        <v>0</v>
      </c>
      <c r="H76" s="644" t="str">
        <f>CONCATENATE("Total ",E1," Resources Available")</f>
        <v>Total 2015 Resources Available</v>
      </c>
      <c r="I76" s="700"/>
      <c r="J76" s="697"/>
      <c r="K76" s="610"/>
    </row>
    <row r="77" spans="2:11" ht="15.75">
      <c r="B77" s="499" t="str">
        <f>CONCATENATE(C87,"     ",D87)</f>
        <v>     </v>
      </c>
      <c r="C77" s="824" t="s">
        <v>725</v>
      </c>
      <c r="D77" s="825"/>
      <c r="E77" s="261">
        <f>E73+E76</f>
        <v>0</v>
      </c>
      <c r="G77" s="701"/>
      <c r="H77" s="702"/>
      <c r="I77" s="643"/>
      <c r="J77" s="697"/>
      <c r="K77" s="610"/>
    </row>
    <row r="78" spans="2:11" ht="15.75">
      <c r="B78" s="499" t="str">
        <f>CONCATENATE(C88,"     ",D88)</f>
        <v>     </v>
      </c>
      <c r="C78" s="502"/>
      <c r="D78" s="501" t="s">
        <v>285</v>
      </c>
      <c r="E78" s="182">
        <f>IF(E77-E61&gt;0,E77-E61,0)</f>
        <v>0</v>
      </c>
      <c r="G78" s="669">
        <f>ROUND(C73*0.05+C73,0)</f>
        <v>0</v>
      </c>
      <c r="H78" s="644" t="str">
        <f>CONCATENATE("Less ",E1-2," Expenditures + 5%")</f>
        <v>Less 2013 Expenditures + 5%</v>
      </c>
      <c r="I78" s="700"/>
      <c r="J78" s="697"/>
      <c r="K78" s="610"/>
    </row>
    <row r="79" spans="2:11" ht="15.75">
      <c r="B79" s="211"/>
      <c r="C79" s="500" t="s">
        <v>726</v>
      </c>
      <c r="D79" s="713">
        <f>inputOth!$E$77</f>
        <v>0</v>
      </c>
      <c r="E79" s="261">
        <f>ROUND(IF(D79&gt;0,(E78*D79),0),0)</f>
        <v>0</v>
      </c>
      <c r="G79" s="677">
        <f>G76-G78</f>
        <v>0</v>
      </c>
      <c r="H79" s="678" t="str">
        <f>CONCATENATE("Projected ",E1+1," carryover (est.)")</f>
        <v>Projected 2016 carryover (est.)</v>
      </c>
      <c r="I79" s="703"/>
      <c r="J79" s="704"/>
      <c r="K79" s="610"/>
    </row>
    <row r="80" spans="2:11" ht="15.75">
      <c r="B80" s="65"/>
      <c r="C80" s="826" t="str">
        <f>CONCATENATE("Amount of  ",$E$1-1," Ad Valorem Tax")</f>
        <v>Amount of  2014 Ad Valorem Tax</v>
      </c>
      <c r="D80" s="827"/>
      <c r="E80" s="182">
        <f>E78+E79</f>
        <v>0</v>
      </c>
      <c r="G80" s="610"/>
      <c r="H80" s="610"/>
      <c r="I80" s="610"/>
      <c r="J80" s="610"/>
      <c r="K80" s="610"/>
    </row>
    <row r="81" spans="2:11" ht="15.75">
      <c r="B81" s="211" t="s">
        <v>266</v>
      </c>
      <c r="C81" s="212"/>
      <c r="D81" s="65"/>
      <c r="E81" s="65"/>
      <c r="G81" s="841" t="s">
        <v>860</v>
      </c>
      <c r="H81" s="842"/>
      <c r="I81" s="842"/>
      <c r="J81" s="843"/>
      <c r="K81" s="610"/>
    </row>
    <row r="82" spans="2:11" ht="15.75">
      <c r="B82" s="113"/>
      <c r="G82" s="684"/>
      <c r="H82" s="661"/>
      <c r="I82" s="685"/>
      <c r="J82" s="686"/>
      <c r="K82" s="610"/>
    </row>
    <row r="83" spans="7:11" ht="15.75">
      <c r="G83" s="687" t="e">
        <f>summ!#REF!</f>
        <v>#REF!</v>
      </c>
      <c r="H83" s="661" t="str">
        <f>CONCATENATE("",E1," Fund Mill Rate")</f>
        <v>2015 Fund Mill Rate</v>
      </c>
      <c r="I83" s="685"/>
      <c r="J83" s="686"/>
      <c r="K83" s="610"/>
    </row>
    <row r="84" spans="7:11" ht="15.75">
      <c r="G84" s="688" t="e">
        <f>summ!#REF!</f>
        <v>#REF!</v>
      </c>
      <c r="H84" s="661" t="str">
        <f>CONCATENATE("",E1-1," Fund Mill Rate")</f>
        <v>2014 Fund Mill Rate</v>
      </c>
      <c r="I84" s="685"/>
      <c r="J84" s="686"/>
      <c r="K84" s="610"/>
    </row>
    <row r="85" spans="3:11" ht="15.75" hidden="1">
      <c r="C85" s="156">
        <f>IF(C33&gt;C35,"See Tab A","")</f>
      </c>
      <c r="D85" s="156">
        <f>IF(D33&gt;D35,"See Tab C","")</f>
      </c>
      <c r="G85" s="690">
        <f>'[1]summ'!I36</f>
        <v>0</v>
      </c>
      <c r="H85" s="661" t="str">
        <f>CONCATENATE("Total ",E1," Mill Rate")</f>
        <v>Total 2015 Mill Rate</v>
      </c>
      <c r="I85" s="685"/>
      <c r="J85" s="686"/>
      <c r="K85" s="610"/>
    </row>
    <row r="86" spans="3:11" ht="15.75" hidden="1">
      <c r="C86" s="156">
        <f>IF(C34&lt;0,"See Tab B","")</f>
      </c>
      <c r="D86" s="156">
        <f>IF(D34&lt;0,"See Tab D","")</f>
      </c>
      <c r="G86" s="688">
        <f>'[1]summ'!F36</f>
        <v>0</v>
      </c>
      <c r="H86" s="691" t="str">
        <f>CONCATENATE("Total ",E1-1," Mill Rate")</f>
        <v>Total 2014 Mill Rate</v>
      </c>
      <c r="I86" s="692"/>
      <c r="J86" s="693"/>
      <c r="K86" s="610"/>
    </row>
    <row r="87" spans="3:4" ht="15.75" hidden="1">
      <c r="C87" s="156">
        <f>IF(C73&gt;C75,"See Tab A","")</f>
      </c>
      <c r="D87" s="156">
        <f>IF(D73&gt;D75,"See Tab C","")</f>
      </c>
    </row>
    <row r="88" spans="3:4" ht="15.75" hidden="1">
      <c r="C88" s="156">
        <f>IF(C74&lt;0,"See Tab B","")</f>
      </c>
      <c r="D88" s="156">
        <f>IF(D74&lt;0,"See Tab D","")</f>
      </c>
    </row>
    <row r="89" spans="7:10" ht="15.75">
      <c r="G89" s="690">
        <f>summ!H22</f>
        <v>17.778</v>
      </c>
      <c r="H89" s="661" t="str">
        <f>CONCATENATE("Total ",E1," Mill Rate")</f>
        <v>Total 2015 Mill Rate</v>
      </c>
      <c r="I89" s="685"/>
      <c r="J89" s="686"/>
    </row>
    <row r="90" spans="7:10" ht="15.75">
      <c r="G90" s="688">
        <f>summ!E22</f>
        <v>17.448</v>
      </c>
      <c r="H90" s="691" t="str">
        <f>CONCATENATE("Total ",E1-1," Mill Rate")</f>
        <v>Total 2014 Mill Rate</v>
      </c>
      <c r="I90" s="692"/>
      <c r="J90" s="693"/>
    </row>
    <row r="92" spans="7:9" ht="15.75">
      <c r="G92" s="740" t="s">
        <v>937</v>
      </c>
      <c r="H92" s="739"/>
      <c r="I92" s="738"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Walnut Township</v>
      </c>
      <c r="C1" s="65"/>
      <c r="D1" s="65"/>
      <c r="E1" s="225">
        <f>inputPrYr!D9</f>
        <v>2015</v>
      </c>
    </row>
    <row r="2" spans="2:5" ht="15.75">
      <c r="B2" s="540" t="s">
        <v>763</v>
      </c>
      <c r="C2" s="65"/>
      <c r="D2" s="208"/>
      <c r="E2" s="67"/>
    </row>
    <row r="3" spans="2:5" ht="15.75">
      <c r="B3" s="65"/>
      <c r="C3" s="70"/>
      <c r="D3" s="70"/>
      <c r="E3" s="70"/>
    </row>
    <row r="4" spans="2:5" ht="15.75">
      <c r="B4" s="72" t="s">
        <v>267</v>
      </c>
      <c r="C4" s="388" t="s">
        <v>268</v>
      </c>
      <c r="D4" s="391" t="s">
        <v>269</v>
      </c>
      <c r="E4" s="74" t="s">
        <v>270</v>
      </c>
    </row>
    <row r="5" spans="2:5" ht="15.75">
      <c r="B5" s="484">
        <f>inputPrYr!B30</f>
        <v>0</v>
      </c>
      <c r="C5" s="389" t="str">
        <f>gen!C5</f>
        <v>Actual for 2013</v>
      </c>
      <c r="D5" s="389" t="str">
        <f>gen!D5</f>
        <v>Estimate for 2014</v>
      </c>
      <c r="E5" s="79" t="str">
        <f>gen!E5</f>
        <v>Year for 2015</v>
      </c>
    </row>
    <row r="6" spans="2:5" ht="15.75">
      <c r="B6" s="80" t="s">
        <v>67</v>
      </c>
      <c r="C6" s="313"/>
      <c r="D6" s="390">
        <f>C34</f>
        <v>0</v>
      </c>
      <c r="E6" s="261">
        <f>D34</f>
        <v>0</v>
      </c>
    </row>
    <row r="7" spans="2:5" ht="15.75">
      <c r="B7" s="80" t="s">
        <v>69</v>
      </c>
      <c r="C7" s="390"/>
      <c r="D7" s="390"/>
      <c r="E7" s="315"/>
    </row>
    <row r="8" spans="2:5" ht="15.75">
      <c r="B8" s="80" t="s">
        <v>273</v>
      </c>
      <c r="C8" s="313"/>
      <c r="D8" s="390">
        <f>IF(inputPrYr!H19&gt;0,inputPrYr!G30,inputPrYr!E30)</f>
        <v>0</v>
      </c>
      <c r="E8" s="315" t="s">
        <v>252</v>
      </c>
    </row>
    <row r="9" spans="2:5" ht="15.75">
      <c r="B9" s="80" t="s">
        <v>274</v>
      </c>
      <c r="C9" s="313"/>
      <c r="D9" s="313"/>
      <c r="E9" s="171"/>
    </row>
    <row r="10" spans="2:5" ht="15.75">
      <c r="B10" s="80" t="s">
        <v>275</v>
      </c>
      <c r="C10" s="313"/>
      <c r="D10" s="313"/>
      <c r="E10" s="261">
        <f>mvalloc!G21</f>
        <v>0</v>
      </c>
    </row>
    <row r="11" spans="2:5" ht="15.75">
      <c r="B11" s="80" t="s">
        <v>276</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279</v>
      </c>
      <c r="C17" s="313"/>
      <c r="D17" s="313"/>
      <c r="E17" s="171"/>
    </row>
    <row r="18" spans="2:5" ht="15.75">
      <c r="B18" s="319" t="s">
        <v>225</v>
      </c>
      <c r="C18" s="313"/>
      <c r="D18" s="313"/>
      <c r="E18" s="171"/>
    </row>
    <row r="19" spans="2:5" ht="15.75">
      <c r="B19" s="319" t="s">
        <v>226</v>
      </c>
      <c r="C19" s="392">
        <f>IF(C20*0.1&lt;C18,"Exceed 10% Rule","")</f>
      </c>
      <c r="D19" s="392">
        <f>IF(D20*0.1&lt;D18,"Exceed 10% Rule","")</f>
      </c>
      <c r="E19" s="323">
        <f>IF(E20*0.1+E40&lt;E18,"Exceed 10% Rule","")</f>
      </c>
    </row>
    <row r="20" spans="2:5" ht="15.75">
      <c r="B20" s="321" t="s">
        <v>280</v>
      </c>
      <c r="C20" s="393">
        <f>SUM(C8:C18)</f>
        <v>0</v>
      </c>
      <c r="D20" s="393">
        <f>SUM(D8:D18)</f>
        <v>0</v>
      </c>
      <c r="E20" s="322">
        <f>SUM(E8:E18)</f>
        <v>0</v>
      </c>
    </row>
    <row r="21" spans="2:5" ht="15.75">
      <c r="B21" s="98" t="s">
        <v>281</v>
      </c>
      <c r="C21" s="393">
        <f>C20+C6</f>
        <v>0</v>
      </c>
      <c r="D21" s="393">
        <f>D20+D6</f>
        <v>0</v>
      </c>
      <c r="E21" s="322">
        <f>E20+E6</f>
        <v>0</v>
      </c>
    </row>
    <row r="22" spans="2:5" ht="15.75">
      <c r="B22" s="80" t="s">
        <v>282</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730</v>
      </c>
      <c r="H26" s="644"/>
      <c r="I26" s="644"/>
      <c r="J26" s="647">
        <v>0</v>
      </c>
      <c r="K26" s="610"/>
    </row>
    <row r="27" spans="2:11" ht="15.75">
      <c r="B27" s="313"/>
      <c r="C27" s="313"/>
      <c r="D27" s="313"/>
      <c r="E27" s="171"/>
      <c r="G27" s="642" t="s">
        <v>731</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859</v>
      </c>
      <c r="H29" s="654"/>
      <c r="I29" s="654"/>
      <c r="J29" s="655">
        <f>IF(J26&gt;0,J28-E37,0)</f>
        <v>0</v>
      </c>
      <c r="K29" s="610"/>
    </row>
    <row r="30" spans="2:11" ht="15.75">
      <c r="B30" s="316" t="s">
        <v>227</v>
      </c>
      <c r="C30" s="313"/>
      <c r="D30" s="313"/>
      <c r="E30" s="182">
        <f>nhood!E16</f>
      </c>
      <c r="G30" s="610"/>
      <c r="H30" s="610"/>
      <c r="I30" s="610"/>
      <c r="J30" s="610"/>
      <c r="K30" s="610"/>
    </row>
    <row r="31" spans="2:11" ht="15.75">
      <c r="B31" s="316" t="s">
        <v>225</v>
      </c>
      <c r="C31" s="313"/>
      <c r="D31" s="313"/>
      <c r="E31" s="171"/>
      <c r="G31" s="836" t="str">
        <f>CONCATENATE("Projected Carryover Into ",E1+1,"")</f>
        <v>Projected Carryover Into 2016</v>
      </c>
      <c r="H31" s="839"/>
      <c r="I31" s="839"/>
      <c r="J31" s="840"/>
      <c r="K31" s="610"/>
    </row>
    <row r="32" spans="2:11" ht="15.75">
      <c r="B32" s="316" t="s">
        <v>727</v>
      </c>
      <c r="C32" s="392">
        <f>IF(C33*0.1&lt;C31,"Exceed 10% Rule","")</f>
      </c>
      <c r="D32" s="392">
        <f>IF(D33*0.1&lt;D31,"Exceed 10% Rule","")</f>
      </c>
      <c r="E32" s="323">
        <f>IF(E33*0.1&lt;E31,"Exceed 10% Rule","")</f>
      </c>
      <c r="G32" s="642"/>
      <c r="H32" s="644"/>
      <c r="I32" s="644"/>
      <c r="J32" s="657"/>
      <c r="K32" s="610"/>
    </row>
    <row r="33" spans="2:11" ht="15.75">
      <c r="B33" s="98" t="s">
        <v>283</v>
      </c>
      <c r="C33" s="393">
        <f>SUM(C23:C31)</f>
        <v>0</v>
      </c>
      <c r="D33" s="393">
        <f>SUM(D23:D31)</f>
        <v>0</v>
      </c>
      <c r="E33" s="322">
        <f>SUM(E23:E31)</f>
        <v>0</v>
      </c>
      <c r="G33" s="660">
        <f>D34</f>
        <v>0</v>
      </c>
      <c r="H33" s="661" t="str">
        <f>CONCATENATE("",E1-1," Ending Cash Balance (est.)")</f>
        <v>2014 Ending Cash Balance (est.)</v>
      </c>
      <c r="I33" s="662"/>
      <c r="J33" s="657"/>
      <c r="K33" s="610"/>
    </row>
    <row r="34" spans="2:11" ht="15.75">
      <c r="B34" s="80" t="s">
        <v>68</v>
      </c>
      <c r="C34" s="394">
        <f>C21-C33</f>
        <v>0</v>
      </c>
      <c r="D34" s="394">
        <f>D21-D33</f>
        <v>0</v>
      </c>
      <c r="E34" s="315" t="s">
        <v>252</v>
      </c>
      <c r="G34" s="660">
        <f>E20</f>
        <v>0</v>
      </c>
      <c r="H34" s="644" t="str">
        <f>CONCATENATE("",E1," Non-AV Receipts (est.)")</f>
        <v>2015 Non-AV Receipts (est.)</v>
      </c>
      <c r="I34" s="662"/>
      <c r="J34" s="657"/>
      <c r="K34" s="610"/>
    </row>
    <row r="35" spans="2:11" ht="15.75">
      <c r="B35" s="117" t="str">
        <f>CONCATENATE("",$E$1-2,"/",$E$1-1," Budget Authority Amount:")</f>
        <v>2013/2014 Budget Authority Amount:</v>
      </c>
      <c r="C35" s="338">
        <f>inputOth!$B93</f>
        <v>0</v>
      </c>
      <c r="D35" s="83">
        <f>inputPrYr!$D30</f>
        <v>0</v>
      </c>
      <c r="E35" s="315" t="s">
        <v>252</v>
      </c>
      <c r="F35" s="324"/>
      <c r="G35" s="669">
        <f>IF(E39&gt;0,E38,E40)</f>
        <v>0</v>
      </c>
      <c r="H35" s="644" t="str">
        <f>CONCATENATE("",E1," Ad Valorem Tax (est.)")</f>
        <v>2015 Ad Valorem Tax (est.)</v>
      </c>
      <c r="I35" s="662"/>
      <c r="J35" s="657"/>
      <c r="K35" s="670">
        <f>IF(G35=E40,"","Note: Does not include Delinquent Taxes")</f>
      </c>
    </row>
    <row r="36" spans="2:11" ht="15.75">
      <c r="B36" s="117"/>
      <c r="C36" s="822" t="s">
        <v>724</v>
      </c>
      <c r="D36" s="823"/>
      <c r="E36" s="171"/>
      <c r="F36" s="729">
        <f>IF(E33/0.95-E33&lt;E36,"Exceeds 5%","")</f>
      </c>
      <c r="G36" s="660">
        <f>SUM(G33:G35)</f>
        <v>0</v>
      </c>
      <c r="H36" s="644" t="str">
        <f>CONCATENATE("Total ",E1," Resources Available")</f>
        <v>Total 2015 Resources Available</v>
      </c>
      <c r="I36" s="662"/>
      <c r="J36" s="657"/>
      <c r="K36" s="610"/>
    </row>
    <row r="37" spans="2:11" ht="15.75">
      <c r="B37" s="499" t="str">
        <f>CONCATENATE(C85,"     ",D85)</f>
        <v>     </v>
      </c>
      <c r="C37" s="824" t="s">
        <v>725</v>
      </c>
      <c r="D37" s="825"/>
      <c r="E37" s="261">
        <f>E33+E36</f>
        <v>0</v>
      </c>
      <c r="G37" s="673"/>
      <c r="H37" s="644"/>
      <c r="I37" s="644"/>
      <c r="J37" s="657"/>
      <c r="K37" s="610"/>
    </row>
    <row r="38" spans="2:11" ht="15.75">
      <c r="B38" s="499" t="str">
        <f>CONCATENATE(C86,"     ",D86)</f>
        <v>     </v>
      </c>
      <c r="C38" s="502"/>
      <c r="D38" s="501" t="s">
        <v>285</v>
      </c>
      <c r="E38" s="182">
        <f>IF(E37-E21&gt;0,E37-E21,0)</f>
        <v>0</v>
      </c>
      <c r="G38" s="669">
        <f>ROUND(C33*0.05+C33,0)</f>
        <v>0</v>
      </c>
      <c r="H38" s="644" t="str">
        <f>CONCATENATE("Less ",E1-2," Expenditures + 5%")</f>
        <v>Less 2013 Expenditures + 5%</v>
      </c>
      <c r="I38" s="644"/>
      <c r="J38" s="657"/>
      <c r="K38" s="610"/>
    </row>
    <row r="39" spans="2:11" ht="15.75">
      <c r="B39" s="211"/>
      <c r="C39" s="500" t="s">
        <v>726</v>
      </c>
      <c r="D39" s="713">
        <f>inputOth!$E$77</f>
        <v>0</v>
      </c>
      <c r="E39" s="261">
        <f>ROUND(IF(D39&gt;0,(E38*D39),0),0)</f>
        <v>0</v>
      </c>
      <c r="G39" s="677">
        <f>G36-G38</f>
        <v>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0</v>
      </c>
      <c r="G40" s="610"/>
      <c r="H40" s="610"/>
      <c r="I40" s="610"/>
      <c r="J40" s="610"/>
      <c r="K40" s="610"/>
    </row>
    <row r="41" spans="2:11" ht="15.75">
      <c r="B41" s="65"/>
      <c r="C41" s="556"/>
      <c r="D41" s="65"/>
      <c r="E41" s="65"/>
      <c r="G41" s="841" t="s">
        <v>860</v>
      </c>
      <c r="H41" s="842"/>
      <c r="I41" s="842"/>
      <c r="J41" s="843"/>
      <c r="K41" s="610"/>
    </row>
    <row r="42" spans="2:11" ht="15.75">
      <c r="B42" s="65"/>
      <c r="C42" s="556"/>
      <c r="D42" s="65"/>
      <c r="E42" s="65"/>
      <c r="G42" s="684"/>
      <c r="H42" s="661"/>
      <c r="I42" s="685"/>
      <c r="J42" s="686"/>
      <c r="K42" s="610"/>
    </row>
    <row r="43" spans="2:11" ht="15.75">
      <c r="B43" s="72" t="s">
        <v>267</v>
      </c>
      <c r="C43" s="70"/>
      <c r="D43" s="70"/>
      <c r="E43" s="70"/>
      <c r="G43" s="687" t="e">
        <f>summ!#REF!</f>
        <v>#REF!</v>
      </c>
      <c r="H43" s="661" t="str">
        <f>CONCATENATE("",E1," Fund Mill Rate")</f>
        <v>2015 Fund Mill Rate</v>
      </c>
      <c r="I43" s="685"/>
      <c r="J43" s="686"/>
      <c r="K43" s="610"/>
    </row>
    <row r="44" spans="2:11" ht="15.75">
      <c r="B44" s="65"/>
      <c r="C44" s="388" t="s">
        <v>268</v>
      </c>
      <c r="D44" s="391" t="s">
        <v>269</v>
      </c>
      <c r="E44" s="74" t="s">
        <v>270</v>
      </c>
      <c r="G44" s="688" t="e">
        <f>summ!#REF!</f>
        <v>#REF!</v>
      </c>
      <c r="H44" s="661" t="str">
        <f>CONCATENATE("",E1-1," Fund Mill Rate")</f>
        <v>2014 Fund Mill Rate</v>
      </c>
      <c r="I44" s="685"/>
      <c r="J44" s="686"/>
      <c r="K44" s="610"/>
    </row>
    <row r="45" spans="2:11" ht="15.75">
      <c r="B45" s="485">
        <f>inputPrYr!B31</f>
        <v>0</v>
      </c>
      <c r="C45" s="389" t="str">
        <f>C5</f>
        <v>Actual for 2013</v>
      </c>
      <c r="D45" s="389" t="str">
        <f>D5</f>
        <v>Estimate for 2014</v>
      </c>
      <c r="E45" s="79" t="str">
        <f>E5</f>
        <v>Year for 2015</v>
      </c>
      <c r="G45" s="690">
        <f>summ!H22</f>
        <v>17.778</v>
      </c>
      <c r="H45" s="661" t="str">
        <f>CONCATENATE("Total ",E1," Mill Rate")</f>
        <v>Total 2015 Mill Rate</v>
      </c>
      <c r="I45" s="685"/>
      <c r="J45" s="686"/>
      <c r="K45" s="610"/>
    </row>
    <row r="46" spans="2:11" ht="15.75">
      <c r="B46" s="80" t="s">
        <v>67</v>
      </c>
      <c r="C46" s="313"/>
      <c r="D46" s="390">
        <f>C74</f>
        <v>0</v>
      </c>
      <c r="E46" s="261">
        <f>D74</f>
        <v>0</v>
      </c>
      <c r="G46" s="688">
        <f>summ!E22</f>
        <v>17.448</v>
      </c>
      <c r="H46" s="691" t="str">
        <f>CONCATENATE("Total ",E1-1," Mill Rate")</f>
        <v>Total 2014 Mill Rate</v>
      </c>
      <c r="I46" s="692"/>
      <c r="J46" s="693"/>
      <c r="K46" s="610"/>
    </row>
    <row r="47" spans="2:11" ht="15.75">
      <c r="B47" s="80" t="s">
        <v>69</v>
      </c>
      <c r="C47" s="390"/>
      <c r="D47" s="390"/>
      <c r="E47" s="315"/>
      <c r="G47" s="610"/>
      <c r="H47" s="610"/>
      <c r="I47" s="610"/>
      <c r="J47" s="610"/>
      <c r="K47" s="610"/>
    </row>
    <row r="48" spans="2:11" ht="15.75">
      <c r="B48" s="80" t="s">
        <v>273</v>
      </c>
      <c r="C48" s="313"/>
      <c r="D48" s="390">
        <f>IF(inputPrYr!H19&gt;0,inputPrYr!G31,inputPrYr!E31)</f>
        <v>0</v>
      </c>
      <c r="E48" s="315" t="s">
        <v>252</v>
      </c>
      <c r="G48" s="740" t="s">
        <v>937</v>
      </c>
      <c r="H48" s="739"/>
      <c r="I48" s="738" t="str">
        <f>cert!E41</f>
        <v>No</v>
      </c>
      <c r="J48" s="610"/>
      <c r="K48" s="610"/>
    </row>
    <row r="49" spans="2:11" ht="15.75">
      <c r="B49" s="80" t="s">
        <v>274</v>
      </c>
      <c r="C49" s="313"/>
      <c r="D49" s="313"/>
      <c r="E49" s="171"/>
      <c r="G49" s="610"/>
      <c r="H49" s="610"/>
      <c r="I49" s="610"/>
      <c r="J49" s="610"/>
      <c r="K49" s="610"/>
    </row>
    <row r="50" spans="2:11" ht="15.75">
      <c r="B50" s="80" t="s">
        <v>275</v>
      </c>
      <c r="C50" s="313"/>
      <c r="D50" s="313"/>
      <c r="E50" s="261">
        <f>mvalloc!G22</f>
        <v>0</v>
      </c>
      <c r="G50" s="610"/>
      <c r="H50" s="610"/>
      <c r="I50" s="610"/>
      <c r="J50" s="610"/>
      <c r="K50" s="610"/>
    </row>
    <row r="51" spans="2:11" ht="15.75">
      <c r="B51" s="80" t="s">
        <v>276</v>
      </c>
      <c r="C51" s="313"/>
      <c r="D51" s="313"/>
      <c r="E51" s="261">
        <f>mvalloc!I22</f>
        <v>0</v>
      </c>
      <c r="G51" s="610"/>
      <c r="H51" s="610"/>
      <c r="I51" s="610"/>
      <c r="J51" s="610"/>
      <c r="K51" s="610"/>
    </row>
    <row r="52" spans="2:11" ht="15.75">
      <c r="B52" s="80" t="s">
        <v>51</v>
      </c>
      <c r="C52" s="313"/>
      <c r="D52" s="313"/>
      <c r="E52" s="261">
        <f>mvalloc!J22</f>
        <v>0</v>
      </c>
      <c r="G52" s="610"/>
      <c r="H52" s="610"/>
      <c r="I52" s="610"/>
      <c r="J52" s="610"/>
      <c r="K52" s="610"/>
    </row>
    <row r="53" spans="2:11" ht="15.75">
      <c r="B53" s="317"/>
      <c r="C53" s="313"/>
      <c r="D53" s="313"/>
      <c r="E53" s="171"/>
      <c r="G53" s="610"/>
      <c r="H53" s="610"/>
      <c r="I53" s="610"/>
      <c r="J53" s="610"/>
      <c r="K53" s="610"/>
    </row>
    <row r="54" spans="2:11" ht="15.75">
      <c r="B54" s="317"/>
      <c r="C54" s="313"/>
      <c r="D54" s="313"/>
      <c r="E54" s="171"/>
      <c r="G54" s="610"/>
      <c r="H54" s="610"/>
      <c r="I54" s="610"/>
      <c r="J54" s="610"/>
      <c r="K54" s="610"/>
    </row>
    <row r="55" spans="2:11" ht="15.75">
      <c r="B55" s="317"/>
      <c r="C55" s="313"/>
      <c r="D55" s="313"/>
      <c r="E55" s="171"/>
      <c r="G55" s="610"/>
      <c r="H55" s="610"/>
      <c r="I55" s="610"/>
      <c r="J55" s="610"/>
      <c r="K55" s="610"/>
    </row>
    <row r="56" spans="2:11" ht="15.75">
      <c r="B56" s="318"/>
      <c r="C56" s="313"/>
      <c r="D56" s="313"/>
      <c r="E56" s="171"/>
      <c r="G56" s="610"/>
      <c r="H56" s="610"/>
      <c r="I56" s="610"/>
      <c r="J56" s="610"/>
      <c r="K56" s="610"/>
    </row>
    <row r="57" spans="2:11" ht="15.75">
      <c r="B57" s="318" t="s">
        <v>279</v>
      </c>
      <c r="C57" s="313"/>
      <c r="D57" s="313"/>
      <c r="E57" s="171"/>
      <c r="G57" s="610"/>
      <c r="H57" s="610"/>
      <c r="I57" s="610"/>
      <c r="J57" s="610"/>
      <c r="K57" s="610"/>
    </row>
    <row r="58" spans="2:11" ht="15.75">
      <c r="B58" s="319" t="s">
        <v>225</v>
      </c>
      <c r="C58" s="313"/>
      <c r="D58" s="313"/>
      <c r="E58" s="171"/>
      <c r="G58" s="610"/>
      <c r="H58" s="610"/>
      <c r="I58" s="610"/>
      <c r="J58" s="610"/>
      <c r="K58" s="610"/>
    </row>
    <row r="59" spans="2:11" ht="15.75">
      <c r="B59" s="319" t="s">
        <v>226</v>
      </c>
      <c r="C59" s="392">
        <f>IF(C60*0.1&lt;C58,"Exceed 10% Rule","")</f>
      </c>
      <c r="D59" s="392">
        <f>IF(D60*0.1&lt;D58,"Exceed 10% Rule","")</f>
      </c>
      <c r="E59" s="323">
        <f>IF(E60*0.1+E80&lt;E58,"Exceed 10% Rule","")</f>
      </c>
      <c r="G59" s="610"/>
      <c r="H59" s="610"/>
      <c r="I59" s="610"/>
      <c r="J59" s="610"/>
      <c r="K59" s="610"/>
    </row>
    <row r="60" spans="2:11" ht="15.75">
      <c r="B60" s="321" t="s">
        <v>280</v>
      </c>
      <c r="C60" s="393">
        <f>SUM(C48:C58)</f>
        <v>0</v>
      </c>
      <c r="D60" s="393">
        <f>SUM(D48:D58)</f>
        <v>0</v>
      </c>
      <c r="E60" s="322">
        <f>SUM(E48:E58)</f>
        <v>0</v>
      </c>
      <c r="G60" s="610"/>
      <c r="H60" s="610"/>
      <c r="I60" s="610"/>
      <c r="J60" s="610"/>
      <c r="K60" s="610"/>
    </row>
    <row r="61" spans="2:11" ht="15.75">
      <c r="B61" s="98" t="s">
        <v>281</v>
      </c>
      <c r="C61" s="393">
        <f>C60+C46</f>
        <v>0</v>
      </c>
      <c r="D61" s="393">
        <f>D60+D46</f>
        <v>0</v>
      </c>
      <c r="E61" s="322">
        <f>E60+E46</f>
        <v>0</v>
      </c>
      <c r="G61" s="610"/>
      <c r="H61" s="610"/>
      <c r="I61" s="610"/>
      <c r="J61" s="610"/>
      <c r="K61" s="610"/>
    </row>
    <row r="62" spans="2:11" ht="15.75">
      <c r="B62" s="80" t="s">
        <v>282</v>
      </c>
      <c r="C62" s="390"/>
      <c r="D62" s="390"/>
      <c r="E62" s="261"/>
      <c r="G62" s="610"/>
      <c r="H62" s="610"/>
      <c r="I62" s="610"/>
      <c r="J62" s="610"/>
      <c r="K62" s="610"/>
    </row>
    <row r="63" spans="2:11" ht="15.75">
      <c r="B63" s="318"/>
      <c r="C63" s="313"/>
      <c r="D63" s="313"/>
      <c r="E63" s="171"/>
      <c r="G63" s="610"/>
      <c r="H63" s="610"/>
      <c r="I63" s="610"/>
      <c r="J63" s="610"/>
      <c r="K63" s="610"/>
    </row>
    <row r="64" spans="2:11" ht="15.75">
      <c r="B64" s="318"/>
      <c r="C64" s="313"/>
      <c r="D64" s="313"/>
      <c r="E64" s="171"/>
      <c r="G64" s="836" t="str">
        <f>CONCATENATE("Desired Carryover Into ",E1+1,"")</f>
        <v>Desired Carryover Into 2016</v>
      </c>
      <c r="H64" s="837"/>
      <c r="I64" s="837"/>
      <c r="J64" s="838"/>
      <c r="K64" s="610"/>
    </row>
    <row r="65" spans="2:11" ht="15.75">
      <c r="B65" s="318"/>
      <c r="C65" s="313"/>
      <c r="D65" s="313"/>
      <c r="E65" s="171"/>
      <c r="G65" s="642"/>
      <c r="H65" s="643"/>
      <c r="I65" s="644"/>
      <c r="J65" s="645"/>
      <c r="K65" s="610"/>
    </row>
    <row r="66" spans="2:11" ht="15.75">
      <c r="B66" s="318"/>
      <c r="C66" s="313"/>
      <c r="D66" s="313"/>
      <c r="E66" s="171"/>
      <c r="G66" s="646" t="s">
        <v>730</v>
      </c>
      <c r="H66" s="644"/>
      <c r="I66" s="644"/>
      <c r="J66" s="647">
        <v>0</v>
      </c>
      <c r="K66" s="610"/>
    </row>
    <row r="67" spans="2:11" ht="15.75">
      <c r="B67" s="318"/>
      <c r="C67" s="313"/>
      <c r="D67" s="313"/>
      <c r="E67" s="171"/>
      <c r="G67" s="642" t="s">
        <v>731</v>
      </c>
      <c r="H67" s="643"/>
      <c r="I67" s="643"/>
      <c r="J67" s="648">
        <f>IF(J66=0,"",ROUND((J66+E80-G79)/inputOth!E11*1000,3)-G84)</f>
      </c>
      <c r="K67" s="610"/>
    </row>
    <row r="68" spans="2:11" ht="15.75">
      <c r="B68" s="318"/>
      <c r="C68" s="313"/>
      <c r="D68" s="313"/>
      <c r="E68" s="171"/>
      <c r="G68" s="649" t="str">
        <f>CONCATENATE("",E1," Tot Exp/Non-Appr Must Be:")</f>
        <v>2015 Tot Exp/Non-Appr Must Be:</v>
      </c>
      <c r="H68" s="650"/>
      <c r="I68" s="651"/>
      <c r="J68" s="652">
        <f>IF(J66&gt;0,IF(E77&lt;E61,IF(J66=G79,E77,((J66-G79)*(1-D79))+E61),E77+(J66-G79)),0)</f>
        <v>0</v>
      </c>
      <c r="K68" s="610"/>
    </row>
    <row r="69" spans="2:11" ht="15.75">
      <c r="B69" s="318"/>
      <c r="C69" s="313"/>
      <c r="D69" s="313"/>
      <c r="E69" s="171"/>
      <c r="G69" s="653" t="s">
        <v>859</v>
      </c>
      <c r="H69" s="654"/>
      <c r="I69" s="654"/>
      <c r="J69" s="655">
        <f>IF(J66&gt;0,J68-E77,0)</f>
        <v>0</v>
      </c>
      <c r="K69" s="610"/>
    </row>
    <row r="70" spans="2:11" ht="15.75">
      <c r="B70" s="316" t="s">
        <v>227</v>
      </c>
      <c r="C70" s="313"/>
      <c r="D70" s="313"/>
      <c r="E70" s="182">
        <f>nhood!E17</f>
      </c>
      <c r="G70" s="610"/>
      <c r="H70" s="610"/>
      <c r="I70" s="610"/>
      <c r="J70" s="610"/>
      <c r="K70" s="610"/>
    </row>
    <row r="71" spans="2:11" ht="15.75">
      <c r="B71" s="316" t="s">
        <v>225</v>
      </c>
      <c r="C71" s="313"/>
      <c r="D71" s="313"/>
      <c r="E71" s="171"/>
      <c r="G71" s="836" t="str">
        <f>CONCATENATE("Projected Carryover Into ",E1+1,"")</f>
        <v>Projected Carryover Into 2016</v>
      </c>
      <c r="H71" s="844"/>
      <c r="I71" s="844"/>
      <c r="J71" s="840"/>
      <c r="K71" s="610"/>
    </row>
    <row r="72" spans="2:11" ht="15.75">
      <c r="B72" s="316" t="s">
        <v>727</v>
      </c>
      <c r="C72" s="392">
        <f>IF(C73*0.1&lt;C71,"Exceed 10% Rule","")</f>
      </c>
      <c r="D72" s="392">
        <f>IF(D73*0.1&lt;D71,"Exceed 10% Rule","")</f>
      </c>
      <c r="E72" s="323">
        <f>IF(E73*0.1&lt;E71,"Exceed 10% Rule","")</f>
      </c>
      <c r="G72" s="696"/>
      <c r="H72" s="643"/>
      <c r="I72" s="643"/>
      <c r="J72" s="697"/>
      <c r="K72" s="610"/>
    </row>
    <row r="73" spans="2:11" ht="15.75">
      <c r="B73" s="98" t="s">
        <v>283</v>
      </c>
      <c r="C73" s="393">
        <f>SUM(C63:C71)</f>
        <v>0</v>
      </c>
      <c r="D73" s="393">
        <f>SUM(D63:D71)</f>
        <v>0</v>
      </c>
      <c r="E73" s="322">
        <f>SUM(E63:E71)</f>
        <v>0</v>
      </c>
      <c r="G73" s="660">
        <f>D74</f>
        <v>0</v>
      </c>
      <c r="H73" s="661" t="str">
        <f>CONCATENATE("",E1-1," Ending Cash Balance (est.)")</f>
        <v>2014 Ending Cash Balance (est.)</v>
      </c>
      <c r="I73" s="662"/>
      <c r="J73" s="697"/>
      <c r="K73" s="610"/>
    </row>
    <row r="74" spans="2:11" ht="15.75">
      <c r="B74" s="80" t="s">
        <v>68</v>
      </c>
      <c r="C74" s="394">
        <f>C61-C73</f>
        <v>0</v>
      </c>
      <c r="D74" s="394">
        <f>D61-D73</f>
        <v>0</v>
      </c>
      <c r="E74" s="315" t="s">
        <v>252</v>
      </c>
      <c r="G74" s="660">
        <f>E60</f>
        <v>0</v>
      </c>
      <c r="H74" s="644" t="str">
        <f>CONCATENATE("",E1," Non-AV Receipts (est.)")</f>
        <v>2015 Non-AV Receipts (est.)</v>
      </c>
      <c r="I74" s="662"/>
      <c r="J74" s="697"/>
      <c r="K74" s="610"/>
    </row>
    <row r="75" spans="2:11" ht="15.75">
      <c r="B75" s="117" t="str">
        <f>CONCATENATE("",$E$1-2,"/",$E$1-1," Budget Authority Amount:")</f>
        <v>2013/2014 Budget Authority Amount:</v>
      </c>
      <c r="C75" s="338">
        <f>inputOth!$B94</f>
        <v>0</v>
      </c>
      <c r="D75" s="83">
        <f>inputPrYr!$D31</f>
        <v>0</v>
      </c>
      <c r="E75" s="315" t="s">
        <v>252</v>
      </c>
      <c r="F75" s="324"/>
      <c r="G75" s="669">
        <f>IF(E79&gt;0,E78,E80)</f>
        <v>0</v>
      </c>
      <c r="H75" s="644" t="str">
        <f>CONCATENATE("",E1," Ad Valorem Tax (est.)")</f>
        <v>2015 Ad Valorem Tax (est.)</v>
      </c>
      <c r="I75" s="662"/>
      <c r="J75" s="697"/>
      <c r="K75" s="670">
        <f>IF(G75=E80,"","Note: Does not include Delinquent Taxes")</f>
      </c>
    </row>
    <row r="76" spans="2:11" ht="15.75">
      <c r="B76" s="117"/>
      <c r="C76" s="822" t="s">
        <v>724</v>
      </c>
      <c r="D76" s="823"/>
      <c r="E76" s="171"/>
      <c r="F76" s="729">
        <f>IF(E73/0.95-E73&lt;E76,"Exceeds 5%","")</f>
      </c>
      <c r="G76" s="699">
        <f>SUM(G73:G75)</f>
        <v>0</v>
      </c>
      <c r="H76" s="644" t="str">
        <f>CONCATENATE("Total ",E1," Resources Available")</f>
        <v>Total 2015 Resources Available</v>
      </c>
      <c r="I76" s="700"/>
      <c r="J76" s="697"/>
      <c r="K76" s="610"/>
    </row>
    <row r="77" spans="2:11" ht="15.75">
      <c r="B77" s="499" t="str">
        <f>CONCATENATE(C87,"     ",D87)</f>
        <v>     </v>
      </c>
      <c r="C77" s="824" t="s">
        <v>725</v>
      </c>
      <c r="D77" s="825"/>
      <c r="E77" s="261">
        <f>E73+E76</f>
        <v>0</v>
      </c>
      <c r="G77" s="701"/>
      <c r="H77" s="702"/>
      <c r="I77" s="643"/>
      <c r="J77" s="697"/>
      <c r="K77" s="610"/>
    </row>
    <row r="78" spans="2:11" ht="15.75">
      <c r="B78" s="499" t="str">
        <f>CONCATENATE(C88,"     ",D88)</f>
        <v>     </v>
      </c>
      <c r="C78" s="502"/>
      <c r="D78" s="501" t="s">
        <v>285</v>
      </c>
      <c r="E78" s="182">
        <f>IF(E77-E61&gt;0,E77-E61,0)</f>
        <v>0</v>
      </c>
      <c r="G78" s="669">
        <f>ROUND(C73*0.05+C73,0)</f>
        <v>0</v>
      </c>
      <c r="H78" s="644" t="str">
        <f>CONCATENATE("Less ",E1-2," Expenditures + 5%")</f>
        <v>Less 2013 Expenditures + 5%</v>
      </c>
      <c r="I78" s="700"/>
      <c r="J78" s="697"/>
      <c r="K78" s="610"/>
    </row>
    <row r="79" spans="2:11" ht="15.75">
      <c r="B79" s="211"/>
      <c r="C79" s="500" t="s">
        <v>726</v>
      </c>
      <c r="D79" s="713">
        <f>inputOth!$E$77</f>
        <v>0</v>
      </c>
      <c r="E79" s="261">
        <f>ROUND(IF(D79&gt;0,(E78*D79),0),0)</f>
        <v>0</v>
      </c>
      <c r="G79" s="677">
        <f>G76-G78</f>
        <v>0</v>
      </c>
      <c r="H79" s="678" t="str">
        <f>CONCATENATE("Projected ",E1+1," carryover (est.)")</f>
        <v>Projected 2016 carryover (est.)</v>
      </c>
      <c r="I79" s="703"/>
      <c r="J79" s="704"/>
      <c r="K79" s="610"/>
    </row>
    <row r="80" spans="2:11" ht="15.75">
      <c r="B80" s="65"/>
      <c r="C80" s="826" t="str">
        <f>CONCATENATE("Amount of  ",$E$1-1," Ad Valorem Tax")</f>
        <v>Amount of  2014 Ad Valorem Tax</v>
      </c>
      <c r="D80" s="827"/>
      <c r="E80" s="182">
        <f>E78+E79</f>
        <v>0</v>
      </c>
      <c r="G80" s="610"/>
      <c r="H80" s="610"/>
      <c r="I80" s="610"/>
      <c r="J80" s="610"/>
      <c r="K80" s="610"/>
    </row>
    <row r="81" spans="2:11" ht="15.75">
      <c r="B81" s="211" t="s">
        <v>266</v>
      </c>
      <c r="C81" s="212"/>
      <c r="D81" s="65"/>
      <c r="E81" s="65"/>
      <c r="G81" s="841" t="s">
        <v>860</v>
      </c>
      <c r="H81" s="842"/>
      <c r="I81" s="842"/>
      <c r="J81" s="843"/>
      <c r="K81" s="610"/>
    </row>
    <row r="82" spans="2:11" ht="15.75">
      <c r="B82" s="113"/>
      <c r="G82" s="684"/>
      <c r="H82" s="661"/>
      <c r="I82" s="685"/>
      <c r="J82" s="686"/>
      <c r="K82" s="610"/>
    </row>
    <row r="83" spans="7:11" ht="15.75">
      <c r="G83" s="687" t="e">
        <f>summ!#REF!</f>
        <v>#REF!</v>
      </c>
      <c r="H83" s="661" t="str">
        <f>CONCATENATE("",E1," Fund Mill Rate")</f>
        <v>2015 Fund Mill Rate</v>
      </c>
      <c r="I83" s="685"/>
      <c r="J83" s="686"/>
      <c r="K83" s="610"/>
    </row>
    <row r="84" spans="7:11" ht="15.75">
      <c r="G84" s="688" t="e">
        <f>summ!#REF!</f>
        <v>#REF!</v>
      </c>
      <c r="H84" s="661" t="str">
        <f>CONCATENATE("",E1-1," Fund Mill Rate")</f>
        <v>2014 Fund Mill Rate</v>
      </c>
      <c r="I84" s="685"/>
      <c r="J84" s="686"/>
      <c r="K84" s="610"/>
    </row>
    <row r="85" spans="3:11" ht="15.75" hidden="1">
      <c r="C85" s="156">
        <f>IF(C33&gt;C35,"See Tab A","")</f>
      </c>
      <c r="D85" s="156">
        <f>IF(D33&gt;D35,"See Tab C","")</f>
      </c>
      <c r="G85" s="690">
        <f>'[1]summ'!I36</f>
        <v>0</v>
      </c>
      <c r="H85" s="661" t="str">
        <f>CONCATENATE("Total ",E1," Mill Rate")</f>
        <v>Total 2015 Mill Rate</v>
      </c>
      <c r="I85" s="685"/>
      <c r="J85" s="686"/>
      <c r="K85" s="610"/>
    </row>
    <row r="86" spans="3:11" ht="15.75" hidden="1">
      <c r="C86" s="156">
        <f>IF(C34&lt;0,"See Tab B","")</f>
      </c>
      <c r="D86" s="156">
        <f>IF(D34&lt;0,"See Tab D","")</f>
      </c>
      <c r="G86" s="688">
        <f>'[1]summ'!F36</f>
        <v>0</v>
      </c>
      <c r="H86" s="691" t="str">
        <f>CONCATENATE("Total ",E1-1," Mill Rate")</f>
        <v>Total 2014 Mill Rate</v>
      </c>
      <c r="I86" s="692"/>
      <c r="J86" s="693"/>
      <c r="K86" s="610"/>
    </row>
    <row r="87" spans="3:4" ht="15.75" hidden="1">
      <c r="C87" s="156">
        <f>IF(C73&gt;C75,"See Tab A","")</f>
      </c>
      <c r="D87" s="156">
        <f>IF(D73&gt;D75,"See Tab C","")</f>
      </c>
    </row>
    <row r="88" spans="3:4" ht="15.75" hidden="1">
      <c r="C88" s="156">
        <f>IF(C74&lt;0,"See Tab B","")</f>
      </c>
      <c r="D88" s="156">
        <f>IF(D74&lt;0,"See Tab D","")</f>
      </c>
    </row>
    <row r="89" spans="7:10" ht="15.75">
      <c r="G89" s="690">
        <f>summ!H22</f>
        <v>17.778</v>
      </c>
      <c r="H89" s="661" t="str">
        <f>CONCATENATE("Total ",E1," Mill Rate")</f>
        <v>Total 2015 Mill Rate</v>
      </c>
      <c r="I89" s="685"/>
      <c r="J89" s="686"/>
    </row>
    <row r="90" spans="7:10" ht="15.75">
      <c r="G90" s="688">
        <f>summ!E22</f>
        <v>17.448</v>
      </c>
      <c r="H90" s="691" t="str">
        <f>CONCATENATE("Total ",E1-1," Mill Rate")</f>
        <v>Total 2014 Mill Rate</v>
      </c>
      <c r="I90" s="692"/>
      <c r="J90" s="693"/>
    </row>
    <row r="92" spans="7:9" ht="15.75">
      <c r="G92" s="740" t="s">
        <v>937</v>
      </c>
      <c r="H92" s="739"/>
      <c r="I92" s="738"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Walnut Township</v>
      </c>
      <c r="B1" s="30"/>
      <c r="C1" s="30"/>
      <c r="D1" s="30"/>
      <c r="E1" s="30">
        <f>inputPrYr!D9</f>
        <v>2015</v>
      </c>
    </row>
    <row r="2" spans="1:5" ht="15.75">
      <c r="A2" s="41" t="str">
        <f>inputPrYr!D4</f>
        <v>Brown County</v>
      </c>
      <c r="B2" s="30"/>
      <c r="C2" s="30"/>
      <c r="D2" s="30"/>
      <c r="E2" s="30"/>
    </row>
    <row r="3" spans="1:5" ht="15.75">
      <c r="A3" s="30"/>
      <c r="B3" s="30"/>
      <c r="C3" s="30"/>
      <c r="D3" s="30"/>
      <c r="E3" s="30"/>
    </row>
    <row r="4" spans="1:5" ht="15.75">
      <c r="A4" s="776" t="s">
        <v>104</v>
      </c>
      <c r="B4" s="777"/>
      <c r="C4" s="777"/>
      <c r="D4" s="777"/>
      <c r="E4" s="777"/>
    </row>
    <row r="5" spans="1:5" ht="15.75">
      <c r="A5" s="30"/>
      <c r="B5" s="30"/>
      <c r="C5" s="30"/>
      <c r="D5" s="30"/>
      <c r="E5" s="30"/>
    </row>
    <row r="6" spans="1:5" ht="15.75">
      <c r="A6" s="780" t="str">
        <f>CONCATENATE("From the County Clerks Budget Information for ",E1,":")</f>
        <v>From the County Clerks Budget Information for 2015:</v>
      </c>
      <c r="B6" s="781"/>
      <c r="C6" s="781"/>
      <c r="D6" s="781"/>
      <c r="E6" s="781"/>
    </row>
    <row r="7" spans="1:5" ht="15.75">
      <c r="A7" s="55" t="str">
        <f>CONCATENATE("Assessed Valuation for ",E1-1,":")</f>
        <v>Assessed Valuation for 2014:</v>
      </c>
      <c r="B7" s="10"/>
      <c r="C7" s="10"/>
      <c r="D7" s="10"/>
      <c r="E7" s="36"/>
    </row>
    <row r="8" spans="1:5" ht="15.75">
      <c r="A8" s="13" t="s">
        <v>152</v>
      </c>
      <c r="B8" s="14"/>
      <c r="C8" s="14"/>
      <c r="D8" s="14"/>
      <c r="E8" s="35">
        <v>14978254</v>
      </c>
    </row>
    <row r="9" spans="1:5" ht="15.75">
      <c r="A9" s="15" t="str">
        <f>inputPrYr!$D$6</f>
        <v>City of Fairview</v>
      </c>
      <c r="B9" s="16"/>
      <c r="C9" s="16"/>
      <c r="D9" s="16"/>
      <c r="E9" s="35">
        <v>2145654</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17123908</v>
      </c>
    </row>
    <row r="12" spans="1:5" ht="15.75">
      <c r="A12" s="54" t="str">
        <f>CONCATENATE("New Improvements for ",E1-1,":")</f>
        <v>New Improvements for 2014:</v>
      </c>
      <c r="B12" s="10"/>
      <c r="C12" s="10"/>
      <c r="D12" s="10"/>
      <c r="E12" s="34"/>
    </row>
    <row r="13" spans="1:5" ht="15.75">
      <c r="A13" s="13" t="s">
        <v>152</v>
      </c>
      <c r="B13" s="14"/>
      <c r="C13" s="14"/>
      <c r="D13" s="14"/>
      <c r="E13" s="52">
        <v>85683</v>
      </c>
    </row>
    <row r="14" spans="1:5" ht="15.75">
      <c r="A14" s="15" t="str">
        <f>inputPrYr!$D$6</f>
        <v>City of Fairview</v>
      </c>
      <c r="B14" s="14"/>
      <c r="C14" s="14"/>
      <c r="D14" s="14"/>
      <c r="E14" s="3"/>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85683</v>
      </c>
    </row>
    <row r="17" spans="1:5" ht="15.75">
      <c r="A17" s="54" t="str">
        <f>CONCATENATE("Personal Property excluding oil, gas, and mobile homes- ",E1-1,":")</f>
        <v>Personal Property excluding oil, gas, and mobile homes- 2014:</v>
      </c>
      <c r="B17" s="10"/>
      <c r="C17" s="10"/>
      <c r="D17" s="10"/>
      <c r="E17" s="34"/>
    </row>
    <row r="18" spans="1:5" ht="15.75">
      <c r="A18" s="13" t="s">
        <v>152</v>
      </c>
      <c r="B18" s="14"/>
      <c r="C18" s="14"/>
      <c r="D18" s="14"/>
      <c r="E18" s="52">
        <v>134365</v>
      </c>
    </row>
    <row r="19" spans="1:5" ht="15.75">
      <c r="A19" s="15" t="str">
        <f>inputPrYr!$D$6</f>
        <v>City of Fairview</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134365</v>
      </c>
    </row>
    <row r="22" spans="1:5" ht="15.75">
      <c r="A22" s="54" t="str">
        <f>CONCATENATE("Property that has changed in use for ",E1-1,":")</f>
        <v>Property that has changed in use for 2014:</v>
      </c>
      <c r="B22" s="10"/>
      <c r="C22" s="10"/>
      <c r="D22" s="10"/>
      <c r="E22" s="34"/>
    </row>
    <row r="23" spans="1:5" ht="15.75">
      <c r="A23" s="13" t="s">
        <v>152</v>
      </c>
      <c r="B23" s="14"/>
      <c r="C23" s="14"/>
      <c r="D23" s="14"/>
      <c r="E23" s="52">
        <v>84283</v>
      </c>
    </row>
    <row r="24" spans="1:5" ht="15.75">
      <c r="A24" s="15" t="str">
        <f>inputPrYr!$D$6</f>
        <v>City of Fairview</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84283</v>
      </c>
    </row>
    <row r="27" spans="1:5" ht="15.75">
      <c r="A27" s="54" t="str">
        <f>CONCATENATE("Personal Property excluding oil, gas, and mobile homes- ",E1-2,":")</f>
        <v>Personal Property excluding oil, gas, and mobile homes- 2013:</v>
      </c>
      <c r="B27" s="10"/>
      <c r="C27" s="10"/>
      <c r="D27" s="10"/>
      <c r="E27" s="34"/>
    </row>
    <row r="28" spans="1:5" ht="15.75">
      <c r="A28" s="13" t="s">
        <v>152</v>
      </c>
      <c r="B28" s="14"/>
      <c r="C28" s="14"/>
      <c r="D28" s="14"/>
      <c r="E28" s="52">
        <v>154015</v>
      </c>
    </row>
    <row r="29" spans="1:5" ht="15.75">
      <c r="A29" s="15" t="str">
        <f>inputPrYr!$D$6</f>
        <v>City of Fairview</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154015</v>
      </c>
    </row>
    <row r="32" spans="1:5" ht="15.75">
      <c r="A32" s="15" t="str">
        <f>CONCATENATE("Gross earnings (intangible) tax estimate for ",E1,"")</f>
        <v>Gross earnings (intangible) tax estimate for 2015</v>
      </c>
      <c r="B32" s="16"/>
      <c r="C32" s="16"/>
      <c r="D32" s="16"/>
      <c r="E32" s="3">
        <v>2075</v>
      </c>
    </row>
    <row r="33" spans="1:5" ht="15.75">
      <c r="A33" s="15" t="str">
        <f>CONCATENATE("Neighborhood Revitalization for ",E1,"")</f>
        <v>Neighborhood Revitalization for 2015</v>
      </c>
      <c r="B33" s="16"/>
      <c r="C33" s="16"/>
      <c r="D33" s="16"/>
      <c r="E33" s="3"/>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78" t="s">
        <v>248</v>
      </c>
      <c r="B36" s="779"/>
      <c r="C36" s="30"/>
      <c r="D36" s="37" t="s">
        <v>260</v>
      </c>
      <c r="E36" s="36"/>
    </row>
    <row r="37" spans="1:5" ht="15.75">
      <c r="A37" s="13" t="str">
        <f>inputPrYr!B20</f>
        <v>General</v>
      </c>
      <c r="B37" s="14"/>
      <c r="C37" s="10"/>
      <c r="D37" s="48">
        <v>0.437</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15.329</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1.682</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238</v>
      </c>
      <c r="C49" s="10"/>
      <c r="D49" s="42">
        <f>SUM(D37:D48)</f>
        <v>17.448</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152</v>
      </c>
      <c r="B52" s="14"/>
      <c r="C52" s="14"/>
      <c r="D52" s="14"/>
      <c r="E52" s="4">
        <v>14835351</v>
      </c>
    </row>
    <row r="53" spans="1:5" ht="15.75">
      <c r="A53" s="16" t="str">
        <f>inputPrYr!D6</f>
        <v>City of Fairview</v>
      </c>
      <c r="B53" s="16"/>
      <c r="C53" s="16"/>
      <c r="D53" s="20"/>
      <c r="E53" s="4">
        <v>2157847</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16993198</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145</v>
      </c>
      <c r="B58" s="14"/>
      <c r="C58" s="14"/>
      <c r="D58" s="8"/>
      <c r="E58" s="7"/>
    </row>
    <row r="59" spans="1:5" ht="15.75">
      <c r="A59" s="13" t="s">
        <v>105</v>
      </c>
      <c r="B59" s="14"/>
      <c r="C59" s="14"/>
      <c r="D59" s="39"/>
      <c r="E59" s="2">
        <v>9285</v>
      </c>
    </row>
    <row r="60" spans="1:5" ht="15.75">
      <c r="A60" s="15" t="s">
        <v>239</v>
      </c>
      <c r="B60" s="16"/>
      <c r="C60" s="16"/>
      <c r="D60" s="40"/>
      <c r="E60" s="2">
        <v>190</v>
      </c>
    </row>
    <row r="61" spans="1:5" ht="15.75">
      <c r="A61" s="15" t="s">
        <v>106</v>
      </c>
      <c r="B61" s="16"/>
      <c r="C61" s="16"/>
      <c r="D61" s="40"/>
      <c r="E61" s="2">
        <v>1529</v>
      </c>
    </row>
    <row r="62" spans="1:5" ht="15.75">
      <c r="A62" s="44" t="s">
        <v>149</v>
      </c>
      <c r="B62" s="45"/>
      <c r="C62" s="16"/>
      <c r="D62" s="40"/>
      <c r="E62" s="31"/>
    </row>
    <row r="63" spans="1:5" ht="15.75">
      <c r="A63" s="13" t="s">
        <v>146</v>
      </c>
      <c r="B63" s="16"/>
      <c r="C63" s="16"/>
      <c r="D63" s="40"/>
      <c r="E63" s="2"/>
    </row>
    <row r="64" spans="1:5" ht="15.75">
      <c r="A64" s="15" t="s">
        <v>147</v>
      </c>
      <c r="B64" s="16"/>
      <c r="C64" s="16"/>
      <c r="D64" s="40"/>
      <c r="E64" s="2"/>
    </row>
    <row r="65" spans="1:5" ht="15.75">
      <c r="A65" s="15" t="s">
        <v>148</v>
      </c>
      <c r="B65" s="16"/>
      <c r="C65" s="16"/>
      <c r="D65" s="40"/>
      <c r="E65" s="2"/>
    </row>
    <row r="66" spans="1:5" ht="15.75">
      <c r="A66" s="44" t="s">
        <v>150</v>
      </c>
      <c r="B66" s="45"/>
      <c r="C66" s="16"/>
      <c r="D66" s="40"/>
      <c r="E66" s="31"/>
    </row>
    <row r="67" spans="1:5" ht="15.75">
      <c r="A67" s="13" t="s">
        <v>146</v>
      </c>
      <c r="B67" s="16"/>
      <c r="C67" s="16"/>
      <c r="D67" s="40"/>
      <c r="E67" s="2"/>
    </row>
    <row r="68" spans="1:5" ht="15.75">
      <c r="A68" s="15" t="s">
        <v>147</v>
      </c>
      <c r="B68" s="16"/>
      <c r="C68" s="16"/>
      <c r="D68" s="40"/>
      <c r="E68" s="2"/>
    </row>
    <row r="69" spans="1:5" ht="15.75">
      <c r="A69" s="15" t="s">
        <v>148</v>
      </c>
      <c r="B69" s="16"/>
      <c r="C69" s="16"/>
      <c r="D69" s="40"/>
      <c r="E69" s="2"/>
    </row>
    <row r="70" spans="1:5" ht="15.75">
      <c r="A70" s="15"/>
      <c r="B70" s="16"/>
      <c r="C70" s="16"/>
      <c r="D70" s="40"/>
      <c r="E70" s="31"/>
    </row>
    <row r="71" spans="1:5" ht="15.75">
      <c r="A71" s="15" t="s">
        <v>107</v>
      </c>
      <c r="B71" s="16"/>
      <c r="C71" s="16"/>
      <c r="D71" s="40"/>
      <c r="E71" s="2"/>
    </row>
    <row r="72" spans="1:5" ht="15.75">
      <c r="A72" s="15" t="s">
        <v>52</v>
      </c>
      <c r="B72" s="14"/>
      <c r="C72" s="14"/>
      <c r="D72" s="39"/>
      <c r="E72" s="2">
        <v>4530</v>
      </c>
    </row>
    <row r="73" spans="1:5" ht="33" customHeight="1">
      <c r="A73" s="782" t="s">
        <v>151</v>
      </c>
      <c r="B73" s="783"/>
      <c r="C73" s="783"/>
      <c r="D73" s="783"/>
      <c r="E73" s="783"/>
    </row>
    <row r="74" spans="1:5" ht="15.75">
      <c r="A74" s="5"/>
      <c r="B74" s="5"/>
      <c r="C74" s="5"/>
      <c r="D74" s="5"/>
      <c r="E74" s="5"/>
    </row>
    <row r="75" spans="1:5" ht="15.75">
      <c r="A75" s="12" t="s">
        <v>108</v>
      </c>
      <c r="B75" s="11"/>
      <c r="C75" s="11"/>
      <c r="D75" s="5"/>
      <c r="E75" s="5"/>
    </row>
    <row r="76" spans="1:5" ht="15.75">
      <c r="A76" s="77" t="str">
        <f>CONCATENATE("Actual Delinquency for ",E36-3," Tax - (rate .01213 = 1.213%, key in 1.2)")</f>
        <v>Actual Delinquency for -3 Tax - (rate .01213 = 1.213%, key in 1.2)</v>
      </c>
      <c r="B76" s="14"/>
      <c r="C76" s="14"/>
      <c r="D76" s="578"/>
      <c r="E76" s="579">
        <v>0</v>
      </c>
    </row>
    <row r="77" spans="1:5" ht="15.75">
      <c r="A77" s="77" t="s">
        <v>800</v>
      </c>
      <c r="B77" s="17"/>
      <c r="C77" s="10"/>
      <c r="D77" s="10"/>
      <c r="E77" s="580">
        <v>0</v>
      </c>
    </row>
    <row r="78" spans="1:5" ht="34.5" customHeight="1">
      <c r="A78" s="774" t="s">
        <v>109</v>
      </c>
      <c r="B78" s="775"/>
      <c r="C78" s="775"/>
      <c r="D78" s="775"/>
      <c r="E78" s="775"/>
    </row>
    <row r="79" spans="1:5" ht="15.75">
      <c r="A79" s="33"/>
      <c r="B79" s="33"/>
      <c r="C79" s="33"/>
      <c r="D79" s="33"/>
      <c r="E79" s="33"/>
    </row>
    <row r="80" spans="1:5" ht="15.75">
      <c r="A80" s="770" t="str">
        <f>CONCATENATE("From the ",E1-2," Budget Certificate Page")</f>
        <v>From the 2013 Budget Certificate Page</v>
      </c>
      <c r="B80" s="771"/>
      <c r="C80" s="33"/>
      <c r="D80" s="33"/>
      <c r="E80" s="33"/>
    </row>
    <row r="81" spans="1:5" ht="15.75">
      <c r="A81" s="57"/>
      <c r="B81" s="57" t="str">
        <f>CONCATENATE("",E1-2," Expenditure Amounts")</f>
        <v>2013 Expenditure Amounts</v>
      </c>
      <c r="C81" s="772" t="str">
        <f>CONCATENATE("Note: If the ",E1-2," budget was amended, then the")</f>
        <v>Note: If the 2013 budget was amended, then the</v>
      </c>
      <c r="D81" s="773"/>
      <c r="E81" s="773"/>
    </row>
    <row r="82" spans="1:5" ht="15.75">
      <c r="A82" s="58" t="s">
        <v>169</v>
      </c>
      <c r="B82" s="58" t="s">
        <v>170</v>
      </c>
      <c r="C82" s="59" t="s">
        <v>171</v>
      </c>
      <c r="D82" s="60"/>
      <c r="E82" s="60"/>
    </row>
    <row r="83" spans="1:5" ht="15.75">
      <c r="A83" s="61" t="str">
        <f>inputPrYr!B20</f>
        <v>General</v>
      </c>
      <c r="B83" s="4">
        <v>10752</v>
      </c>
      <c r="C83" s="59" t="s">
        <v>172</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237907</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26001</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7" sqref="K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Walnut Township</v>
      </c>
      <c r="C1" s="65"/>
      <c r="D1" s="65"/>
      <c r="E1" s="225">
        <f>inputPrYr!D9</f>
        <v>2015</v>
      </c>
    </row>
    <row r="2" spans="2:5" ht="15.75">
      <c r="B2" s="65"/>
      <c r="C2" s="65"/>
      <c r="D2" s="65"/>
      <c r="E2" s="211"/>
    </row>
    <row r="3" spans="2:5" ht="15.75">
      <c r="B3" s="159" t="s">
        <v>91</v>
      </c>
      <c r="C3" s="70"/>
      <c r="D3" s="70"/>
      <c r="E3" s="70"/>
    </row>
    <row r="4" spans="2:5" ht="15.75">
      <c r="B4" s="72" t="s">
        <v>267</v>
      </c>
      <c r="C4" s="205" t="s">
        <v>268</v>
      </c>
      <c r="D4" s="74" t="s">
        <v>269</v>
      </c>
      <c r="E4" s="74" t="s">
        <v>270</v>
      </c>
    </row>
    <row r="5" spans="2:5" ht="15.75">
      <c r="B5" s="484">
        <f>inputPrYr!B35</f>
        <v>0</v>
      </c>
      <c r="C5" s="79" t="str">
        <f>gen!C5</f>
        <v>Actual for 2013</v>
      </c>
      <c r="D5" s="79" t="str">
        <f>gen!D5</f>
        <v>Estimate for 2014</v>
      </c>
      <c r="E5" s="79" t="str">
        <f>gen!E5</f>
        <v>Year for 2015</v>
      </c>
    </row>
    <row r="6" spans="2:5" ht="15.75">
      <c r="B6" s="335" t="s">
        <v>92</v>
      </c>
      <c r="C6" s="171"/>
      <c r="D6" s="261">
        <f>C29</f>
        <v>0</v>
      </c>
      <c r="E6" s="261">
        <f>D29</f>
        <v>0</v>
      </c>
    </row>
    <row r="7" spans="2:5" s="156" customFormat="1" ht="15.75">
      <c r="B7" s="336" t="s">
        <v>69</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279</v>
      </c>
      <c r="C12" s="171"/>
      <c r="D12" s="171"/>
      <c r="E12" s="171"/>
    </row>
    <row r="13" spans="2:5" ht="15.75">
      <c r="B13" s="319" t="s">
        <v>225</v>
      </c>
      <c r="C13" s="171"/>
      <c r="D13" s="314"/>
      <c r="E13" s="314"/>
    </row>
    <row r="14" spans="2:5" ht="15.75">
      <c r="B14" s="319" t="s">
        <v>226</v>
      </c>
      <c r="C14" s="323">
        <f>IF(C15*0.1&lt;C13,"Exceed 10% Rule","")</f>
      </c>
      <c r="D14" s="320">
        <f>IF(D15*0.1&lt;D13,"Exceed 10% Rule","")</f>
      </c>
      <c r="E14" s="320">
        <f>IF(E15*0.1&lt;E13,"Exceed 10% Rule","")</f>
      </c>
    </row>
    <row r="15" spans="2:5" ht="15.75">
      <c r="B15" s="98" t="s">
        <v>280</v>
      </c>
      <c r="C15" s="322">
        <f>SUM(C8:C13)</f>
        <v>0</v>
      </c>
      <c r="D15" s="322">
        <f>SUM(D8:D13)</f>
        <v>0</v>
      </c>
      <c r="E15" s="322">
        <f>SUM(E8:E13)</f>
        <v>0</v>
      </c>
    </row>
    <row r="16" spans="2:5" ht="15.75">
      <c r="B16" s="98" t="s">
        <v>281</v>
      </c>
      <c r="C16" s="331">
        <f>C6+C15</f>
        <v>0</v>
      </c>
      <c r="D16" s="331">
        <f>D6+D15</f>
        <v>0</v>
      </c>
      <c r="E16" s="331">
        <f>E6+E15</f>
        <v>0</v>
      </c>
    </row>
    <row r="17" spans="2:5" ht="15.75">
      <c r="B17" s="80" t="s">
        <v>282</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225</v>
      </c>
      <c r="C26" s="171"/>
      <c r="D26" s="314"/>
      <c r="E26" s="314"/>
    </row>
    <row r="27" spans="2:5" ht="15.75">
      <c r="B27" s="316" t="s">
        <v>727</v>
      </c>
      <c r="C27" s="323">
        <f>IF(C28*0.1&lt;C26,"Exceed 10% Rule","")</f>
      </c>
      <c r="D27" s="320">
        <f>IF(D28*0.1&lt;D26,"Exceed 10% Rule","")</f>
      </c>
      <c r="E27" s="320">
        <f>IF(E28*0.1&lt;E26,"Exceed 10% Rule","")</f>
      </c>
    </row>
    <row r="28" spans="2:5" ht="15.75">
      <c r="B28" s="98" t="s">
        <v>283</v>
      </c>
      <c r="C28" s="322">
        <f>SUM(C18:C26)</f>
        <v>0</v>
      </c>
      <c r="D28" s="322">
        <f>SUM(D18:D26)</f>
        <v>0</v>
      </c>
      <c r="E28" s="322">
        <f>SUM(E18:E26)</f>
        <v>0</v>
      </c>
    </row>
    <row r="29" spans="2:5" ht="15.75">
      <c r="B29" s="80" t="s">
        <v>68</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267</v>
      </c>
      <c r="C34" s="70"/>
      <c r="D34" s="70"/>
      <c r="E34" s="70"/>
    </row>
    <row r="35" spans="2:5" ht="15.75">
      <c r="B35" s="65"/>
      <c r="C35" s="205" t="s">
        <v>268</v>
      </c>
      <c r="D35" s="74" t="s">
        <v>269</v>
      </c>
      <c r="E35" s="74" t="s">
        <v>270</v>
      </c>
    </row>
    <row r="36" spans="2:5" ht="15.75">
      <c r="B36" s="485">
        <f>inputPrYr!B36</f>
        <v>0</v>
      </c>
      <c r="C36" s="79" t="str">
        <f>C5</f>
        <v>Actual for 2013</v>
      </c>
      <c r="D36" s="79" t="str">
        <f>D5</f>
        <v>Estimate for 2014</v>
      </c>
      <c r="E36" s="79" t="str">
        <f>E5</f>
        <v>Year for 2015</v>
      </c>
    </row>
    <row r="37" spans="2:5" ht="15.75">
      <c r="B37" s="335" t="s">
        <v>92</v>
      </c>
      <c r="C37" s="171"/>
      <c r="D37" s="261">
        <f>C60</f>
        <v>0</v>
      </c>
      <c r="E37" s="261">
        <f>D60</f>
        <v>0</v>
      </c>
    </row>
    <row r="38" spans="2:5" s="156" customFormat="1" ht="15.75">
      <c r="B38" s="335" t="s">
        <v>69</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279</v>
      </c>
      <c r="C43" s="171"/>
      <c r="D43" s="171"/>
      <c r="E43" s="171"/>
    </row>
    <row r="44" spans="2:5" ht="15.75">
      <c r="B44" s="319" t="s">
        <v>225</v>
      </c>
      <c r="C44" s="171"/>
      <c r="D44" s="314"/>
      <c r="E44" s="314"/>
    </row>
    <row r="45" spans="2:5" ht="15.75">
      <c r="B45" s="319" t="s">
        <v>226</v>
      </c>
      <c r="C45" s="323">
        <f>IF(C46*0.1&lt;C44,"Exceed 10% Rule","")</f>
      </c>
      <c r="D45" s="320">
        <f>IF(D46*0.1&lt;D44,"Exceed 10% Rule","")</f>
      </c>
      <c r="E45" s="320">
        <f>IF(E46*0.1&lt;E44,"Exceed 10% Rule","")</f>
      </c>
    </row>
    <row r="46" spans="2:5" ht="15.75">
      <c r="B46" s="98" t="s">
        <v>280</v>
      </c>
      <c r="C46" s="322">
        <f>SUM(C39:C44)</f>
        <v>0</v>
      </c>
      <c r="D46" s="322">
        <f>SUM(D39:D44)</f>
        <v>0</v>
      </c>
      <c r="E46" s="322">
        <f>SUM(E39:E44)</f>
        <v>0</v>
      </c>
    </row>
    <row r="47" spans="2:5" ht="15.75">
      <c r="B47" s="98" t="s">
        <v>281</v>
      </c>
      <c r="C47" s="322">
        <f>C37+C46</f>
        <v>0</v>
      </c>
      <c r="D47" s="322">
        <f>D37+D46</f>
        <v>0</v>
      </c>
      <c r="E47" s="322">
        <f>E37+E46</f>
        <v>0</v>
      </c>
    </row>
    <row r="48" spans="2:5" ht="15.75">
      <c r="B48" s="80" t="s">
        <v>282</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225</v>
      </c>
      <c r="C57" s="171"/>
      <c r="D57" s="314"/>
      <c r="E57" s="314"/>
    </row>
    <row r="58" spans="2:5" ht="15.75">
      <c r="B58" s="316" t="s">
        <v>727</v>
      </c>
      <c r="C58" s="323">
        <f>IF(C59*0.1&lt;C57,"Exceed 10% Rule","")</f>
      </c>
      <c r="D58" s="320">
        <f>IF(D59*0.1&lt;D57,"Exceed 10% Rule","")</f>
      </c>
      <c r="E58" s="320">
        <f>IF(E59*0.1&lt;E57,"Exceed 10% Rule","")</f>
      </c>
    </row>
    <row r="59" spans="2:5" ht="15.75">
      <c r="B59" s="98" t="s">
        <v>283</v>
      </c>
      <c r="C59" s="322">
        <f>SUM(C49:C57)</f>
        <v>0</v>
      </c>
      <c r="D59" s="322">
        <f>SUM(D49:D57)</f>
        <v>0</v>
      </c>
      <c r="E59" s="322">
        <f>SUM(E49:E57)</f>
        <v>0</v>
      </c>
    </row>
    <row r="60" spans="2:5" ht="15.75">
      <c r="B60" s="80" t="s">
        <v>68</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266</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7" sqref="K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Walnut Township</v>
      </c>
      <c r="C1" s="65"/>
      <c r="D1" s="65"/>
      <c r="E1" s="225">
        <f>inputPrYr!D9</f>
        <v>2015</v>
      </c>
    </row>
    <row r="2" spans="2:5" ht="15.75">
      <c r="B2" s="65"/>
      <c r="C2" s="65"/>
      <c r="D2" s="65"/>
      <c r="E2" s="211"/>
    </row>
    <row r="3" spans="2:5" ht="15.75">
      <c r="B3" s="159" t="s">
        <v>91</v>
      </c>
      <c r="C3" s="70"/>
      <c r="D3" s="70"/>
      <c r="E3" s="70"/>
    </row>
    <row r="4" spans="2:5" ht="15.75">
      <c r="B4" s="72" t="s">
        <v>267</v>
      </c>
      <c r="C4" s="205" t="s">
        <v>268</v>
      </c>
      <c r="D4" s="74" t="s">
        <v>269</v>
      </c>
      <c r="E4" s="74" t="s">
        <v>270</v>
      </c>
    </row>
    <row r="5" spans="2:5" ht="15.75">
      <c r="B5" s="178">
        <f>inputPrYr!B37</f>
        <v>0</v>
      </c>
      <c r="C5" s="79" t="str">
        <f>gen!C5</f>
        <v>Actual for 2013</v>
      </c>
      <c r="D5" s="79" t="str">
        <f>gen!D5</f>
        <v>Estimate for 2014</v>
      </c>
      <c r="E5" s="79" t="str">
        <f>gen!E5</f>
        <v>Year for 2015</v>
      </c>
    </row>
    <row r="6" spans="2:5" ht="15.75">
      <c r="B6" s="335" t="s">
        <v>92</v>
      </c>
      <c r="C6" s="171"/>
      <c r="D6" s="261">
        <f>C29</f>
        <v>0</v>
      </c>
      <c r="E6" s="261">
        <f>D29</f>
        <v>0</v>
      </c>
    </row>
    <row r="7" spans="2:5" s="156" customFormat="1" ht="15.75">
      <c r="B7" s="336" t="s">
        <v>69</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279</v>
      </c>
      <c r="C12" s="171"/>
      <c r="D12" s="171"/>
      <c r="E12" s="171"/>
    </row>
    <row r="13" spans="2:5" ht="15.75">
      <c r="B13" s="319" t="s">
        <v>225</v>
      </c>
      <c r="C13" s="171"/>
      <c r="D13" s="314"/>
      <c r="E13" s="314"/>
    </row>
    <row r="14" spans="2:5" ht="15.75">
      <c r="B14" s="319" t="s">
        <v>226</v>
      </c>
      <c r="C14" s="323">
        <f>IF(C15*0.1&lt;C13,"Exceed 10% Rule","")</f>
      </c>
      <c r="D14" s="320">
        <f>IF(D15*0.1&lt;D13,"Exceed 10% Rule","")</f>
      </c>
      <c r="E14" s="320">
        <f>IF(E15*0.1&lt;E13,"Exceed 10% Rule","")</f>
      </c>
    </row>
    <row r="15" spans="2:5" ht="15.75">
      <c r="B15" s="98" t="s">
        <v>280</v>
      </c>
      <c r="C15" s="322">
        <f>SUM(C8:C13)</f>
        <v>0</v>
      </c>
      <c r="D15" s="322">
        <f>SUM(D8:D13)</f>
        <v>0</v>
      </c>
      <c r="E15" s="322">
        <f>SUM(E8:E13)</f>
        <v>0</v>
      </c>
    </row>
    <row r="16" spans="2:5" ht="15.75">
      <c r="B16" s="98" t="s">
        <v>281</v>
      </c>
      <c r="C16" s="322">
        <f>C6+C15</f>
        <v>0</v>
      </c>
      <c r="D16" s="322">
        <f>D6+D15</f>
        <v>0</v>
      </c>
      <c r="E16" s="322">
        <f>E6+E15</f>
        <v>0</v>
      </c>
    </row>
    <row r="17" spans="2:5" ht="15.75">
      <c r="B17" s="80" t="s">
        <v>282</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225</v>
      </c>
      <c r="C26" s="171"/>
      <c r="D26" s="314"/>
      <c r="E26" s="314"/>
    </row>
    <row r="27" spans="2:5" ht="15.75">
      <c r="B27" s="316" t="s">
        <v>727</v>
      </c>
      <c r="C27" s="323">
        <f>IF(C28*0.1&lt;C26,"Exceed 10% Rule","")</f>
      </c>
      <c r="D27" s="320">
        <f>IF(D28*0.1&lt;D26,"Exceed 10% Rule","")</f>
      </c>
      <c r="E27" s="320">
        <f>IF(E28*0.1&lt;E26,"Exceed 10% Rule","")</f>
      </c>
    </row>
    <row r="28" spans="2:5" ht="15.75">
      <c r="B28" s="98" t="s">
        <v>283</v>
      </c>
      <c r="C28" s="322">
        <f>SUM(C18:C26)</f>
        <v>0</v>
      </c>
      <c r="D28" s="322">
        <f>SUM(D18:D26)</f>
        <v>0</v>
      </c>
      <c r="E28" s="322">
        <f>SUM(E18:E26)</f>
        <v>0</v>
      </c>
    </row>
    <row r="29" spans="2:5" ht="15.75">
      <c r="B29" s="80" t="s">
        <v>68</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267</v>
      </c>
      <c r="C34" s="70"/>
      <c r="D34" s="70"/>
      <c r="E34" s="70"/>
    </row>
    <row r="35" spans="2:5" ht="15.75">
      <c r="B35" s="65"/>
      <c r="C35" s="205" t="s">
        <v>268</v>
      </c>
      <c r="D35" s="74" t="s">
        <v>269</v>
      </c>
      <c r="E35" s="74" t="s">
        <v>270</v>
      </c>
    </row>
    <row r="36" spans="2:5" ht="15.75">
      <c r="B36" s="240">
        <f>inputPrYr!B38</f>
        <v>0</v>
      </c>
      <c r="C36" s="79" t="str">
        <f>C5</f>
        <v>Actual for 2013</v>
      </c>
      <c r="D36" s="79" t="str">
        <f>D5</f>
        <v>Estimate for 2014</v>
      </c>
      <c r="E36" s="79" t="str">
        <f>E5</f>
        <v>Year for 2015</v>
      </c>
    </row>
    <row r="37" spans="2:5" ht="15.75">
      <c r="B37" s="335" t="s">
        <v>92</v>
      </c>
      <c r="C37" s="171"/>
      <c r="D37" s="261">
        <f>C60</f>
        <v>0</v>
      </c>
      <c r="E37" s="261">
        <f>D60</f>
        <v>0</v>
      </c>
    </row>
    <row r="38" spans="2:5" s="156" customFormat="1" ht="15.75">
      <c r="B38" s="335" t="s">
        <v>69</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279</v>
      </c>
      <c r="C43" s="171"/>
      <c r="D43" s="171"/>
      <c r="E43" s="171"/>
    </row>
    <row r="44" spans="2:5" ht="15.75">
      <c r="B44" s="319" t="s">
        <v>225</v>
      </c>
      <c r="C44" s="171"/>
      <c r="D44" s="314"/>
      <c r="E44" s="314"/>
    </row>
    <row r="45" spans="2:5" ht="15.75">
      <c r="B45" s="319" t="s">
        <v>226</v>
      </c>
      <c r="C45" s="323">
        <f>IF(C46*0.1&lt;C44,"Exceed 10% Rule","")</f>
      </c>
      <c r="D45" s="320">
        <f>IF(D46*0.1&lt;D44,"Exceed 10% Rule","")</f>
      </c>
      <c r="E45" s="320">
        <f>IF(E46*0.1&lt;E44,"Exceed 10% Rule","")</f>
      </c>
    </row>
    <row r="46" spans="2:5" ht="15.75">
      <c r="B46" s="98" t="s">
        <v>280</v>
      </c>
      <c r="C46" s="322">
        <f>SUM(C39:C44)</f>
        <v>0</v>
      </c>
      <c r="D46" s="322">
        <f>SUM(D39:D44)</f>
        <v>0</v>
      </c>
      <c r="E46" s="322">
        <f>SUM(E39:E44)</f>
        <v>0</v>
      </c>
    </row>
    <row r="47" spans="2:5" ht="15.75">
      <c r="B47" s="98" t="s">
        <v>281</v>
      </c>
      <c r="C47" s="322">
        <f>C37+C46</f>
        <v>0</v>
      </c>
      <c r="D47" s="322">
        <f>D37+D46</f>
        <v>0</v>
      </c>
      <c r="E47" s="322">
        <f>E37+E46</f>
        <v>0</v>
      </c>
    </row>
    <row r="48" spans="2:5" ht="15.75">
      <c r="B48" s="80" t="s">
        <v>282</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225</v>
      </c>
      <c r="C57" s="171"/>
      <c r="D57" s="314"/>
      <c r="E57" s="314"/>
    </row>
    <row r="58" spans="2:5" ht="15.75">
      <c r="B58" s="316" t="s">
        <v>727</v>
      </c>
      <c r="C58" s="323">
        <f>IF(C59*0.1&lt;C57,"Exceed 10% Rule","")</f>
      </c>
      <c r="D58" s="320">
        <f>IF(D59*0.1&lt;D57,"Exceed 10% Rule","")</f>
      </c>
      <c r="E58" s="320">
        <f>IF(E59*0.1&lt;E57,"Exceed 10% Rule","")</f>
      </c>
    </row>
    <row r="59" spans="2:5" ht="15.75">
      <c r="B59" s="98" t="s">
        <v>283</v>
      </c>
      <c r="C59" s="322">
        <f>SUM(C49:C57)</f>
        <v>0</v>
      </c>
      <c r="D59" s="322">
        <f>SUM(D49:D57)</f>
        <v>0</v>
      </c>
      <c r="E59" s="322">
        <f>SUM(E49:E57)</f>
        <v>0</v>
      </c>
    </row>
    <row r="60" spans="2:5" ht="15.75">
      <c r="B60" s="80" t="s">
        <v>68</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728</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7" sqref="K7"/>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Walnut Township</v>
      </c>
      <c r="B1" s="119"/>
      <c r="C1" s="112"/>
      <c r="D1" s="112"/>
      <c r="E1" s="112"/>
      <c r="F1" s="120" t="s">
        <v>332</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333</v>
      </c>
      <c r="B3" s="112"/>
      <c r="C3" s="112"/>
      <c r="D3" s="112"/>
      <c r="E3" s="112"/>
      <c r="F3" s="119"/>
      <c r="G3" s="112"/>
      <c r="H3" s="112"/>
      <c r="I3" s="112"/>
      <c r="J3" s="112"/>
      <c r="K3" s="112"/>
    </row>
    <row r="4" spans="1:11" ht="15.75">
      <c r="A4" s="112" t="s">
        <v>334</v>
      </c>
      <c r="B4" s="112"/>
      <c r="C4" s="112" t="s">
        <v>335</v>
      </c>
      <c r="D4" s="112"/>
      <c r="E4" s="112" t="s">
        <v>336</v>
      </c>
      <c r="F4" s="119"/>
      <c r="G4" s="112" t="s">
        <v>337</v>
      </c>
      <c r="H4" s="112"/>
      <c r="I4" s="112" t="s">
        <v>338</v>
      </c>
      <c r="J4" s="112"/>
      <c r="K4" s="112"/>
    </row>
    <row r="5" spans="1:11" ht="15.75">
      <c r="A5" s="922">
        <f>inputPrYr!B41</f>
        <v>0</v>
      </c>
      <c r="B5" s="923"/>
      <c r="C5" s="922">
        <f>inputPrYr!B42</f>
        <v>0</v>
      </c>
      <c r="D5" s="923"/>
      <c r="E5" s="922">
        <f>inputPrYr!B43</f>
        <v>0</v>
      </c>
      <c r="F5" s="923"/>
      <c r="G5" s="924">
        <f>inputPrYr!B44</f>
        <v>0</v>
      </c>
      <c r="H5" s="923"/>
      <c r="I5" s="924">
        <f>inputPrYr!B45</f>
        <v>0</v>
      </c>
      <c r="J5" s="923"/>
      <c r="K5" s="124"/>
    </row>
    <row r="6" spans="1:11" ht="15.75">
      <c r="A6" s="125" t="s">
        <v>339</v>
      </c>
      <c r="B6" s="126"/>
      <c r="C6" s="127" t="s">
        <v>339</v>
      </c>
      <c r="D6" s="128"/>
      <c r="E6" s="127" t="s">
        <v>339</v>
      </c>
      <c r="F6" s="129"/>
      <c r="G6" s="127" t="s">
        <v>339</v>
      </c>
      <c r="H6" s="123"/>
      <c r="I6" s="127" t="s">
        <v>339</v>
      </c>
      <c r="J6" s="112"/>
      <c r="K6" s="130" t="s">
        <v>238</v>
      </c>
    </row>
    <row r="7" spans="1:11" ht="15.75">
      <c r="A7" s="131" t="s">
        <v>340</v>
      </c>
      <c r="B7" s="132"/>
      <c r="C7" s="133" t="s">
        <v>340</v>
      </c>
      <c r="D7" s="132"/>
      <c r="E7" s="133" t="s">
        <v>340</v>
      </c>
      <c r="F7" s="132"/>
      <c r="G7" s="133" t="s">
        <v>340</v>
      </c>
      <c r="H7" s="132"/>
      <c r="I7" s="133" t="s">
        <v>340</v>
      </c>
      <c r="J7" s="132"/>
      <c r="K7" s="134">
        <f>SUM(B7+D7+F7+H7+J7)</f>
        <v>0</v>
      </c>
    </row>
    <row r="8" spans="1:11" ht="15.75">
      <c r="A8" s="135" t="s">
        <v>69</v>
      </c>
      <c r="B8" s="136"/>
      <c r="C8" s="135" t="s">
        <v>69</v>
      </c>
      <c r="D8" s="137"/>
      <c r="E8" s="135" t="s">
        <v>69</v>
      </c>
      <c r="F8" s="119"/>
      <c r="G8" s="135" t="s">
        <v>69</v>
      </c>
      <c r="H8" s="112"/>
      <c r="I8" s="135" t="s">
        <v>69</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280</v>
      </c>
      <c r="B17" s="134">
        <f>SUM(B9:B16)</f>
        <v>0</v>
      </c>
      <c r="C17" s="135" t="s">
        <v>280</v>
      </c>
      <c r="D17" s="134">
        <f>SUM(D9:D16)</f>
        <v>0</v>
      </c>
      <c r="E17" s="135" t="s">
        <v>280</v>
      </c>
      <c r="F17" s="148">
        <f>SUM(F9:F16)</f>
        <v>0</v>
      </c>
      <c r="G17" s="135" t="s">
        <v>280</v>
      </c>
      <c r="H17" s="134">
        <f>SUM(H9:H16)</f>
        <v>0</v>
      </c>
      <c r="I17" s="135" t="s">
        <v>280</v>
      </c>
      <c r="J17" s="134">
        <f>SUM(J9:J16)</f>
        <v>0</v>
      </c>
      <c r="K17" s="134">
        <f>SUM(B17+D17+F17+H17+J17)</f>
        <v>0</v>
      </c>
    </row>
    <row r="18" spans="1:11" ht="15.75">
      <c r="A18" s="135" t="s">
        <v>281</v>
      </c>
      <c r="B18" s="134">
        <f>SUM(B7+B17)</f>
        <v>0</v>
      </c>
      <c r="C18" s="135" t="s">
        <v>281</v>
      </c>
      <c r="D18" s="134">
        <f>SUM(D7+D17)</f>
        <v>0</v>
      </c>
      <c r="E18" s="135" t="s">
        <v>281</v>
      </c>
      <c r="F18" s="134">
        <f>SUM(F7+F17)</f>
        <v>0</v>
      </c>
      <c r="G18" s="135" t="s">
        <v>281</v>
      </c>
      <c r="H18" s="134">
        <f>SUM(H7+H17)</f>
        <v>0</v>
      </c>
      <c r="I18" s="135" t="s">
        <v>281</v>
      </c>
      <c r="J18" s="134">
        <f>SUM(J7+J17)</f>
        <v>0</v>
      </c>
      <c r="K18" s="134">
        <f>SUM(B18+D18+F18+H18+J18)</f>
        <v>0</v>
      </c>
    </row>
    <row r="19" spans="1:11" ht="15.75">
      <c r="A19" s="135" t="s">
        <v>282</v>
      </c>
      <c r="B19" s="136"/>
      <c r="C19" s="135" t="s">
        <v>282</v>
      </c>
      <c r="D19" s="137"/>
      <c r="E19" s="135" t="s">
        <v>282</v>
      </c>
      <c r="F19" s="119"/>
      <c r="G19" s="135" t="s">
        <v>282</v>
      </c>
      <c r="H19" s="112"/>
      <c r="I19" s="135" t="s">
        <v>282</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283</v>
      </c>
      <c r="B28" s="134">
        <f>SUM(B20:B27)</f>
        <v>0</v>
      </c>
      <c r="C28" s="135" t="s">
        <v>283</v>
      </c>
      <c r="D28" s="134">
        <f>SUM(D20:D27)</f>
        <v>0</v>
      </c>
      <c r="E28" s="135" t="s">
        <v>283</v>
      </c>
      <c r="F28" s="148">
        <f>SUM(F20:F27)</f>
        <v>0</v>
      </c>
      <c r="G28" s="135" t="s">
        <v>283</v>
      </c>
      <c r="H28" s="148">
        <f>SUM(H20:H27)</f>
        <v>0</v>
      </c>
      <c r="I28" s="135" t="s">
        <v>283</v>
      </c>
      <c r="J28" s="134">
        <f>SUM(J20:J27)</f>
        <v>0</v>
      </c>
      <c r="K28" s="134">
        <f>SUM(B28+D28+F28+H28+J28)</f>
        <v>0</v>
      </c>
    </row>
    <row r="29" spans="1:12" ht="15.75">
      <c r="A29" s="135" t="s">
        <v>341</v>
      </c>
      <c r="B29" s="134">
        <f>SUM(B18-B28)</f>
        <v>0</v>
      </c>
      <c r="C29" s="135" t="s">
        <v>341</v>
      </c>
      <c r="D29" s="134">
        <f>SUM(D18-D28)</f>
        <v>0</v>
      </c>
      <c r="E29" s="135" t="s">
        <v>341</v>
      </c>
      <c r="F29" s="134">
        <f>SUM(F18-F28)</f>
        <v>0</v>
      </c>
      <c r="G29" s="135" t="s">
        <v>341</v>
      </c>
      <c r="H29" s="134">
        <f>SUM(H18-H28)</f>
        <v>0</v>
      </c>
      <c r="I29" s="135" t="s">
        <v>341</v>
      </c>
      <c r="J29" s="134">
        <f>SUM(J18-J28)</f>
        <v>0</v>
      </c>
      <c r="K29" s="149">
        <f>SUM(B29+D29+F29+H29+J29)</f>
        <v>0</v>
      </c>
      <c r="L29" s="113" t="s">
        <v>342</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342</v>
      </c>
    </row>
    <row r="31" spans="1:11" ht="15.75">
      <c r="A31" s="112"/>
      <c r="B31" s="150"/>
      <c r="C31" s="112"/>
      <c r="D31" s="119"/>
      <c r="E31" s="112"/>
      <c r="F31" s="112"/>
      <c r="G31" s="151" t="s">
        <v>343</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266</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K7" sqref="K7"/>
    </sheetView>
  </sheetViews>
  <sheetFormatPr defaultColWidth="8.796875" defaultRowHeight="15.75"/>
  <cols>
    <col min="1" max="1" width="62.3984375" style="109" customWidth="1"/>
    <col min="2" max="16384" width="8.796875" style="109" customWidth="1"/>
  </cols>
  <sheetData>
    <row r="1" ht="20.25">
      <c r="A1" s="357" t="s">
        <v>350</v>
      </c>
    </row>
    <row r="2" ht="53.25" customHeight="1">
      <c r="A2" s="217" t="s">
        <v>351</v>
      </c>
    </row>
    <row r="3" ht="15.75">
      <c r="A3" s="358"/>
    </row>
    <row r="4" ht="58.5" customHeight="1">
      <c r="A4" s="217" t="s">
        <v>352</v>
      </c>
    </row>
    <row r="5" ht="15.75">
      <c r="A5" s="113"/>
    </row>
    <row r="6" ht="55.5" customHeight="1">
      <c r="A6" s="217" t="s">
        <v>353</v>
      </c>
    </row>
    <row r="7" ht="15.75">
      <c r="A7" s="358"/>
    </row>
    <row r="8" ht="42.75" customHeight="1">
      <c r="A8" s="217" t="s">
        <v>354</v>
      </c>
    </row>
    <row r="9" ht="15.75">
      <c r="A9" s="113"/>
    </row>
    <row r="10" ht="31.5">
      <c r="A10" s="217" t="s">
        <v>355</v>
      </c>
    </row>
    <row r="11" ht="15.75">
      <c r="A11" s="358"/>
    </row>
    <row r="12" ht="69.75" customHeight="1">
      <c r="A12" s="217" t="s">
        <v>356</v>
      </c>
    </row>
    <row r="13" ht="15.75">
      <c r="A13" s="358"/>
    </row>
    <row r="14" ht="40.5" customHeight="1">
      <c r="A14" s="217" t="s">
        <v>357</v>
      </c>
    </row>
    <row r="15" ht="15.75">
      <c r="A15" s="113"/>
    </row>
    <row r="16" ht="56.25" customHeight="1">
      <c r="A16" s="217" t="s">
        <v>358</v>
      </c>
    </row>
    <row r="17" ht="15.75">
      <c r="A17" s="358"/>
    </row>
    <row r="18" ht="54.75" customHeight="1">
      <c r="A18" s="217" t="s">
        <v>359</v>
      </c>
    </row>
    <row r="19" ht="15.75">
      <c r="A19" s="358"/>
    </row>
    <row r="20" ht="55.5" customHeight="1">
      <c r="A20" s="217" t="s">
        <v>360</v>
      </c>
    </row>
    <row r="21" ht="15.75">
      <c r="A21" s="358"/>
    </row>
    <row r="22" ht="76.5" customHeight="1">
      <c r="A22" s="217" t="s">
        <v>361</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633</v>
      </c>
    </row>
    <row r="3" ht="31.5">
      <c r="A3" s="489" t="s">
        <v>634</v>
      </c>
    </row>
    <row r="4" ht="15.75">
      <c r="A4" s="490" t="s">
        <v>635</v>
      </c>
    </row>
    <row r="7" ht="31.5">
      <c r="A7" s="489" t="s">
        <v>636</v>
      </c>
    </row>
    <row r="8" ht="15.75">
      <c r="A8" s="490" t="s">
        <v>637</v>
      </c>
    </row>
    <row r="11" ht="15.75">
      <c r="A11" s="488" t="s">
        <v>638</v>
      </c>
    </row>
    <row r="12" ht="15.75">
      <c r="A12" s="490" t="s">
        <v>639</v>
      </c>
    </row>
    <row r="15" ht="15.75">
      <c r="A15" s="488" t="s">
        <v>640</v>
      </c>
    </row>
    <row r="16" ht="15.75">
      <c r="A16" s="490" t="s">
        <v>641</v>
      </c>
    </row>
    <row r="19" ht="15.75">
      <c r="A19" s="488" t="s">
        <v>642</v>
      </c>
    </row>
    <row r="20" ht="15.75">
      <c r="A20" s="490" t="s">
        <v>643</v>
      </c>
    </row>
    <row r="23" ht="15.75">
      <c r="A23" s="488" t="s">
        <v>644</v>
      </c>
    </row>
    <row r="24" ht="15.75">
      <c r="A24" s="490" t="s">
        <v>645</v>
      </c>
    </row>
    <row r="27" ht="15.75">
      <c r="A27" s="488" t="s">
        <v>646</v>
      </c>
    </row>
    <row r="28" ht="15.75">
      <c r="A28" s="490" t="s">
        <v>647</v>
      </c>
    </row>
    <row r="31" ht="15.75">
      <c r="A31" s="488" t="s">
        <v>648</v>
      </c>
    </row>
    <row r="32" ht="15.75">
      <c r="A32" s="490" t="s">
        <v>649</v>
      </c>
    </row>
    <row r="35" ht="15.75">
      <c r="A35" s="488" t="s">
        <v>650</v>
      </c>
    </row>
    <row r="36" ht="15.75">
      <c r="A36" s="490" t="s">
        <v>651</v>
      </c>
    </row>
    <row r="39" ht="15.75">
      <c r="A39" s="488" t="s">
        <v>652</v>
      </c>
    </row>
    <row r="40" ht="15.75">
      <c r="A40" s="490" t="s">
        <v>653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5" t="s">
        <v>944</v>
      </c>
    </row>
    <row r="2" ht="15.75">
      <c r="A2" s="737" t="s">
        <v>945</v>
      </c>
    </row>
    <row r="4" ht="15.75">
      <c r="A4" s="555" t="s">
        <v>941</v>
      </c>
    </row>
    <row r="5" ht="15.75">
      <c r="A5" s="737" t="s">
        <v>942</v>
      </c>
    </row>
    <row r="7" ht="15.75">
      <c r="A7" s="555" t="s">
        <v>938</v>
      </c>
    </row>
    <row r="8" ht="15.75">
      <c r="A8" s="741" t="s">
        <v>939</v>
      </c>
    </row>
    <row r="10" ht="15.75">
      <c r="A10" s="555" t="s">
        <v>938</v>
      </c>
    </row>
    <row r="11" ht="15.75">
      <c r="A11" s="741" t="s">
        <v>940</v>
      </c>
    </row>
    <row r="13" ht="15.75">
      <c r="A13" s="555" t="s">
        <v>935</v>
      </c>
    </row>
    <row r="14" ht="15.75">
      <c r="A14" s="737" t="s">
        <v>936</v>
      </c>
    </row>
    <row r="16" ht="15.75">
      <c r="A16" s="555" t="s">
        <v>931</v>
      </c>
    </row>
    <row r="17" ht="15.75">
      <c r="A17" s="734" t="s">
        <v>902</v>
      </c>
    </row>
    <row r="18" ht="15.75">
      <c r="A18" s="734" t="s">
        <v>903</v>
      </c>
    </row>
    <row r="19" ht="15.75">
      <c r="A19" s="734" t="s">
        <v>904</v>
      </c>
    </row>
    <row r="20" ht="15.75">
      <c r="A20" s="734" t="s">
        <v>905</v>
      </c>
    </row>
    <row r="21" ht="15.75">
      <c r="A21" s="734" t="s">
        <v>906</v>
      </c>
    </row>
    <row r="22" ht="15.75">
      <c r="A22" s="734" t="s">
        <v>907</v>
      </c>
    </row>
    <row r="23" ht="15.75">
      <c r="A23" s="734" t="s">
        <v>908</v>
      </c>
    </row>
    <row r="24" ht="15.75">
      <c r="A24" s="734" t="s">
        <v>909</v>
      </c>
    </row>
    <row r="25" ht="15.75">
      <c r="A25" s="734" t="s">
        <v>910</v>
      </c>
    </row>
    <row r="26" ht="15.75">
      <c r="A26" s="734" t="s">
        <v>911</v>
      </c>
    </row>
    <row r="27" ht="15.75">
      <c r="A27" s="734" t="s">
        <v>912</v>
      </c>
    </row>
    <row r="28" ht="15.75">
      <c r="A28" s="734" t="s">
        <v>913</v>
      </c>
    </row>
    <row r="29" ht="15.75">
      <c r="A29" s="734" t="s">
        <v>914</v>
      </c>
    </row>
    <row r="30" ht="15.75">
      <c r="A30" s="734" t="s">
        <v>915</v>
      </c>
    </row>
    <row r="31" ht="15.75">
      <c r="A31" s="734" t="s">
        <v>916</v>
      </c>
    </row>
    <row r="32" ht="15.75">
      <c r="A32" s="734" t="s">
        <v>917</v>
      </c>
    </row>
    <row r="33" ht="15.75">
      <c r="A33" s="734" t="s">
        <v>918</v>
      </c>
    </row>
    <row r="34" ht="15.75">
      <c r="A34" s="734" t="s">
        <v>919</v>
      </c>
    </row>
    <row r="35" ht="15.75">
      <c r="A35" s="734" t="s">
        <v>920</v>
      </c>
    </row>
    <row r="36" ht="15.75">
      <c r="A36" s="734" t="s">
        <v>921</v>
      </c>
    </row>
    <row r="37" ht="15.75">
      <c r="A37" s="734" t="s">
        <v>922</v>
      </c>
    </row>
    <row r="38" ht="15.75">
      <c r="A38" s="734" t="s">
        <v>923</v>
      </c>
    </row>
    <row r="39" ht="15.75">
      <c r="A39" s="734" t="s">
        <v>924</v>
      </c>
    </row>
    <row r="40" ht="15.75">
      <c r="A40" s="734" t="s">
        <v>925</v>
      </c>
    </row>
    <row r="41" ht="15.75">
      <c r="A41" s="734" t="s">
        <v>926</v>
      </c>
    </row>
    <row r="42" ht="15.75">
      <c r="A42" s="734" t="s">
        <v>927</v>
      </c>
    </row>
    <row r="43" ht="15.75">
      <c r="A43" s="734" t="s">
        <v>928</v>
      </c>
    </row>
    <row r="44" ht="15.75">
      <c r="A44" s="734" t="s">
        <v>929</v>
      </c>
    </row>
    <row r="45" ht="15.75">
      <c r="A45" s="734" t="s">
        <v>930</v>
      </c>
    </row>
    <row r="48" ht="15.75">
      <c r="A48" s="555" t="s">
        <v>770</v>
      </c>
    </row>
    <row r="49" ht="15.75">
      <c r="A49" s="113" t="s">
        <v>771</v>
      </c>
    </row>
    <row r="50" ht="15.75">
      <c r="A50" s="113" t="s">
        <v>772</v>
      </c>
    </row>
    <row r="52" ht="15.75">
      <c r="A52" s="555" t="s">
        <v>767</v>
      </c>
    </row>
    <row r="53" ht="15.75">
      <c r="A53" s="539" t="s">
        <v>768</v>
      </c>
    </row>
    <row r="55" ht="15.75">
      <c r="A55" s="384" t="s">
        <v>740</v>
      </c>
    </row>
    <row r="56" ht="15.75">
      <c r="A56" s="539" t="s">
        <v>741</v>
      </c>
    </row>
    <row r="57" ht="15.75">
      <c r="A57" s="539" t="s">
        <v>742</v>
      </c>
    </row>
    <row r="58" ht="31.5">
      <c r="A58" s="538" t="s">
        <v>743</v>
      </c>
    </row>
    <row r="59" ht="15.75">
      <c r="A59" s="539" t="s">
        <v>744</v>
      </c>
    </row>
    <row r="60" ht="15.75">
      <c r="A60" s="539" t="s">
        <v>745</v>
      </c>
    </row>
    <row r="61" ht="15.75">
      <c r="A61" s="539" t="s">
        <v>746</v>
      </c>
    </row>
    <row r="62" ht="15.75">
      <c r="A62" s="539" t="s">
        <v>747</v>
      </c>
    </row>
    <row r="63" ht="15.75">
      <c r="A63" s="539" t="s">
        <v>748</v>
      </c>
    </row>
    <row r="64" ht="15.75">
      <c r="A64" s="539" t="s">
        <v>749</v>
      </c>
    </row>
    <row r="65" ht="15.75">
      <c r="A65" s="539" t="s">
        <v>750</v>
      </c>
    </row>
    <row r="66" ht="15.75">
      <c r="A66" s="539" t="s">
        <v>751</v>
      </c>
    </row>
    <row r="67" ht="15.75">
      <c r="A67" s="539" t="s">
        <v>752</v>
      </c>
    </row>
    <row r="68" ht="15.75">
      <c r="A68" s="539" t="s">
        <v>753</v>
      </c>
    </row>
    <row r="69" ht="15.75">
      <c r="A69" s="539" t="s">
        <v>754</v>
      </c>
    </row>
    <row r="70" ht="15.75">
      <c r="A70" s="539" t="s">
        <v>755</v>
      </c>
    </row>
    <row r="71" ht="15.75">
      <c r="A71" s="539" t="s">
        <v>756</v>
      </c>
    </row>
    <row r="72" ht="15.75">
      <c r="A72" s="539" t="s">
        <v>757</v>
      </c>
    </row>
    <row r="73" ht="15.75">
      <c r="A73" s="539" t="s">
        <v>758</v>
      </c>
    </row>
    <row r="74" ht="15.75">
      <c r="A74" s="539" t="s">
        <v>759</v>
      </c>
    </row>
    <row r="75" ht="15.75">
      <c r="A75" s="539" t="s">
        <v>760</v>
      </c>
    </row>
    <row r="76" ht="15.75">
      <c r="A76" s="539" t="s">
        <v>761</v>
      </c>
    </row>
    <row r="77" ht="15.75">
      <c r="A77" s="539" t="s">
        <v>762</v>
      </c>
    </row>
    <row r="78" ht="15.75">
      <c r="A78" s="113" t="s">
        <v>766</v>
      </c>
    </row>
    <row r="80" ht="15.75">
      <c r="A80" s="384" t="s">
        <v>631</v>
      </c>
    </row>
    <row r="81" ht="36" customHeight="1">
      <c r="A81" s="215" t="s">
        <v>632</v>
      </c>
    </row>
    <row r="83" ht="15.75">
      <c r="A83" s="384" t="s">
        <v>627</v>
      </c>
    </row>
    <row r="84" ht="15.75">
      <c r="A84" s="113" t="s">
        <v>628</v>
      </c>
    </row>
    <row r="85" ht="15.75">
      <c r="A85" s="113" t="s">
        <v>629</v>
      </c>
    </row>
    <row r="86" ht="15.75">
      <c r="A86" s="113" t="s">
        <v>630</v>
      </c>
    </row>
    <row r="88" ht="15.75">
      <c r="A88" s="384" t="s">
        <v>616</v>
      </c>
    </row>
    <row r="89" ht="15.75">
      <c r="A89" s="113" t="s">
        <v>626</v>
      </c>
    </row>
    <row r="91" ht="15.75">
      <c r="A91" s="383" t="s">
        <v>379</v>
      </c>
    </row>
    <row r="92" ht="15.75">
      <c r="A92" s="113" t="s">
        <v>380</v>
      </c>
    </row>
    <row r="93" ht="15.75">
      <c r="A93" s="113" t="s">
        <v>381</v>
      </c>
    </row>
    <row r="94" ht="15.75">
      <c r="A94" s="113" t="s">
        <v>402</v>
      </c>
    </row>
    <row r="95" ht="15.75">
      <c r="A95" s="113" t="s">
        <v>403</v>
      </c>
    </row>
    <row r="96" ht="15.75">
      <c r="A96" s="113" t="s">
        <v>404</v>
      </c>
    </row>
    <row r="97" ht="15.75">
      <c r="A97" s="113" t="s">
        <v>614</v>
      </c>
    </row>
    <row r="99" ht="15.75">
      <c r="A99" s="383" t="s">
        <v>319</v>
      </c>
    </row>
    <row r="100" ht="15.75">
      <c r="A100" s="113" t="s">
        <v>320</v>
      </c>
    </row>
    <row r="101" ht="15.75">
      <c r="A101" s="113" t="s">
        <v>321</v>
      </c>
    </row>
    <row r="102" ht="15.75">
      <c r="A102" s="113" t="s">
        <v>322</v>
      </c>
    </row>
    <row r="103" ht="15.75">
      <c r="A103" s="113" t="s">
        <v>323</v>
      </c>
    </row>
    <row r="104" ht="15.75">
      <c r="A104" s="113" t="s">
        <v>324</v>
      </c>
    </row>
    <row r="105" ht="15.75">
      <c r="A105" s="113" t="s">
        <v>325</v>
      </c>
    </row>
    <row r="106" ht="15.75">
      <c r="A106" s="113" t="s">
        <v>326</v>
      </c>
    </row>
    <row r="107" ht="15.75">
      <c r="A107" s="113" t="s">
        <v>328</v>
      </c>
    </row>
    <row r="108" ht="15.75">
      <c r="A108" s="113" t="s">
        <v>329</v>
      </c>
    </row>
    <row r="109" ht="15.75">
      <c r="A109" s="113" t="s">
        <v>345</v>
      </c>
    </row>
    <row r="110" ht="15.75">
      <c r="A110" s="113" t="s">
        <v>346</v>
      </c>
    </row>
    <row r="111" ht="15.75">
      <c r="A111" s="113" t="s">
        <v>347</v>
      </c>
    </row>
    <row r="112" ht="15.75">
      <c r="A112" s="113" t="s">
        <v>348</v>
      </c>
    </row>
    <row r="113" ht="15.75">
      <c r="A113" s="113" t="s">
        <v>362</v>
      </c>
    </row>
    <row r="114" ht="15.75">
      <c r="A114" s="113" t="s">
        <v>363</v>
      </c>
    </row>
    <row r="115" ht="15.75">
      <c r="A115" s="113" t="s">
        <v>375</v>
      </c>
    </row>
    <row r="116" ht="15.75">
      <c r="A116" s="364" t="s">
        <v>376</v>
      </c>
    </row>
    <row r="118" ht="15.75">
      <c r="A118" s="383" t="s">
        <v>314</v>
      </c>
    </row>
    <row r="119" ht="15.75">
      <c r="A119" s="113" t="s">
        <v>315</v>
      </c>
    </row>
    <row r="121" ht="15.75">
      <c r="A121" s="383" t="s">
        <v>312</v>
      </c>
    </row>
    <row r="122" ht="15.75">
      <c r="A122" s="113" t="s">
        <v>313</v>
      </c>
    </row>
    <row r="124" ht="15.75">
      <c r="A124" s="383" t="s">
        <v>308</v>
      </c>
    </row>
    <row r="125" ht="15.75">
      <c r="A125" s="113" t="s">
        <v>309</v>
      </c>
    </row>
    <row r="126" ht="15.75">
      <c r="A126" s="113" t="s">
        <v>310</v>
      </c>
    </row>
    <row r="127" ht="15.75">
      <c r="A127" s="113" t="s">
        <v>311</v>
      </c>
    </row>
    <row r="129" ht="15.75">
      <c r="A129" s="383" t="s">
        <v>304</v>
      </c>
    </row>
    <row r="130" ht="15.75">
      <c r="A130" s="113" t="s">
        <v>305</v>
      </c>
    </row>
    <row r="131" ht="15.75">
      <c r="A131" s="113" t="s">
        <v>306</v>
      </c>
    </row>
    <row r="133" ht="15.75">
      <c r="A133" s="383" t="s">
        <v>219</v>
      </c>
    </row>
    <row r="134" ht="15.75">
      <c r="A134" s="113" t="s">
        <v>191</v>
      </c>
    </row>
    <row r="135" ht="31.5">
      <c r="A135" s="215" t="s">
        <v>192</v>
      </c>
    </row>
    <row r="136" ht="15.75">
      <c r="A136" s="113" t="s">
        <v>205</v>
      </c>
    </row>
    <row r="137" ht="15.75">
      <c r="A137" s="113" t="s">
        <v>206</v>
      </c>
    </row>
    <row r="138" ht="15.75">
      <c r="A138" s="113" t="s">
        <v>207</v>
      </c>
    </row>
    <row r="139" ht="15.75">
      <c r="A139" s="113" t="s">
        <v>208</v>
      </c>
    </row>
    <row r="140" ht="31.5">
      <c r="A140" s="215" t="s">
        <v>200</v>
      </c>
    </row>
    <row r="141" ht="31.5">
      <c r="A141" s="215" t="s">
        <v>209</v>
      </c>
    </row>
    <row r="142" ht="31.5">
      <c r="A142" s="215" t="s">
        <v>210</v>
      </c>
    </row>
    <row r="143" ht="15.75">
      <c r="A143" s="215" t="s">
        <v>211</v>
      </c>
    </row>
    <row r="144" ht="31.5">
      <c r="A144" s="215" t="s">
        <v>212</v>
      </c>
    </row>
    <row r="145" ht="15.75">
      <c r="A145" s="113" t="s">
        <v>213</v>
      </c>
    </row>
    <row r="146" ht="15.75">
      <c r="A146" s="113" t="s">
        <v>214</v>
      </c>
    </row>
    <row r="147" ht="15.75">
      <c r="A147" s="113" t="s">
        <v>215</v>
      </c>
    </row>
    <row r="148" ht="15.75">
      <c r="A148" s="113" t="s">
        <v>216</v>
      </c>
    </row>
    <row r="149" ht="31.5">
      <c r="A149" s="215" t="s">
        <v>217</v>
      </c>
    </row>
    <row r="150" ht="15.75">
      <c r="A150" s="215" t="s">
        <v>193</v>
      </c>
    </row>
    <row r="151" ht="31.5">
      <c r="A151" s="215" t="s">
        <v>201</v>
      </c>
    </row>
    <row r="152" ht="15.75">
      <c r="A152" s="215" t="s">
        <v>194</v>
      </c>
    </row>
    <row r="153" ht="15.75">
      <c r="A153" s="215" t="s">
        <v>195</v>
      </c>
    </row>
    <row r="154" ht="15.75">
      <c r="A154" s="215" t="s">
        <v>196</v>
      </c>
    </row>
    <row r="155" ht="31.5">
      <c r="A155" s="215" t="s">
        <v>197</v>
      </c>
    </row>
    <row r="156" ht="31.5">
      <c r="A156" s="215" t="s">
        <v>202</v>
      </c>
    </row>
    <row r="157" ht="31.5">
      <c r="A157" s="215" t="s">
        <v>198</v>
      </c>
    </row>
    <row r="158" ht="31.5">
      <c r="A158" s="215" t="s">
        <v>203</v>
      </c>
    </row>
    <row r="159" ht="15.75">
      <c r="A159" s="215" t="s">
        <v>204</v>
      </c>
    </row>
    <row r="160" ht="15.75">
      <c r="A160" s="215"/>
    </row>
    <row r="161" ht="15.75">
      <c r="A161" s="383" t="s">
        <v>131</v>
      </c>
    </row>
    <row r="162" ht="47.25">
      <c r="A162" s="215" t="s">
        <v>162</v>
      </c>
    </row>
    <row r="163" ht="15.75">
      <c r="A163" s="113" t="s">
        <v>132</v>
      </c>
    </row>
    <row r="164" ht="15.75">
      <c r="A164" s="113" t="s">
        <v>136</v>
      </c>
    </row>
    <row r="165" ht="15.75">
      <c r="A165" s="113" t="s">
        <v>137</v>
      </c>
    </row>
    <row r="166" ht="15.75">
      <c r="A166" s="113" t="s">
        <v>133</v>
      </c>
    </row>
    <row r="167" ht="15.75">
      <c r="A167" s="113" t="s">
        <v>134</v>
      </c>
    </row>
    <row r="168" ht="15.75">
      <c r="A168" s="113" t="s">
        <v>135</v>
      </c>
    </row>
    <row r="169" ht="15.75">
      <c r="A169" s="215" t="s">
        <v>230</v>
      </c>
    </row>
    <row r="170" ht="15.75">
      <c r="A170" s="113" t="s">
        <v>138</v>
      </c>
    </row>
    <row r="171" ht="15.75">
      <c r="A171" s="113" t="s">
        <v>139</v>
      </c>
    </row>
    <row r="172" ht="15.75">
      <c r="A172" s="113" t="s">
        <v>163</v>
      </c>
    </row>
    <row r="173" ht="15.75">
      <c r="A173" s="113" t="s">
        <v>153</v>
      </c>
    </row>
    <row r="174" ht="15.75">
      <c r="A174" s="113" t="s">
        <v>164</v>
      </c>
    </row>
    <row r="175" ht="15.75">
      <c r="A175" s="113" t="s">
        <v>140</v>
      </c>
    </row>
    <row r="176" ht="15.75">
      <c r="A176" s="113" t="s">
        <v>231</v>
      </c>
    </row>
    <row r="177" ht="15.75">
      <c r="A177" s="113" t="s">
        <v>141</v>
      </c>
    </row>
    <row r="178" ht="15.75">
      <c r="A178" s="113" t="s">
        <v>154</v>
      </c>
    </row>
    <row r="179" ht="31.5">
      <c r="A179" s="215" t="s">
        <v>155</v>
      </c>
    </row>
    <row r="180" ht="15.75">
      <c r="A180" s="113" t="s">
        <v>156</v>
      </c>
    </row>
    <row r="181" ht="15.75">
      <c r="A181" s="113" t="s">
        <v>165</v>
      </c>
    </row>
    <row r="182" ht="15.75">
      <c r="A182" s="113" t="s">
        <v>199</v>
      </c>
    </row>
    <row r="183" ht="15.75">
      <c r="A183" s="113" t="s">
        <v>229</v>
      </c>
    </row>
    <row r="184" ht="15.75">
      <c r="A184" s="113" t="s">
        <v>167</v>
      </c>
    </row>
    <row r="185" ht="15.75">
      <c r="A185" s="113" t="s">
        <v>228</v>
      </c>
    </row>
    <row r="186" ht="15.75">
      <c r="A186" s="113" t="s">
        <v>168</v>
      </c>
    </row>
    <row r="187" ht="15.75">
      <c r="A187" s="113" t="s">
        <v>173</v>
      </c>
    </row>
    <row r="188" ht="15.75">
      <c r="A188" s="113" t="s">
        <v>174</v>
      </c>
    </row>
    <row r="189" ht="15.75">
      <c r="A189" s="113" t="s">
        <v>182</v>
      </c>
    </row>
    <row r="190" ht="15.75">
      <c r="A190" s="113" t="s">
        <v>183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4" t="s">
        <v>784</v>
      </c>
    </row>
    <row r="2" spans="1:10" ht="31.5" customHeight="1">
      <c r="A2" s="784" t="s">
        <v>387</v>
      </c>
      <c r="B2" s="785"/>
      <c r="C2" s="785"/>
      <c r="D2" s="785"/>
      <c r="E2" s="785"/>
      <c r="F2" s="785"/>
      <c r="J2" s="564" t="s">
        <v>785</v>
      </c>
    </row>
    <row r="3" ht="15.75">
      <c r="J3" s="564" t="s">
        <v>786</v>
      </c>
    </row>
    <row r="4" spans="1:10" ht="15.75">
      <c r="A4" s="1" t="s">
        <v>796</v>
      </c>
      <c r="B4" s="565" t="s">
        <v>991</v>
      </c>
      <c r="J4" s="564" t="s">
        <v>787</v>
      </c>
    </row>
    <row r="5" spans="1:10" ht="15.75">
      <c r="A5" s="1"/>
      <c r="B5" s="566"/>
      <c r="J5" s="564" t="s">
        <v>788</v>
      </c>
    </row>
    <row r="6" spans="1:10" ht="15.75">
      <c r="A6" s="1" t="s">
        <v>797</v>
      </c>
      <c r="B6" s="565" t="s">
        <v>992</v>
      </c>
      <c r="J6" s="564" t="s">
        <v>789</v>
      </c>
    </row>
    <row r="7" spans="4:10" ht="15.75">
      <c r="D7" s="366"/>
      <c r="J7" s="564" t="s">
        <v>790</v>
      </c>
    </row>
    <row r="8" spans="1:10" ht="15.75">
      <c r="A8" s="214" t="s">
        <v>382</v>
      </c>
      <c r="B8" s="367" t="s">
        <v>989</v>
      </c>
      <c r="C8" s="368"/>
      <c r="D8" s="214" t="s">
        <v>783</v>
      </c>
      <c r="J8" s="564" t="s">
        <v>791</v>
      </c>
    </row>
    <row r="9" spans="1:10" ht="15.75">
      <c r="A9" s="214"/>
      <c r="B9" s="369"/>
      <c r="C9" s="370"/>
      <c r="D9" s="567" t="str">
        <f>IF(B8="","",CONCATENATE("Latest date for notice to be published in your newspaper: ",G19," ",G23,", ",G24))</f>
        <v>Latest date for notice to be published in your newspaper: August 2, 2014</v>
      </c>
      <c r="J9" s="564" t="s">
        <v>792</v>
      </c>
    </row>
    <row r="10" spans="1:10" ht="15.75">
      <c r="A10" s="214" t="s">
        <v>383</v>
      </c>
      <c r="B10" s="367" t="s">
        <v>990</v>
      </c>
      <c r="C10" s="371"/>
      <c r="D10" s="214"/>
      <c r="J10" s="564" t="s">
        <v>793</v>
      </c>
    </row>
    <row r="11" spans="1:10" ht="15.75">
      <c r="A11" s="214"/>
      <c r="B11" s="214"/>
      <c r="C11" s="214"/>
      <c r="D11" s="214"/>
      <c r="J11" s="564" t="s">
        <v>794</v>
      </c>
    </row>
    <row r="12" spans="1:10" ht="15.75">
      <c r="A12" s="214" t="s">
        <v>384</v>
      </c>
      <c r="B12" s="153" t="s">
        <v>961</v>
      </c>
      <c r="C12" s="153"/>
      <c r="D12" s="153"/>
      <c r="E12" s="372"/>
      <c r="J12" s="564" t="s">
        <v>795</v>
      </c>
    </row>
    <row r="13" spans="1:4" ht="15.75">
      <c r="A13" s="214"/>
      <c r="B13" s="214"/>
      <c r="C13" s="214"/>
      <c r="D13" s="214"/>
    </row>
    <row r="14" spans="1:4" ht="15.75">
      <c r="A14" s="214"/>
      <c r="B14" s="214"/>
      <c r="C14" s="214"/>
      <c r="D14" s="214"/>
    </row>
    <row r="15" spans="1:5" ht="15.75">
      <c r="A15" s="214" t="s">
        <v>385</v>
      </c>
      <c r="B15" s="153" t="s">
        <v>958</v>
      </c>
      <c r="C15" s="153"/>
      <c r="D15" s="153"/>
      <c r="E15" s="372"/>
    </row>
    <row r="18" spans="1:5" ht="15.75">
      <c r="A18" s="786" t="s">
        <v>388</v>
      </c>
      <c r="B18" s="786"/>
      <c r="C18" s="214"/>
      <c r="D18" s="214"/>
      <c r="E18" s="214"/>
    </row>
    <row r="19" spans="1:7" ht="15.75">
      <c r="A19" s="214"/>
      <c r="B19" s="214"/>
      <c r="C19" s="214"/>
      <c r="D19" s="214"/>
      <c r="E19" s="214"/>
      <c r="G19" s="564" t="str">
        <f ca="1">IF(B8="","",INDIRECT(G20))</f>
        <v>August</v>
      </c>
    </row>
    <row r="20" spans="1:7" ht="15.75">
      <c r="A20" s="214" t="s">
        <v>382</v>
      </c>
      <c r="B20" s="369" t="s">
        <v>386</v>
      </c>
      <c r="C20" s="214"/>
      <c r="D20" s="214"/>
      <c r="E20" s="214"/>
      <c r="G20" s="568" t="str">
        <f>IF(B8="","",CONCATENATE("J",G22))</f>
        <v>J8</v>
      </c>
    </row>
    <row r="21" spans="1:7" ht="15.75">
      <c r="A21" s="214"/>
      <c r="B21" s="214"/>
      <c r="C21" s="214"/>
      <c r="D21" s="214"/>
      <c r="E21" s="214"/>
      <c r="G21" s="569">
        <f>B8-10</f>
        <v>41853</v>
      </c>
    </row>
    <row r="22" spans="1:7" ht="15.75">
      <c r="A22" s="214" t="s">
        <v>383</v>
      </c>
      <c r="B22" s="214" t="s">
        <v>389</v>
      </c>
      <c r="C22" s="214"/>
      <c r="D22" s="214"/>
      <c r="E22" s="214"/>
      <c r="G22" s="570">
        <f>IF(B8="","",MONTH(G21))</f>
        <v>8</v>
      </c>
    </row>
    <row r="23" spans="1:7" ht="15.75">
      <c r="A23" s="214"/>
      <c r="B23" s="214"/>
      <c r="C23" s="214"/>
      <c r="D23" s="214"/>
      <c r="E23" s="214"/>
      <c r="G23" s="571">
        <f>IF(B8="","",DAY(G21))</f>
        <v>2</v>
      </c>
    </row>
    <row r="24" spans="1:7" ht="15.75">
      <c r="A24" s="214" t="s">
        <v>384</v>
      </c>
      <c r="B24" s="214" t="s">
        <v>390</v>
      </c>
      <c r="C24" s="214"/>
      <c r="D24" s="214"/>
      <c r="E24" s="214"/>
      <c r="G24" s="572">
        <f>IF(B8="","",YEAR(G21))</f>
        <v>2014</v>
      </c>
    </row>
    <row r="25" spans="1:5" ht="15.75">
      <c r="A25" s="214"/>
      <c r="B25" s="214"/>
      <c r="C25" s="214"/>
      <c r="D25" s="214"/>
      <c r="E25" s="214"/>
    </row>
    <row r="26" spans="1:5" ht="15.75">
      <c r="A26" s="214" t="s">
        <v>385</v>
      </c>
      <c r="B26" s="214" t="s">
        <v>391</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1">
      <selection activeCell="F21" sqref="F2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8" t="s">
        <v>22</v>
      </c>
      <c r="B1" s="798"/>
      <c r="C1" s="798"/>
      <c r="D1" s="798"/>
      <c r="E1" s="798"/>
      <c r="F1" s="798"/>
      <c r="G1" s="65">
        <f>inputPrYr!D9</f>
        <v>2015</v>
      </c>
    </row>
    <row r="2" spans="2:6" s="65" customFormat="1" ht="15.75">
      <c r="B2" s="66"/>
      <c r="C2" s="66"/>
      <c r="D2" s="66"/>
      <c r="E2" s="66"/>
      <c r="F2" s="67"/>
    </row>
    <row r="3" spans="1:6" s="65" customFormat="1" ht="15.75">
      <c r="A3" s="807" t="str">
        <f>CONCATENATE("To the Clerk of ",inputPrYr!D4,", State of Kansas")</f>
        <v>To the Clerk of Brown County, State of Kansas</v>
      </c>
      <c r="B3" s="794"/>
      <c r="C3" s="794"/>
      <c r="D3" s="794"/>
      <c r="E3" s="794"/>
      <c r="F3" s="794"/>
    </row>
    <row r="4" spans="1:6" s="65" customFormat="1" ht="15.75">
      <c r="A4" s="807" t="s">
        <v>100</v>
      </c>
      <c r="B4" s="809"/>
      <c r="C4" s="809"/>
      <c r="D4" s="809"/>
      <c r="E4" s="809"/>
      <c r="F4" s="809"/>
    </row>
    <row r="5" spans="1:6" s="65" customFormat="1" ht="15.75">
      <c r="A5" s="810" t="str">
        <f>inputPrYr!D3</f>
        <v>Walnut Township</v>
      </c>
      <c r="B5" s="809"/>
      <c r="C5" s="809"/>
      <c r="D5" s="809"/>
      <c r="E5" s="809"/>
      <c r="F5" s="809"/>
    </row>
    <row r="6" spans="1:6" s="65" customFormat="1" ht="15.75">
      <c r="A6" s="805" t="s">
        <v>98</v>
      </c>
      <c r="B6" s="806"/>
      <c r="C6" s="806"/>
      <c r="D6" s="806"/>
      <c r="E6" s="806"/>
      <c r="F6" s="806"/>
    </row>
    <row r="7" spans="1:6" s="65" customFormat="1" ht="15.75" customHeight="1">
      <c r="A7" s="807" t="s">
        <v>99</v>
      </c>
      <c r="B7" s="808"/>
      <c r="C7" s="808"/>
      <c r="D7" s="808"/>
      <c r="E7" s="808"/>
      <c r="F7" s="808"/>
    </row>
    <row r="8" spans="1:6" s="65" customFormat="1" ht="15.75" customHeight="1">
      <c r="A8" s="807" t="str">
        <f>CONCATENATE("maximum expenditures for the various funds for the year ",G1,"; and (3) the")</f>
        <v>maximum expenditures for the various funds for the year 2015; and (3) the</v>
      </c>
      <c r="B8" s="809"/>
      <c r="C8" s="809"/>
      <c r="D8" s="809"/>
      <c r="E8" s="809"/>
      <c r="F8" s="809"/>
    </row>
    <row r="9" spans="1:6" s="65" customFormat="1" ht="15.75" customHeight="1">
      <c r="A9" s="807" t="str">
        <f>CONCATENATE("Amount(s) of ",G1-1," Ad Valorem Tax are within statutory limitations for the ",G1," Budget.")</f>
        <v>Amount(s) of 2014 Ad Valorem Tax are within statutory limitations for the 2015 Budget.</v>
      </c>
      <c r="B9" s="809"/>
      <c r="C9" s="809"/>
      <c r="D9" s="809"/>
      <c r="E9" s="809"/>
      <c r="F9" s="809"/>
    </row>
    <row r="10" spans="4:6" s="65" customFormat="1" ht="15.75" customHeight="1">
      <c r="D10" s="70"/>
      <c r="E10" s="70"/>
      <c r="F10" s="70"/>
    </row>
    <row r="11" spans="3:6" s="65" customFormat="1" ht="15.75">
      <c r="C11" s="71"/>
      <c r="D11" s="802" t="str">
        <f>CONCATENATE("",G1," Adopted Budget")</f>
        <v>2015 Adopted Budget</v>
      </c>
      <c r="E11" s="803"/>
      <c r="F11" s="804"/>
    </row>
    <row r="12" spans="1:6" s="65" customFormat="1" ht="15.75">
      <c r="A12" s="72"/>
      <c r="C12" s="70"/>
      <c r="D12" s="73" t="s">
        <v>240</v>
      </c>
      <c r="E12" s="799" t="str">
        <f>CONCATENATE("Amount of ",G1-1," Ad Valorem Tax")</f>
        <v>Amount of 2014 Ad Valorem Tax</v>
      </c>
      <c r="F12" s="74" t="s">
        <v>241</v>
      </c>
    </row>
    <row r="13" spans="3:6" s="65" customFormat="1" ht="15.75">
      <c r="C13" s="74" t="s">
        <v>242</v>
      </c>
      <c r="D13" s="496" t="s">
        <v>170</v>
      </c>
      <c r="E13" s="800"/>
      <c r="F13" s="76" t="s">
        <v>243</v>
      </c>
    </row>
    <row r="14" spans="1:6" s="65" customFormat="1" ht="15.75">
      <c r="A14" s="77" t="s">
        <v>244</v>
      </c>
      <c r="B14" s="78"/>
      <c r="C14" s="79" t="s">
        <v>245</v>
      </c>
      <c r="D14" s="497" t="s">
        <v>723</v>
      </c>
      <c r="E14" s="801"/>
      <c r="F14" s="79" t="s">
        <v>247</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773</v>
      </c>
      <c r="B16" s="81"/>
      <c r="C16" s="83">
        <v>3</v>
      </c>
      <c r="D16" s="71"/>
      <c r="E16" s="71"/>
      <c r="F16" s="84"/>
    </row>
    <row r="17" spans="1:6" s="65" customFormat="1" ht="15.75">
      <c r="A17" s="85" t="s">
        <v>113</v>
      </c>
      <c r="B17" s="81"/>
      <c r="C17" s="83">
        <v>4</v>
      </c>
      <c r="D17" s="71"/>
      <c r="E17" s="71"/>
      <c r="F17" s="84"/>
    </row>
    <row r="18" spans="1:6" s="65" customFormat="1" ht="15.75">
      <c r="A18" s="85" t="s">
        <v>89</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248</v>
      </c>
      <c r="B20" s="87" t="s">
        <v>249</v>
      </c>
      <c r="C20" s="88"/>
      <c r="F20" s="89"/>
    </row>
    <row r="21" spans="1:6" s="65" customFormat="1" ht="15.75">
      <c r="A21" s="90" t="str">
        <f>inputPrYr!B20</f>
        <v>General</v>
      </c>
      <c r="B21" s="91" t="str">
        <f>inputPrYr!C20</f>
        <v>79-1962</v>
      </c>
      <c r="C21" s="92">
        <f>IF(gen!C55&gt;0,gen!C55,"  ")</f>
        <v>6</v>
      </c>
      <c r="D21" s="573">
        <f>IF(gen!$E$44&lt;&gt;0,gen!$E$44,"  ")</f>
        <v>33537</v>
      </c>
      <c r="E21" s="573">
        <f>IF(gen!$E$51&lt;&gt;0,gen!$E$51,0)</f>
        <v>0</v>
      </c>
      <c r="F21" s="574" t="str">
        <f>IF(AND(gen!E51=0,$B$47&gt;=0)," ",IF(AND(E21&gt;0,$B$47=0)," ",IF(AND(E21&gt;0,$B$47&gt;0),ROUND(E21/$B$47*1000,3))))</f>
        <v> </v>
      </c>
    </row>
    <row r="22" spans="1:6" s="65" customFormat="1" ht="15.75">
      <c r="A22" s="90" t="s">
        <v>307</v>
      </c>
      <c r="B22" s="91" t="str">
        <f>IF(inputPrYr!C21&gt;0,inputPrYr!C21,"")</f>
        <v>10-113</v>
      </c>
      <c r="C22" s="92" t="str">
        <f>IF('DebtSvs-Library'!C83&gt;0,'DebtSvs-Library'!C83,"  ")</f>
        <v>  </v>
      </c>
      <c r="D22" s="573" t="str">
        <f>IF('DebtSvs-Library'!E33&lt;&gt;0,'DebtSvs-Library'!E33,"  ")</f>
        <v>  </v>
      </c>
      <c r="E22" s="573" t="str">
        <f>IF('DebtSvs-Library'!E40&lt;&gt;0,'DebtSvs-Library'!E40,"  ")</f>
        <v>  </v>
      </c>
      <c r="F22" s="574"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3" t="str">
        <f>IF('DebtSvs-Library'!E73&lt;&gt;0,'DebtSvs-Library'!E73,"  ")</f>
        <v>  </v>
      </c>
      <c r="E23" s="573" t="str">
        <f>IF('DebtSvs-Library'!E80&lt;&gt;0,'DebtSvs-Library'!E80,"  ")</f>
        <v>  </v>
      </c>
      <c r="F23" s="574"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73">
        <f>IF(road!$E$43&lt;&gt;0,road!$E$43,"  ")</f>
        <v>251506</v>
      </c>
      <c r="E24" s="573">
        <f>IF(road!$E$50&lt;&gt;0,road!$E$50,"  ")</f>
        <v>237344</v>
      </c>
      <c r="F24" s="574">
        <f>IF(AND(road!E50=0,$B$44&gt;=0)," ",IF(AND(E24&gt;0,$B$44=0)," ",IF(AND(E24&gt;0,$B$44&gt;0),ROUND(E24/$B$44*1000,3))))</f>
        <v>15.85</v>
      </c>
    </row>
    <row r="25" spans="1:6" s="65" customFormat="1" ht="15.75">
      <c r="A25" s="90" t="str">
        <f>IF(inputPrYr!$B24&gt;"  ",inputPrYr!$B24,"  ")</f>
        <v>Special Road</v>
      </c>
      <c r="B25" s="91" t="str">
        <f>IF(inputPrYr!C24&gt;0,inputPrYr!C24,"  ")</f>
        <v>80-1413</v>
      </c>
      <c r="C25" s="92" t="str">
        <f>IF('SpecRoad&amp;Noxious'!C81&gt;0,'SpecRoad&amp;Noxious'!C81,"  ")</f>
        <v>  </v>
      </c>
      <c r="D25" s="573" t="str">
        <f>IF('SpecRoad&amp;Noxious'!$E$33&lt;&gt;0,'SpecRoad&amp;Noxious'!$E$33,"  ")</f>
        <v>  </v>
      </c>
      <c r="E25" s="573" t="str">
        <f>IF('SpecRoad&amp;Noxious'!$E$40&lt;&gt;0,'SpecRoad&amp;Noxious'!$E$40,"  ")</f>
        <v>  </v>
      </c>
      <c r="F25" s="574"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3" t="str">
        <f>IF('SpecRoad&amp;Noxious'!$E$73&lt;&gt;0,'SpecRoad&amp;Noxious'!$E$73,"  ")</f>
        <v>  </v>
      </c>
      <c r="E26" s="573" t="str">
        <f>IF('SpecRoad&amp;Noxious'!$E$80&lt;&gt;0,'SpecRoad&amp;Noxious'!$E$80,"  ")</f>
        <v>  </v>
      </c>
      <c r="F26" s="574"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IF(Fire!C70&gt;0,Fire!C70,"  ")</f>
        <v>8</v>
      </c>
      <c r="D27" s="573">
        <f>IF(Fire!$E$30&lt;&gt;0,Fire!$E$30,"  ")</f>
        <v>30501</v>
      </c>
      <c r="E27" s="573">
        <f>IF(Fire!$E$37&lt;&gt;0,Fire!$E$37,"  ")</f>
        <v>28944</v>
      </c>
      <c r="F27" s="574">
        <f>IF(AND(Fire!$E$37=0,$B$44&gt;=0)," ",IF(AND(E27&gt;0,$B$44=0)," ",IF(AND(E27&gt;0,$B$44&gt;0),ROUND(E27/$B$44*1000,3))))</f>
        <v>1.933</v>
      </c>
    </row>
    <row r="28" spans="1:6" s="65" customFormat="1" ht="15.75">
      <c r="A28" s="90" t="str">
        <f>IF(inputPrYr!$B27&gt;"  ",inputPrYr!$B27,"  ")</f>
        <v>  </v>
      </c>
      <c r="B28" s="91" t="str">
        <f>IF(inputPrYr!C27&gt;0,inputPrYr!C27,"  ")</f>
        <v>  </v>
      </c>
      <c r="C28" s="92">
        <f>IF(Fire!C70&gt;0,Fire!C70,"  ")</f>
        <v>8</v>
      </c>
      <c r="D28" s="573" t="str">
        <f>IF(Fire!$E$62&lt;&gt;0,Fire!$E$62,"  ")</f>
        <v>  </v>
      </c>
      <c r="E28" s="573" t="str">
        <f>IF(Fire!$E$69&lt;&gt;0,Fire!$E$69,"  ")</f>
        <v>  </v>
      </c>
      <c r="F28" s="574" t="str">
        <f>IF(AND(Fire!$E$69=0,$B$47&gt;=0),"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3" t="str">
        <f>IF(levypage11!$E$33&lt;&gt;0,levypage11!$E$33,"  ")</f>
        <v>  </v>
      </c>
      <c r="E29" s="573" t="str">
        <f>IF(levypage11!$E$40&lt;&gt;0,levypage11!$E$40,"  ")</f>
        <v>  </v>
      </c>
      <c r="F29" s="57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3" t="str">
        <f>IF(levypage11!$E$73&lt;&gt;0,levypage11!$E$73,"  ")</f>
        <v>  </v>
      </c>
      <c r="E30" s="573" t="str">
        <f>IF(levypage11!$E$80&lt;&gt;0,levypage11!$E$80,"  ")</f>
        <v>  </v>
      </c>
      <c r="F30" s="57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3" t="str">
        <f>IF(levypage12!$E$33&lt;&gt;0,levypage12!$E$33,"  ")</f>
        <v>  </v>
      </c>
      <c r="E31" s="573" t="str">
        <f>IF(levypage12!$E$40&lt;&gt;0,levypage12!$E$40,"  ")</f>
        <v>  </v>
      </c>
      <c r="F31" s="57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3" t="str">
        <f>IF(levypage12!$E$73&lt;&gt;0,levypage12!$E$73,"  ")</f>
        <v>  </v>
      </c>
      <c r="E32" s="573" t="str">
        <f>IF(levypage12!$E$80&lt;&gt;0,levypage12!$E$80,"  ")</f>
        <v>  </v>
      </c>
      <c r="F32" s="574" t="str">
        <f>IF(AND(levypage12!$E$80=0,$B$47&gt;=0)," ",IF(AND(E32&gt;0,$B$47=0)," ",IF(AND(E32&gt;0,$B$47&gt;0),ROUND(E32/$B$47*1000,3))))</f>
        <v> </v>
      </c>
    </row>
    <row r="33" spans="1:6" s="65" customFormat="1" ht="15.75">
      <c r="A33" s="94" t="str">
        <f>IF(inputPrYr!$B35&gt;"  ",inputPrYr!$B35,"  ")</f>
        <v>  </v>
      </c>
      <c r="B33" s="95"/>
      <c r="C33" s="96" t="str">
        <f>IF(nolevypage13!$C$65&gt;0,nolevypage13!$C$65,"  ")</f>
        <v>  </v>
      </c>
      <c r="D33" s="573" t="str">
        <f>IF(nolevypage13!$E$28&lt;&gt;0,nolevypage13!$E$28,"  ")</f>
        <v>  </v>
      </c>
      <c r="E33" s="573"/>
      <c r="F33" s="574"/>
    </row>
    <row r="34" spans="1:6" s="65" customFormat="1" ht="15.75">
      <c r="A34" s="94" t="str">
        <f>IF(inputPrYr!$B36&gt;"  ",inputPrYr!$B36,"  ")</f>
        <v>  </v>
      </c>
      <c r="B34" s="97"/>
      <c r="C34" s="96" t="str">
        <f>IF(nolevypage13!$C$65&gt;0,nolevypage13!$C$65,"  ")</f>
        <v>  </v>
      </c>
      <c r="D34" s="573" t="str">
        <f>IF(nolevypage13!$E$59&lt;&gt;0,nolevypage13!$E$59,"  ")</f>
        <v>  </v>
      </c>
      <c r="E34" s="573"/>
      <c r="F34" s="574"/>
    </row>
    <row r="35" spans="1:6" s="65" customFormat="1" ht="15.75">
      <c r="A35" s="94" t="str">
        <f>IF(inputPrYr!$B37&gt;"  ",inputPrYr!$B37,"  ")</f>
        <v>  </v>
      </c>
      <c r="B35" s="95"/>
      <c r="C35" s="96" t="str">
        <f>IF(nolevypage14!$C$65&gt;0,nolevypage14!$C$65,"  ")</f>
        <v>  </v>
      </c>
      <c r="D35" s="573" t="str">
        <f>IF(nolevypage14!$E$28&lt;&gt;0,nolevypage14!$E$28,"  ")</f>
        <v>  </v>
      </c>
      <c r="E35" s="573"/>
      <c r="F35" s="574"/>
    </row>
    <row r="36" spans="1:6" s="65" customFormat="1" ht="15.75">
      <c r="A36" s="94" t="str">
        <f>IF(inputPrYr!$B38&gt;"  ",inputPrYr!$B38,"  ")</f>
        <v>  </v>
      </c>
      <c r="B36" s="95"/>
      <c r="C36" s="96" t="str">
        <f>IF(nolevypage14!$C$65&gt;0,nolevypage14!$C$65,"  ")</f>
        <v>  </v>
      </c>
      <c r="D36" s="573" t="str">
        <f>IF(nolevypage14!$E$59&lt;&gt;0,nolevypage14!$E$59,"  ")</f>
        <v>  </v>
      </c>
      <c r="E36" s="573"/>
      <c r="F36" s="574"/>
    </row>
    <row r="37" spans="1:6" s="65" customFormat="1" ht="15.75">
      <c r="A37" s="94">
        <f>IF(inputPrYr!B41&gt;"",nonbud!A3,"")</f>
      </c>
      <c r="B37" s="97"/>
      <c r="C37" s="96" t="str">
        <f>IF(nonbud!F33&gt;0,nonbud!F33,"  ")</f>
        <v>  </v>
      </c>
      <c r="D37" s="573"/>
      <c r="E37" s="573"/>
      <c r="F37" s="574"/>
    </row>
    <row r="38" spans="1:6" s="65" customFormat="1" ht="15.75">
      <c r="A38" s="80" t="s">
        <v>250</v>
      </c>
      <c r="B38" s="95"/>
      <c r="C38" s="96">
        <f>IF(road!C67&gt;0,road!C67,"  ")</f>
        <v>7</v>
      </c>
      <c r="D38" s="575"/>
      <c r="E38" s="575"/>
      <c r="F38" s="574"/>
    </row>
    <row r="39" spans="1:6" s="65" customFormat="1" ht="16.5" thickBot="1">
      <c r="A39" s="98" t="s">
        <v>251</v>
      </c>
      <c r="B39" s="89"/>
      <c r="C39" s="99" t="s">
        <v>252</v>
      </c>
      <c r="D39" s="576">
        <f>SUM(D21:D38)</f>
        <v>315544</v>
      </c>
      <c r="E39" s="576">
        <f>SUM(E21:E38)</f>
        <v>266288</v>
      </c>
      <c r="F39" s="577">
        <f>IF(SUM(F21:F38)&gt;0,SUM(F21:F38),"")</f>
        <v>17.783</v>
      </c>
    </row>
    <row r="40" spans="1:3" s="65" customFormat="1" ht="16.5" thickTop="1">
      <c r="A40" s="85" t="s">
        <v>112</v>
      </c>
      <c r="B40" s="81"/>
      <c r="C40" s="96">
        <f>summ!C38</f>
        <v>9</v>
      </c>
    </row>
    <row r="41" spans="1:5" s="65" customFormat="1" ht="15.75">
      <c r="A41" s="80" t="s">
        <v>166</v>
      </c>
      <c r="B41" s="81"/>
      <c r="C41" s="96">
        <f>IF(nhood!C40&gt;0,nhood!C40,"")</f>
      </c>
      <c r="D41" s="101" t="s">
        <v>946</v>
      </c>
      <c r="E41" s="102" t="str">
        <f>IF(E39&gt;computation!J36,"Yes","No")</f>
        <v>No</v>
      </c>
    </row>
    <row r="42" spans="1:5" s="65" customFormat="1" ht="15.75">
      <c r="A42" s="85" t="s">
        <v>956</v>
      </c>
      <c r="B42" s="81"/>
      <c r="C42" s="96">
        <f>IF(Resolution!D50&gt;0,Resolution!D50,"")</f>
      </c>
      <c r="D42" s="103"/>
      <c r="E42" s="104"/>
    </row>
    <row r="43" spans="1:6" s="65" customFormat="1" ht="15.75">
      <c r="A43" s="80" t="s">
        <v>50</v>
      </c>
      <c r="B43" s="787" t="s">
        <v>73</v>
      </c>
      <c r="C43" s="788"/>
      <c r="D43" s="106"/>
      <c r="F43" s="72" t="s">
        <v>253</v>
      </c>
    </row>
    <row r="44" spans="1:6" s="65" customFormat="1" ht="15.75">
      <c r="A44" s="80" t="str">
        <f>inputPrYr!D3</f>
        <v>Walnut Township</v>
      </c>
      <c r="B44" s="789">
        <v>14974730</v>
      </c>
      <c r="C44" s="790"/>
      <c r="D44" s="107"/>
      <c r="F44" s="72"/>
    </row>
    <row r="45" spans="1:6" s="65" customFormat="1" ht="15.75">
      <c r="A45" s="80" t="str">
        <f>inputPrYr!D6</f>
        <v>City of Fairview</v>
      </c>
      <c r="B45" s="789">
        <v>2146014</v>
      </c>
      <c r="C45" s="797"/>
      <c r="D45" s="107"/>
      <c r="F45" s="72"/>
    </row>
    <row r="46" spans="1:6" s="65" customFormat="1" ht="15.75">
      <c r="A46" s="80">
        <f>inputPrYr!D7</f>
        <v>0</v>
      </c>
      <c r="B46" s="789"/>
      <c r="C46" s="797"/>
      <c r="D46" s="107"/>
      <c r="F46" s="72"/>
    </row>
    <row r="47" spans="1:6" s="65" customFormat="1" ht="15.75">
      <c r="A47" s="80" t="s">
        <v>177</v>
      </c>
      <c r="B47" s="795">
        <f>SUM(B44:C46)</f>
        <v>17120744</v>
      </c>
      <c r="C47" s="796"/>
      <c r="D47" s="107"/>
      <c r="F47" s="72"/>
    </row>
    <row r="48" spans="1:6" s="65" customFormat="1" ht="15.75">
      <c r="A48" s="108"/>
      <c r="B48" s="791" t="str">
        <f>CONCATENATE("Nov. 1, ",G1-1," Valuation")</f>
        <v>Nov. 1, 2014 Valuation</v>
      </c>
      <c r="C48" s="792"/>
      <c r="D48" s="106"/>
      <c r="F48" s="72"/>
    </row>
    <row r="49" spans="1:6" s="65" customFormat="1" ht="15.75">
      <c r="A49" s="108" t="s">
        <v>254</v>
      </c>
      <c r="D49" s="71"/>
      <c r="F49" s="72"/>
    </row>
    <row r="50" spans="1:6" s="65" customFormat="1" ht="15.75">
      <c r="A50" s="110" t="s">
        <v>952</v>
      </c>
      <c r="D50" s="106"/>
      <c r="E50" s="71"/>
      <c r="F50" s="71"/>
    </row>
    <row r="51" spans="1:2" s="65" customFormat="1" ht="15.75">
      <c r="A51" s="111"/>
      <c r="B51" s="70"/>
    </row>
    <row r="52" spans="1:6" s="65" customFormat="1" ht="15.75">
      <c r="A52" s="108" t="s">
        <v>93</v>
      </c>
      <c r="D52" s="71" t="s">
        <v>799</v>
      </c>
      <c r="E52" s="71"/>
      <c r="F52" s="71"/>
    </row>
    <row r="53" spans="1:6" s="65" customFormat="1" ht="15.75">
      <c r="A53" s="110" t="s">
        <v>953</v>
      </c>
      <c r="C53" s="72"/>
      <c r="D53" s="71"/>
      <c r="E53" s="71"/>
      <c r="F53" s="71"/>
    </row>
    <row r="54" spans="1:6" s="65" customFormat="1" ht="15.75">
      <c r="A54" s="111" t="s">
        <v>954</v>
      </c>
      <c r="B54" s="72"/>
      <c r="D54" s="71" t="s">
        <v>799</v>
      </c>
      <c r="E54" s="70"/>
      <c r="F54" s="70"/>
    </row>
    <row r="55" spans="1:7" ht="15.75">
      <c r="A55" s="108" t="s">
        <v>798</v>
      </c>
      <c r="B55" s="70"/>
      <c r="C55" s="65"/>
      <c r="D55" s="71"/>
      <c r="E55" s="71"/>
      <c r="F55" s="71"/>
      <c r="G55" s="112"/>
    </row>
    <row r="56" spans="1:7" ht="15.75">
      <c r="A56" s="744" t="s">
        <v>955</v>
      </c>
      <c r="B56" s="70"/>
      <c r="C56" s="65"/>
      <c r="D56" s="71" t="s">
        <v>799</v>
      </c>
      <c r="E56" s="70"/>
      <c r="F56" s="70"/>
      <c r="G56" s="112"/>
    </row>
    <row r="57" spans="1:7" ht="15.75">
      <c r="A57" s="70"/>
      <c r="B57" s="65"/>
      <c r="C57" s="65"/>
      <c r="D57" s="71"/>
      <c r="E57" s="71"/>
      <c r="F57" s="71"/>
      <c r="G57" s="112"/>
    </row>
    <row r="58" spans="1:7" ht="15.75">
      <c r="A58" s="482" t="s">
        <v>97</v>
      </c>
      <c r="B58" s="116">
        <f>G1-1</f>
        <v>2014</v>
      </c>
      <c r="C58" s="65"/>
      <c r="D58" s="71" t="s">
        <v>799</v>
      </c>
      <c r="E58" s="70"/>
      <c r="F58" s="70"/>
      <c r="G58" s="112"/>
    </row>
    <row r="59" spans="1:7" ht="15.75">
      <c r="A59" s="65"/>
      <c r="B59" s="65"/>
      <c r="C59" s="65"/>
      <c r="D59" s="71"/>
      <c r="E59" s="108"/>
      <c r="F59" s="71"/>
      <c r="G59" s="112"/>
    </row>
    <row r="60" spans="1:7" ht="15.75">
      <c r="A60" s="481"/>
      <c r="B60" s="65"/>
      <c r="C60" s="65"/>
      <c r="D60" s="71" t="s">
        <v>799</v>
      </c>
      <c r="E60" s="71"/>
      <c r="F60" s="71"/>
      <c r="G60" s="112"/>
    </row>
    <row r="61" spans="1:6" ht="15.75">
      <c r="A61" s="68" t="s">
        <v>256</v>
      </c>
      <c r="B61" s="65"/>
      <c r="C61" s="65"/>
      <c r="D61" s="793" t="s">
        <v>255</v>
      </c>
      <c r="E61" s="794"/>
      <c r="F61" s="79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257</v>
      </c>
      <c r="B65" s="114"/>
      <c r="C65" s="114"/>
      <c r="D65" s="114"/>
      <c r="E65" s="114"/>
      <c r="F65" s="65"/>
    </row>
    <row r="66" spans="1:6" ht="15.75">
      <c r="A66" s="115" t="s">
        <v>258</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2"/>
      <c r="B69" s="553"/>
      <c r="C69" s="553"/>
      <c r="D69" s="553"/>
      <c r="E69" s="553"/>
      <c r="F69" s="553"/>
    </row>
    <row r="70" spans="1:6" ht="15.75">
      <c r="A70" s="552"/>
      <c r="B70" s="553"/>
      <c r="C70" s="553"/>
      <c r="D70" s="553"/>
      <c r="E70" s="553"/>
      <c r="F70" s="553"/>
    </row>
    <row r="71" spans="1:6" ht="15.75">
      <c r="A71" s="552"/>
      <c r="B71" s="553"/>
      <c r="C71" s="553"/>
      <c r="D71" s="554"/>
      <c r="E71" s="551"/>
      <c r="F71" s="553"/>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2"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C5" sqref="C5"/>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Walnut Township</v>
      </c>
      <c r="D1" s="65"/>
      <c r="E1" s="65"/>
      <c r="F1" s="65"/>
      <c r="G1" s="65"/>
      <c r="H1" s="65"/>
      <c r="I1" s="65"/>
      <c r="J1" s="65">
        <f>inputPrYr!D9</f>
        <v>2015</v>
      </c>
    </row>
    <row r="2" spans="1:10" ht="15.75">
      <c r="A2" s="65"/>
      <c r="B2" s="65"/>
      <c r="C2" s="65"/>
      <c r="D2" s="65"/>
      <c r="E2" s="65"/>
      <c r="F2" s="65"/>
      <c r="G2" s="65"/>
      <c r="H2" s="65"/>
      <c r="I2" s="65"/>
      <c r="J2" s="65"/>
    </row>
    <row r="3" spans="1:10" ht="15.75">
      <c r="A3" s="813" t="str">
        <f>CONCATENATE("Computation to Determine Limit for ",J1,"")</f>
        <v>Computation to Determine Limit for 2015</v>
      </c>
      <c r="B3" s="798"/>
      <c r="C3" s="798"/>
      <c r="D3" s="798"/>
      <c r="E3" s="798"/>
      <c r="F3" s="798"/>
      <c r="G3" s="798"/>
      <c r="H3" s="798"/>
      <c r="I3" s="798"/>
      <c r="J3" s="798"/>
    </row>
    <row r="4" spans="1:10" ht="15.75">
      <c r="A4" s="65"/>
      <c r="B4" s="65"/>
      <c r="C4" s="65"/>
      <c r="D4" s="65"/>
      <c r="E4" s="798"/>
      <c r="F4" s="798"/>
      <c r="G4" s="798"/>
      <c r="H4" s="64"/>
      <c r="I4" s="65"/>
      <c r="J4" s="262" t="s">
        <v>32</v>
      </c>
    </row>
    <row r="5" spans="1:10" ht="15.75">
      <c r="A5" s="263" t="s">
        <v>33</v>
      </c>
      <c r="B5" s="65" t="str">
        <f>CONCATENATE("Total Tax Levy Amount in ",J1-1,"")</f>
        <v>Total Tax Levy Amount in 2014</v>
      </c>
      <c r="C5" s="65"/>
      <c r="D5" s="65"/>
      <c r="E5" s="190"/>
      <c r="F5" s="190"/>
      <c r="G5" s="190"/>
      <c r="H5" s="264" t="s">
        <v>272</v>
      </c>
      <c r="I5" s="190" t="s">
        <v>259</v>
      </c>
      <c r="J5" s="265">
        <f>inputPrYr!E32</f>
        <v>259788</v>
      </c>
    </row>
    <row r="6" spans="1:10" ht="15.75">
      <c r="A6" s="263" t="s">
        <v>34</v>
      </c>
      <c r="B6" s="65" t="str">
        <f>CONCATENATE("Debt Service Levy in ",J1-1,"")</f>
        <v>Debt Service Levy in 2014</v>
      </c>
      <c r="C6" s="65"/>
      <c r="D6" s="65"/>
      <c r="E6" s="190"/>
      <c r="F6" s="190"/>
      <c r="G6" s="190"/>
      <c r="H6" s="264" t="s">
        <v>35</v>
      </c>
      <c r="I6" s="190" t="s">
        <v>259</v>
      </c>
      <c r="J6" s="266">
        <f>inputPrYr!E21</f>
        <v>0</v>
      </c>
    </row>
    <row r="7" spans="1:10" ht="15.75">
      <c r="A7" s="263" t="s">
        <v>36</v>
      </c>
      <c r="B7" s="159" t="s">
        <v>58</v>
      </c>
      <c r="C7" s="65"/>
      <c r="D7" s="65"/>
      <c r="E7" s="190"/>
      <c r="F7" s="190"/>
      <c r="G7" s="190"/>
      <c r="H7" s="190"/>
      <c r="I7" s="190" t="s">
        <v>259</v>
      </c>
      <c r="J7" s="267">
        <f>J5-J6</f>
        <v>259788</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272</v>
      </c>
      <c r="G11" s="241">
        <f>inputOth!E16</f>
        <v>85683</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272</v>
      </c>
      <c r="E14" s="241">
        <f>inputOth!E21</f>
        <v>134365</v>
      </c>
      <c r="F14" s="264"/>
      <c r="G14" s="190"/>
      <c r="H14" s="190"/>
      <c r="I14" s="268"/>
      <c r="J14" s="190"/>
    </row>
    <row r="15" spans="1:10" ht="15.75">
      <c r="A15" s="263"/>
      <c r="B15" s="65" t="s">
        <v>40</v>
      </c>
      <c r="C15" s="65" t="str">
        <f>CONCATENATE("Personal Property ",J1-2,"")</f>
        <v>Personal Property 2013</v>
      </c>
      <c r="D15" s="263" t="s">
        <v>35</v>
      </c>
      <c r="E15" s="267">
        <f>inputOth!E31</f>
        <v>154015</v>
      </c>
      <c r="F15" s="264"/>
      <c r="G15" s="268"/>
      <c r="H15" s="268"/>
      <c r="I15" s="190"/>
      <c r="J15" s="190"/>
    </row>
    <row r="16" spans="1:10" ht="15.75">
      <c r="A16" s="263"/>
      <c r="B16" s="65" t="s">
        <v>41</v>
      </c>
      <c r="C16" s="65" t="s">
        <v>59</v>
      </c>
      <c r="D16" s="65"/>
      <c r="E16" s="190"/>
      <c r="F16" s="190" t="s">
        <v>272</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272</v>
      </c>
      <c r="G18" s="241">
        <f>inputOth!E26</f>
        <v>84283</v>
      </c>
      <c r="H18" s="190"/>
      <c r="I18" s="190"/>
      <c r="J18" s="190"/>
    </row>
    <row r="19" spans="1:10" ht="15.75">
      <c r="A19" s="65" t="s">
        <v>240</v>
      </c>
      <c r="B19" s="65"/>
      <c r="C19" s="65"/>
      <c r="D19" s="263"/>
      <c r="E19" s="268"/>
      <c r="F19" s="268"/>
      <c r="G19" s="268"/>
      <c r="H19" s="190"/>
      <c r="I19" s="190"/>
      <c r="J19" s="190"/>
    </row>
    <row r="20" spans="1:10" ht="15.75">
      <c r="A20" s="263" t="s">
        <v>43</v>
      </c>
      <c r="B20" s="159" t="s">
        <v>60</v>
      </c>
      <c r="C20" s="65"/>
      <c r="D20" s="65"/>
      <c r="E20" s="190"/>
      <c r="F20" s="190"/>
      <c r="G20" s="241">
        <f>G11+G16+G18</f>
        <v>169966</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17123908</v>
      </c>
      <c r="F22" s="190"/>
      <c r="G22" s="190"/>
      <c r="H22" s="190"/>
      <c r="I22" s="264"/>
      <c r="J22" s="190"/>
    </row>
    <row r="23" spans="1:10" ht="15.75">
      <c r="A23" s="263"/>
      <c r="B23" s="263"/>
      <c r="C23" s="65"/>
      <c r="D23" s="65"/>
      <c r="E23" s="268"/>
      <c r="F23" s="190"/>
      <c r="G23" s="190"/>
      <c r="H23" s="190"/>
      <c r="I23" s="264"/>
      <c r="J23" s="190"/>
    </row>
    <row r="24" spans="1:10" ht="15.75">
      <c r="A24" s="263" t="s">
        <v>45</v>
      </c>
      <c r="B24" s="159" t="s">
        <v>61</v>
      </c>
      <c r="C24" s="65"/>
      <c r="D24" s="65"/>
      <c r="E24" s="190"/>
      <c r="F24" s="190"/>
      <c r="G24" s="241">
        <f>E22-G20</f>
        <v>16953942</v>
      </c>
      <c r="H24" s="268"/>
      <c r="I24" s="264"/>
      <c r="J24" s="190"/>
    </row>
    <row r="25" spans="1:10" ht="15.75">
      <c r="A25" s="263"/>
      <c r="B25" s="263"/>
      <c r="C25" s="159"/>
      <c r="D25" s="65"/>
      <c r="E25" s="65"/>
      <c r="F25" s="65"/>
      <c r="G25" s="269"/>
      <c r="H25" s="71"/>
      <c r="I25" s="263"/>
      <c r="J25" s="65"/>
    </row>
    <row r="26" spans="1:10" ht="15.75">
      <c r="A26" s="263" t="s">
        <v>46</v>
      </c>
      <c r="B26" s="65" t="s">
        <v>62</v>
      </c>
      <c r="C26" s="65"/>
      <c r="D26" s="65"/>
      <c r="E26" s="65"/>
      <c r="F26" s="65"/>
      <c r="G26" s="270">
        <f>IF(G20&gt;0,G20/G24,0)</f>
        <v>0.010025161110023852</v>
      </c>
      <c r="H26" s="71"/>
      <c r="I26" s="65"/>
      <c r="J26" s="65"/>
    </row>
    <row r="27" spans="1:10" ht="15.75">
      <c r="A27" s="263"/>
      <c r="B27" s="263"/>
      <c r="C27" s="65"/>
      <c r="D27" s="65"/>
      <c r="E27" s="65"/>
      <c r="F27" s="65"/>
      <c r="G27" s="71"/>
      <c r="H27" s="71"/>
      <c r="I27" s="65"/>
      <c r="J27" s="65"/>
    </row>
    <row r="28" spans="1:10" ht="15.75">
      <c r="A28" s="263" t="s">
        <v>47</v>
      </c>
      <c r="B28" s="65" t="s">
        <v>63</v>
      </c>
      <c r="C28" s="65"/>
      <c r="D28" s="65"/>
      <c r="E28" s="65"/>
      <c r="F28" s="65"/>
      <c r="G28" s="71"/>
      <c r="H28" s="271" t="s">
        <v>272</v>
      </c>
      <c r="I28" s="65" t="s">
        <v>259</v>
      </c>
      <c r="J28" s="241">
        <f>ROUND(G26*J7,0)</f>
        <v>2604</v>
      </c>
    </row>
    <row r="29" spans="1:10" ht="15.75">
      <c r="A29" s="263"/>
      <c r="B29" s="263"/>
      <c r="C29" s="65"/>
      <c r="D29" s="65"/>
      <c r="E29" s="65"/>
      <c r="F29" s="65"/>
      <c r="G29" s="71"/>
      <c r="H29" s="271"/>
      <c r="I29" s="65"/>
      <c r="J29" s="268"/>
    </row>
    <row r="30" spans="1:10" ht="16.5" thickBot="1">
      <c r="A30" s="263" t="s">
        <v>48</v>
      </c>
      <c r="B30" s="159" t="s">
        <v>66</v>
      </c>
      <c r="C30" s="65"/>
      <c r="D30" s="65"/>
      <c r="E30" s="65"/>
      <c r="F30" s="65"/>
      <c r="G30" s="65"/>
      <c r="H30" s="65"/>
      <c r="I30" s="65" t="s">
        <v>259</v>
      </c>
      <c r="J30" s="272">
        <f>J7+J28</f>
        <v>262392</v>
      </c>
    </row>
    <row r="31" spans="1:10" ht="16.5" thickTop="1">
      <c r="A31" s="65"/>
      <c r="B31" s="65"/>
      <c r="C31" s="65"/>
      <c r="D31" s="65"/>
      <c r="E31" s="65"/>
      <c r="F31" s="65"/>
      <c r="G31" s="65"/>
      <c r="H31" s="65"/>
      <c r="I31" s="65"/>
      <c r="J31" s="65"/>
    </row>
    <row r="32" spans="1:10" ht="15.75">
      <c r="A32" s="263" t="s">
        <v>64</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268"/>
    </row>
    <row r="34" spans="1:10" ht="15.75">
      <c r="A34" s="263" t="s">
        <v>65</v>
      </c>
      <c r="B34" s="159" t="s">
        <v>949</v>
      </c>
      <c r="C34" s="65"/>
      <c r="D34" s="65"/>
      <c r="E34" s="743">
        <v>0.015</v>
      </c>
      <c r="F34" s="65"/>
      <c r="G34" s="65"/>
      <c r="H34" s="65"/>
      <c r="I34" s="65"/>
      <c r="J34" s="241">
        <f>+J7*E34</f>
        <v>3896.8199999999997</v>
      </c>
    </row>
    <row r="35" spans="1:10" ht="15.75">
      <c r="A35" s="263"/>
      <c r="B35" s="159"/>
      <c r="C35" s="65"/>
      <c r="D35" s="65"/>
      <c r="E35" s="65"/>
      <c r="F35" s="65"/>
      <c r="G35" s="65"/>
      <c r="H35" s="65"/>
      <c r="I35" s="65"/>
      <c r="J35" s="268"/>
    </row>
    <row r="36" spans="1:10" ht="16.5" thickBot="1">
      <c r="A36" s="263" t="s">
        <v>948</v>
      </c>
      <c r="B36" s="159" t="s">
        <v>947</v>
      </c>
      <c r="C36" s="65"/>
      <c r="D36" s="65"/>
      <c r="E36" s="65"/>
      <c r="F36" s="65"/>
      <c r="G36" s="65"/>
      <c r="H36" s="65"/>
      <c r="I36" s="65"/>
      <c r="J36" s="272">
        <f>J30+J32+J34</f>
        <v>266288.82</v>
      </c>
    </row>
    <row r="37" spans="1:10" ht="16.5" thickTop="1">
      <c r="A37" s="65"/>
      <c r="B37" s="65"/>
      <c r="C37" s="65"/>
      <c r="D37" s="65"/>
      <c r="E37" s="65"/>
      <c r="F37" s="65"/>
      <c r="G37" s="65"/>
      <c r="H37" s="65"/>
      <c r="I37" s="65"/>
      <c r="J37" s="65"/>
    </row>
    <row r="38" spans="1:10" s="273" customFormat="1" ht="18.75">
      <c r="A38" s="811" t="str">
        <f>CONCATENATE("If the ",J1," budget includes tax levies exceeding the total on line 14, you must")</f>
        <v>If the 2015 budget includes tax levies exceeding the total on line 14, you must</v>
      </c>
      <c r="B38" s="811"/>
      <c r="C38" s="811"/>
      <c r="D38" s="811"/>
      <c r="E38" s="811"/>
      <c r="F38" s="811"/>
      <c r="G38" s="811"/>
      <c r="H38" s="811"/>
      <c r="I38" s="811"/>
      <c r="J38" s="811"/>
    </row>
    <row r="39" spans="1:10" s="273" customFormat="1" ht="18.75">
      <c r="A39" s="811" t="s">
        <v>950</v>
      </c>
      <c r="B39" s="811"/>
      <c r="C39" s="811"/>
      <c r="D39" s="811"/>
      <c r="E39" s="811"/>
      <c r="F39" s="811"/>
      <c r="G39" s="811"/>
      <c r="H39" s="811"/>
      <c r="I39" s="811"/>
      <c r="J39" s="811"/>
    </row>
    <row r="40" spans="1:10" s="273" customFormat="1" ht="18.75">
      <c r="A40" s="812" t="s">
        <v>951</v>
      </c>
      <c r="B40" s="812"/>
      <c r="C40" s="812"/>
      <c r="D40" s="812"/>
      <c r="E40" s="812"/>
      <c r="F40" s="812"/>
      <c r="G40" s="812"/>
      <c r="H40" s="812"/>
      <c r="I40" s="812"/>
      <c r="J40" s="812"/>
    </row>
  </sheetData>
  <sheetProtection/>
  <mergeCells count="5">
    <mergeCell ref="A38:J38"/>
    <mergeCell ref="A40:J40"/>
    <mergeCell ref="A3:J3"/>
    <mergeCell ref="E4:G4"/>
    <mergeCell ref="A39:J3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Walnut Township</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814" t="s">
        <v>776</v>
      </c>
      <c r="C6" s="794"/>
      <c r="D6" s="794"/>
      <c r="E6" s="794"/>
      <c r="F6" s="794"/>
      <c r="G6" s="794"/>
      <c r="H6" s="794"/>
      <c r="I6" s="794"/>
      <c r="J6" s="794"/>
      <c r="K6" s="794"/>
    </row>
    <row r="7" spans="1:11" ht="16.5">
      <c r="A7" s="65"/>
      <c r="B7" s="798"/>
      <c r="C7" s="815"/>
      <c r="D7" s="815"/>
      <c r="E7" s="815"/>
      <c r="F7" s="815"/>
      <c r="G7" s="815"/>
      <c r="H7" s="815"/>
      <c r="I7" s="815"/>
      <c r="J7" s="815"/>
      <c r="K7" s="815"/>
    </row>
    <row r="8" spans="1:11" ht="15.75">
      <c r="A8" s="65"/>
      <c r="B8" s="65"/>
      <c r="C8" s="227"/>
      <c r="D8" s="227"/>
      <c r="E8" s="227"/>
      <c r="F8" s="227"/>
      <c r="G8" s="228"/>
      <c r="H8" s="66"/>
      <c r="I8" s="66"/>
      <c r="J8" s="65"/>
      <c r="K8" s="65"/>
    </row>
    <row r="9" spans="1:11" ht="21" customHeight="1">
      <c r="A9" s="65"/>
      <c r="B9" s="249" t="s">
        <v>777</v>
      </c>
      <c r="C9" s="229"/>
      <c r="D9" s="558" t="s">
        <v>778</v>
      </c>
      <c r="E9" s="816" t="str">
        <f>CONCATENATE("Budget Tax Levy Rate for ",K1-1,"")</f>
        <v>Budget Tax Levy Rate for 2014</v>
      </c>
      <c r="F9" s="83"/>
      <c r="G9" s="818" t="str">
        <f>CONCATENATE("Allocation for Year ",K1,"")</f>
        <v>Allocation for Year 2015</v>
      </c>
      <c r="H9" s="819"/>
      <c r="I9" s="819"/>
      <c r="J9" s="820"/>
      <c r="K9" s="211"/>
    </row>
    <row r="10" spans="1:11" ht="15.75">
      <c r="A10" s="65"/>
      <c r="B10" s="557" t="str">
        <f>CONCATENATE("for ",K1-1,"")</f>
        <v>for 2014</v>
      </c>
      <c r="C10" s="231"/>
      <c r="D10" s="120" t="str">
        <f>CONCATENATE("Amount for ",K1,"")</f>
        <v>Amount for 2015</v>
      </c>
      <c r="E10" s="817"/>
      <c r="F10" s="79"/>
      <c r="G10" s="79" t="s">
        <v>30</v>
      </c>
      <c r="H10" s="79"/>
      <c r="I10" s="79" t="s">
        <v>31</v>
      </c>
      <c r="J10" s="83" t="s">
        <v>70</v>
      </c>
      <c r="K10" s="211"/>
    </row>
    <row r="11" spans="1:11" ht="15.75">
      <c r="A11" s="65"/>
      <c r="B11" s="90" t="str">
        <f>inputPrYr!B20</f>
        <v>General</v>
      </c>
      <c r="C11" s="232"/>
      <c r="D11" s="90">
        <f>IF(inputPrYr!E20&gt;0,inputPrYr!E20,"  ")</f>
        <v>7421</v>
      </c>
      <c r="E11" s="233">
        <f>IF(inputOth!D37&gt;0,inputOth!D37,"  ")</f>
        <v>0.437</v>
      </c>
      <c r="F11" s="234"/>
      <c r="G11" s="90">
        <f>IF(inputPrYr!E20=0,0,G25-SUM(G12:G22))</f>
        <v>265</v>
      </c>
      <c r="H11" s="235"/>
      <c r="I11" s="90">
        <f>IF(inputPrYr!E20=0,0,I27-SUM(I12:I22))</f>
        <v>6</v>
      </c>
      <c r="J11" s="90">
        <f>IF(inputPrYr!E20=0,0,J29-SUM(J12:J22))</f>
        <v>44</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227416</v>
      </c>
      <c r="E14" s="233">
        <f>IF(inputOth!D40&gt;0,inputOth!D40,"  ")</f>
        <v>15.329</v>
      </c>
      <c r="F14" s="234"/>
      <c r="G14" s="90">
        <f>IF(inputPrYr!E23=0,0,ROUND(D14*$G$31,0))</f>
        <v>8128</v>
      </c>
      <c r="H14" s="235"/>
      <c r="I14" s="90">
        <f>IF(inputPrYr!$E$23=0,0,ROUND($D$14*$I$33,0))</f>
        <v>166</v>
      </c>
      <c r="J14" s="90">
        <f>IF(inputPrYr!E23=0,0,ROUND($D14*$J$35,0))</f>
        <v>1338</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f>IF(inputPrYr!E26&gt;0,inputPrYr!E26,"  ")</f>
        <v>24951</v>
      </c>
      <c r="E17" s="233">
        <f>IF(inputOth!D43&gt;0,inputOth!D43,"  ")</f>
        <v>1.682</v>
      </c>
      <c r="F17" s="234"/>
      <c r="G17" s="90">
        <f>IF(inputPrYr!E26=0,0,ROUND(D17*$G$31,0))</f>
        <v>892</v>
      </c>
      <c r="H17" s="235"/>
      <c r="I17" s="90">
        <f>IF(inputPrYr!$E$26=0,0,ROUND($D$17*$I$33,0))</f>
        <v>18</v>
      </c>
      <c r="J17" s="90">
        <f>IF(inputPrYr!E26=0,0,ROUND($D17*$J$35,0))</f>
        <v>147</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238</v>
      </c>
      <c r="C23" s="236"/>
      <c r="D23" s="237">
        <f aca="true" t="shared" si="0" ref="D23:J23">SUM(D11:D22)</f>
        <v>259788</v>
      </c>
      <c r="E23" s="238">
        <f>SUM(E11:E22)</f>
        <v>17.448</v>
      </c>
      <c r="F23" s="239"/>
      <c r="G23" s="237">
        <f t="shared" si="0"/>
        <v>9285</v>
      </c>
      <c r="H23" s="237"/>
      <c r="I23" s="237">
        <f t="shared" si="0"/>
        <v>190</v>
      </c>
      <c r="J23" s="237">
        <f t="shared" si="0"/>
        <v>1529</v>
      </c>
      <c r="K23" s="211"/>
    </row>
    <row r="24" spans="1:11" ht="16.5" thickTop="1">
      <c r="A24" s="65"/>
      <c r="B24" s="65"/>
      <c r="C24" s="65"/>
      <c r="D24" s="65"/>
      <c r="E24" s="65"/>
      <c r="F24" s="65"/>
      <c r="G24" s="65"/>
      <c r="H24" s="65"/>
      <c r="I24" s="65"/>
      <c r="J24" s="65"/>
      <c r="K24" s="65"/>
    </row>
    <row r="25" spans="1:11" ht="15.75">
      <c r="A25" s="65"/>
      <c r="B25" s="72" t="s">
        <v>262</v>
      </c>
      <c r="C25" s="208"/>
      <c r="D25" s="65"/>
      <c r="E25" s="65"/>
      <c r="F25" s="65"/>
      <c r="G25" s="240">
        <f>SUM(inputOth!E59,inputOth!E63,inputOth!E67)</f>
        <v>9285</v>
      </c>
      <c r="H25" s="65"/>
      <c r="I25" s="65"/>
      <c r="J25" s="65"/>
      <c r="K25" s="65"/>
    </row>
    <row r="26" spans="1:11" ht="15.75">
      <c r="A26" s="65"/>
      <c r="B26" s="65"/>
      <c r="C26" s="65"/>
      <c r="D26" s="65"/>
      <c r="E26" s="65"/>
      <c r="F26" s="65"/>
      <c r="G26" s="65"/>
      <c r="H26" s="65"/>
      <c r="I26" s="65"/>
      <c r="J26" s="65"/>
      <c r="K26" s="65"/>
    </row>
    <row r="27" spans="1:11" ht="15.75">
      <c r="A27" s="65"/>
      <c r="B27" s="72" t="s">
        <v>263</v>
      </c>
      <c r="C27" s="65"/>
      <c r="D27" s="65"/>
      <c r="E27" s="65"/>
      <c r="F27" s="65"/>
      <c r="G27" s="65"/>
      <c r="H27" s="240">
        <f>inputPrYr!E83</f>
        <v>0</v>
      </c>
      <c r="I27" s="240">
        <f>SUM(inputOth!E60,inputOth!E64,inputOth!E68)</f>
        <v>190</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1529</v>
      </c>
      <c r="K29" s="178"/>
    </row>
    <row r="30" spans="1:11" ht="15.75">
      <c r="A30" s="65"/>
      <c r="B30" s="65"/>
      <c r="C30" s="65"/>
      <c r="D30" s="65"/>
      <c r="E30" s="65"/>
      <c r="F30" s="65"/>
      <c r="G30" s="65"/>
      <c r="H30" s="65"/>
      <c r="I30" s="65"/>
      <c r="J30" s="65"/>
      <c r="K30" s="65"/>
    </row>
    <row r="31" spans="1:11" ht="15.75">
      <c r="A31" s="65"/>
      <c r="B31" s="72" t="s">
        <v>264</v>
      </c>
      <c r="C31" s="65"/>
      <c r="D31" s="65"/>
      <c r="E31" s="65"/>
      <c r="F31" s="65"/>
      <c r="G31" s="242">
        <f>IF(D23=0,0,G25/D23)</f>
        <v>0.03574068086285741</v>
      </c>
      <c r="H31" s="65"/>
      <c r="I31" s="65"/>
      <c r="J31" s="65"/>
      <c r="K31" s="65"/>
    </row>
    <row r="32" spans="1:11" ht="15.75">
      <c r="A32" s="65"/>
      <c r="B32" s="65"/>
      <c r="C32" s="243"/>
      <c r="D32" s="65"/>
      <c r="E32" s="65"/>
      <c r="F32" s="65"/>
      <c r="G32" s="65"/>
      <c r="H32" s="65"/>
      <c r="I32" s="65"/>
      <c r="J32" s="65"/>
      <c r="K32" s="65"/>
    </row>
    <row r="33" spans="1:11" ht="15.75">
      <c r="A33" s="65"/>
      <c r="B33" s="72" t="s">
        <v>265</v>
      </c>
      <c r="C33" s="65"/>
      <c r="D33" s="65"/>
      <c r="E33" s="65"/>
      <c r="F33" s="65"/>
      <c r="G33" s="65"/>
      <c r="H33" s="244">
        <f>IF(D23=0,0,H27/D23)</f>
        <v>0</v>
      </c>
      <c r="I33" s="245">
        <f>IF(D23=0,0,I27/D23)</f>
        <v>0.0007313655750073137</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0.005885568232558856</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3" sqref="J13"/>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Walnut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98" t="s">
        <v>113</v>
      </c>
      <c r="B5" s="798"/>
      <c r="C5" s="798"/>
      <c r="D5" s="798"/>
      <c r="E5" s="798"/>
      <c r="F5" s="798"/>
    </row>
    <row r="6" spans="1:6" ht="14.25" customHeight="1">
      <c r="A6" s="64"/>
      <c r="B6" s="248"/>
      <c r="C6" s="248"/>
      <c r="D6" s="248"/>
      <c r="E6" s="248"/>
      <c r="F6" s="248"/>
    </row>
    <row r="7" spans="1:6" ht="15" customHeight="1">
      <c r="A7" s="249" t="s">
        <v>246</v>
      </c>
      <c r="B7" s="249" t="s">
        <v>622</v>
      </c>
      <c r="C7" s="250" t="s">
        <v>289</v>
      </c>
      <c r="D7" s="250" t="s">
        <v>114</v>
      </c>
      <c r="E7" s="249" t="s">
        <v>115</v>
      </c>
      <c r="F7" s="249" t="s">
        <v>116</v>
      </c>
    </row>
    <row r="8" spans="1:6" ht="15" customHeight="1">
      <c r="A8" s="251" t="s">
        <v>623</v>
      </c>
      <c r="B8" s="251" t="s">
        <v>624</v>
      </c>
      <c r="C8" s="252" t="s">
        <v>117</v>
      </c>
      <c r="D8" s="252" t="s">
        <v>117</v>
      </c>
      <c r="E8" s="252" t="s">
        <v>117</v>
      </c>
      <c r="F8" s="252" t="s">
        <v>118</v>
      </c>
    </row>
    <row r="9" spans="1:6" s="255" customFormat="1" ht="15" customHeight="1" thickBot="1">
      <c r="A9" s="253" t="s">
        <v>119</v>
      </c>
      <c r="B9" s="254" t="s">
        <v>120</v>
      </c>
      <c r="C9" s="254">
        <f>F1-2</f>
        <v>2013</v>
      </c>
      <c r="D9" s="254">
        <f>F1-1</f>
        <v>2014</v>
      </c>
      <c r="E9" s="254">
        <f>F1</f>
        <v>2015</v>
      </c>
      <c r="F9" s="254" t="s">
        <v>233</v>
      </c>
    </row>
    <row r="10" spans="1:6" ht="15" customHeight="1" thickTop="1">
      <c r="A10" s="256"/>
      <c r="B10" s="256"/>
      <c r="C10" s="257"/>
      <c r="D10" s="257"/>
      <c r="E10" s="257"/>
      <c r="F10" s="256"/>
    </row>
    <row r="11" spans="1:6" ht="15" customHeight="1">
      <c r="A11" s="207" t="s">
        <v>188</v>
      </c>
      <c r="B11" s="207" t="s">
        <v>250</v>
      </c>
      <c r="C11" s="258">
        <f>gen!$C$37</f>
        <v>0</v>
      </c>
      <c r="D11" s="258">
        <f>gen!$D$37</f>
        <v>0</v>
      </c>
      <c r="E11" s="258">
        <f>gen!$E$37</f>
        <v>0</v>
      </c>
      <c r="F11" s="207">
        <f>IF(C11+D11+E11&gt;0,"80-1406b","")</f>
      </c>
    </row>
    <row r="12" spans="1:6" ht="15" customHeight="1">
      <c r="A12" s="207" t="s">
        <v>188</v>
      </c>
      <c r="B12" s="207" t="s">
        <v>250</v>
      </c>
      <c r="C12" s="258">
        <f>gen!$C$39</f>
        <v>0</v>
      </c>
      <c r="D12" s="258">
        <f>gen!$D$39</f>
        <v>0</v>
      </c>
      <c r="E12" s="258">
        <f>gen!$E$39</f>
        <v>0</v>
      </c>
      <c r="F12" s="207">
        <f>IF(C12+D12+E12&gt;0,"80-122","")</f>
      </c>
    </row>
    <row r="13" spans="1:6" ht="15" customHeight="1">
      <c r="A13" s="207" t="s">
        <v>237</v>
      </c>
      <c r="B13" s="207" t="s">
        <v>250</v>
      </c>
      <c r="C13" s="258">
        <f>road!$C$38</f>
        <v>30615</v>
      </c>
      <c r="D13" s="258">
        <f>road!$D$38</f>
        <v>0</v>
      </c>
      <c r="E13" s="258">
        <f>road!$E$38</f>
        <v>0</v>
      </c>
      <c r="F13" s="207" t="str">
        <f>IF(C13+D13+E13&gt;0,"68-141g","")</f>
        <v>68-141g</v>
      </c>
    </row>
    <row r="14" spans="1:6" ht="15" customHeight="1">
      <c r="A14" s="180" t="s">
        <v>188</v>
      </c>
      <c r="B14" s="180" t="s">
        <v>973</v>
      </c>
      <c r="C14" s="259">
        <f>+gen!C33</f>
        <v>155</v>
      </c>
      <c r="D14" s="259"/>
      <c r="E14" s="259"/>
      <c r="F14" s="180" t="s">
        <v>974</v>
      </c>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238</v>
      </c>
      <c r="C27" s="261">
        <f>SUM(C10:C26)</f>
        <v>30770</v>
      </c>
      <c r="D27" s="261">
        <f>SUM(D10:D26)</f>
        <v>0</v>
      </c>
      <c r="E27" s="261">
        <f>SUM(E10:E26)</f>
        <v>0</v>
      </c>
      <c r="F27" s="192"/>
    </row>
    <row r="28" spans="1:6" ht="15.75">
      <c r="A28" s="192"/>
      <c r="B28" s="88" t="s">
        <v>621</v>
      </c>
      <c r="C28" s="65"/>
      <c r="D28" s="180"/>
      <c r="E28" s="180"/>
      <c r="F28" s="192"/>
    </row>
    <row r="29" spans="1:6" ht="15.75">
      <c r="A29" s="192"/>
      <c r="B29" s="88" t="s">
        <v>121</v>
      </c>
      <c r="C29" s="182">
        <f>C27</f>
        <v>30770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625</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6">
      <selection activeCell="A25" sqref="A25"/>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Walnut Township</v>
      </c>
      <c r="C1" s="275"/>
      <c r="D1" s="275"/>
      <c r="E1" s="275"/>
      <c r="F1" s="275"/>
      <c r="G1" s="275"/>
      <c r="H1" s="275"/>
      <c r="I1" s="275"/>
      <c r="J1" s="65"/>
      <c r="K1" s="65"/>
      <c r="L1" s="225">
        <f>inputPrYr!D9</f>
        <v>2015</v>
      </c>
    </row>
    <row r="2" spans="1:12" ht="15.75">
      <c r="A2" s="299"/>
      <c r="B2" s="274" t="str">
        <f>inputPrYr!$D$4</f>
        <v>Brown County</v>
      </c>
      <c r="C2" s="275"/>
      <c r="D2" s="275"/>
      <c r="E2" s="275"/>
      <c r="F2" s="275"/>
      <c r="G2" s="275"/>
      <c r="H2" s="275"/>
      <c r="I2" s="275"/>
      <c r="J2" s="65"/>
      <c r="K2" s="65"/>
      <c r="L2" s="211"/>
    </row>
    <row r="3" spans="1:12" ht="15.75">
      <c r="A3" s="299"/>
      <c r="B3" s="821" t="s">
        <v>26</v>
      </c>
      <c r="C3" s="809"/>
      <c r="D3" s="809"/>
      <c r="E3" s="809"/>
      <c r="F3" s="809"/>
      <c r="G3" s="809"/>
      <c r="H3" s="809"/>
      <c r="I3" s="809"/>
      <c r="J3" s="809"/>
      <c r="K3" s="809"/>
      <c r="L3" s="809"/>
    </row>
    <row r="4" spans="1:12" ht="15.75">
      <c r="A4" s="299"/>
      <c r="B4" s="275"/>
      <c r="C4" s="275"/>
      <c r="D4" s="275"/>
      <c r="E4" s="275"/>
      <c r="F4" s="275"/>
      <c r="G4" s="275"/>
      <c r="H4" s="275"/>
      <c r="I4" s="275"/>
      <c r="J4" s="275"/>
      <c r="K4" s="275"/>
      <c r="L4" s="275"/>
    </row>
    <row r="5" spans="1:12" ht="15.75">
      <c r="A5" s="299"/>
      <c r="B5" s="229" t="s">
        <v>779</v>
      </c>
      <c r="C5" s="229" t="s">
        <v>6</v>
      </c>
      <c r="D5" s="229" t="s">
        <v>13</v>
      </c>
      <c r="E5" s="229"/>
      <c r="F5" s="229" t="s">
        <v>261</v>
      </c>
      <c r="G5" s="277"/>
      <c r="H5" s="278"/>
      <c r="I5" s="277" t="s">
        <v>7</v>
      </c>
      <c r="J5" s="278"/>
      <c r="K5" s="277" t="s">
        <v>7</v>
      </c>
      <c r="L5" s="278"/>
    </row>
    <row r="6" spans="1:12" ht="15.75">
      <c r="A6" s="299"/>
      <c r="B6" s="279" t="s">
        <v>8</v>
      </c>
      <c r="C6" s="279" t="s">
        <v>8</v>
      </c>
      <c r="D6" s="279" t="s">
        <v>260</v>
      </c>
      <c r="E6" s="279" t="s">
        <v>261</v>
      </c>
      <c r="F6" s="279" t="s">
        <v>71</v>
      </c>
      <c r="G6" s="280" t="s">
        <v>9</v>
      </c>
      <c r="H6" s="281"/>
      <c r="I6" s="280">
        <f>L1-1</f>
        <v>2014</v>
      </c>
      <c r="J6" s="281"/>
      <c r="K6" s="280">
        <f>L1</f>
        <v>2015</v>
      </c>
      <c r="L6" s="281"/>
    </row>
    <row r="7" spans="1:12" ht="15.75">
      <c r="A7" s="299"/>
      <c r="B7" s="231" t="s">
        <v>780</v>
      </c>
      <c r="C7" s="231" t="s">
        <v>10</v>
      </c>
      <c r="D7" s="231" t="s">
        <v>286</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102</v>
      </c>
      <c r="C11" s="291"/>
      <c r="D11" s="292"/>
      <c r="E11" s="261"/>
      <c r="F11" s="177">
        <f>SUM(F9:F10)</f>
        <v>0</v>
      </c>
      <c r="G11" s="293"/>
      <c r="H11" s="293"/>
      <c r="I11" s="177">
        <f>SUM(I9:I10)</f>
        <v>0</v>
      </c>
      <c r="J11" s="177">
        <f>SUM(J9:J10)</f>
        <v>0</v>
      </c>
      <c r="K11" s="177">
        <f>SUM(K9:K10)</f>
        <v>0</v>
      </c>
      <c r="L11" s="177">
        <f>SUM(L9:L10)</f>
        <v>0</v>
      </c>
    </row>
    <row r="12" spans="1:12" ht="15.75">
      <c r="A12" s="299"/>
      <c r="B12" s="207" t="s">
        <v>278</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103</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59"/>
      <c r="D16" s="560"/>
      <c r="E16" s="561"/>
      <c r="F16" s="297">
        <f>SUM(F11+F15)</f>
        <v>0</v>
      </c>
      <c r="G16" s="559"/>
      <c r="H16" s="562"/>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21" t="s">
        <v>25</v>
      </c>
      <c r="C18" s="809"/>
      <c r="D18" s="809"/>
      <c r="E18" s="809"/>
      <c r="F18" s="809"/>
      <c r="G18" s="809"/>
      <c r="H18" s="809"/>
      <c r="I18" s="809"/>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238</v>
      </c>
      <c r="G20" s="206"/>
      <c r="H20" s="206"/>
      <c r="I20" s="206"/>
      <c r="J20" s="303"/>
      <c r="K20" s="304"/>
      <c r="L20" s="299"/>
    </row>
    <row r="21" spans="1:12" s="300" customFormat="1" ht="15.75">
      <c r="A21" s="299"/>
      <c r="B21" s="75"/>
      <c r="C21" s="279"/>
      <c r="D21" s="279" t="s">
        <v>8</v>
      </c>
      <c r="E21" s="279" t="s">
        <v>13</v>
      </c>
      <c r="F21" s="279" t="s">
        <v>261</v>
      </c>
      <c r="G21" s="279" t="s">
        <v>14</v>
      </c>
      <c r="H21" s="279" t="s">
        <v>15</v>
      </c>
      <c r="I21" s="279" t="s">
        <v>15</v>
      </c>
      <c r="J21" s="299"/>
      <c r="K21" s="299"/>
      <c r="L21" s="299"/>
    </row>
    <row r="22" spans="1:12" s="300" customFormat="1" ht="15.75">
      <c r="A22" s="299"/>
      <c r="B22" s="279" t="s">
        <v>781</v>
      </c>
      <c r="C22" s="279" t="s">
        <v>16</v>
      </c>
      <c r="D22" s="279" t="s">
        <v>17</v>
      </c>
      <c r="E22" s="279" t="s">
        <v>260</v>
      </c>
      <c r="F22" s="279" t="s">
        <v>18</v>
      </c>
      <c r="G22" s="279" t="s">
        <v>57</v>
      </c>
      <c r="H22" s="279" t="s">
        <v>19</v>
      </c>
      <c r="I22" s="279" t="s">
        <v>19</v>
      </c>
      <c r="J22" s="299"/>
      <c r="K22" s="299"/>
      <c r="L22" s="299"/>
    </row>
    <row r="23" spans="1:12" s="300" customFormat="1" ht="15.75">
      <c r="A23" s="299"/>
      <c r="B23" s="231" t="s">
        <v>782</v>
      </c>
      <c r="C23" s="231" t="s">
        <v>6</v>
      </c>
      <c r="D23" s="305" t="s">
        <v>20</v>
      </c>
      <c r="E23" s="231" t="s">
        <v>286</v>
      </c>
      <c r="F23" s="305" t="s">
        <v>72</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962</v>
      </c>
      <c r="C25" s="762">
        <v>41578</v>
      </c>
      <c r="D25" s="306">
        <v>60</v>
      </c>
      <c r="E25" s="288">
        <v>3.3</v>
      </c>
      <c r="F25" s="171">
        <v>106005</v>
      </c>
      <c r="G25" s="171">
        <v>106005</v>
      </c>
      <c r="H25" s="171">
        <v>23345</v>
      </c>
      <c r="I25" s="171">
        <v>23345</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t="s">
        <v>963</v>
      </c>
      <c r="C27" s="287">
        <v>40298</v>
      </c>
      <c r="D27" s="306">
        <v>94</v>
      </c>
      <c r="E27" s="288">
        <v>3.95</v>
      </c>
      <c r="F27" s="171">
        <v>167758</v>
      </c>
      <c r="G27" s="171">
        <f>+F27/8*3</f>
        <v>62909.25</v>
      </c>
      <c r="H27" s="171">
        <v>18302</v>
      </c>
      <c r="I27" s="171">
        <v>18302</v>
      </c>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3" t="s">
        <v>28</v>
      </c>
      <c r="G36" s="297">
        <f>SUM(G24:G35)</f>
        <v>168914.25</v>
      </c>
      <c r="H36" s="297">
        <f>SUM(H24:H35)</f>
        <v>41647</v>
      </c>
      <c r="I36" s="297">
        <f>SUM(I24:I35)</f>
        <v>41647</v>
      </c>
      <c r="J36" s="275"/>
      <c r="K36" s="275"/>
      <c r="L36" s="308"/>
    </row>
    <row r="37" spans="1:12" ht="15.75">
      <c r="A37" s="299"/>
      <c r="B37" s="275"/>
      <c r="C37" s="275"/>
      <c r="D37" s="275"/>
      <c r="E37" s="275"/>
      <c r="F37" s="275"/>
      <c r="G37" s="275"/>
      <c r="H37" s="275"/>
      <c r="I37" s="275"/>
      <c r="J37" s="275"/>
      <c r="K37" s="275"/>
      <c r="L37" s="275"/>
    </row>
    <row r="38" spans="1:12" ht="15.75">
      <c r="A38" s="299"/>
      <c r="B38" s="309" t="s">
        <v>184</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Debbie Parker</cp:lastModifiedBy>
  <cp:lastPrinted>2014-07-08T20:30:25Z</cp:lastPrinted>
  <dcterms:created xsi:type="dcterms:W3CDTF">1998-08-26T16:30:41Z</dcterms:created>
  <dcterms:modified xsi:type="dcterms:W3CDTF">2014-10-15T19:52:02Z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