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84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Cem" sheetId="16" r:id="rId16"/>
    <sheet name="TSHall" sheetId="17" r:id="rId17"/>
    <sheet name="summ" sheetId="18" r:id="rId18"/>
    <sheet name="levypage12" sheetId="19" r:id="rId19"/>
    <sheet name="nolevypage13" sheetId="20" r:id="rId20"/>
    <sheet name="nolevypage14" sheetId="21" r:id="rId21"/>
    <sheet name="nonbud" sheetId="22" r:id="rId22"/>
    <sheet name="NonBudFunds"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5">'Cem'!$A$1:$E$90</definedName>
    <definedName name="_xlnm.Print_Area" localSheetId="12">'DebtSvs-Library'!$B$1:$E$83</definedName>
    <definedName name="_xlnm.Print_Area" localSheetId="11">'gen'!$B$1:$E$61</definedName>
    <definedName name="_xlnm.Print_Area" localSheetId="1">'inputPrYr'!$A$1:$E$93</definedName>
    <definedName name="_xlnm.Print_Area" localSheetId="18">'levypage12'!$A$1:$E$90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17">'summ'!$A$2:$H$54</definedName>
    <definedName name="_xlnm.Print_Area" localSheetId="16">'TSHall'!$A$1:$E$90</definedName>
  </definedNames>
  <calcPr fullCalcOnLoad="1"/>
</workbook>
</file>

<file path=xl/comments12.xml><?xml version="1.0" encoding="utf-8"?>
<comments xmlns="http://schemas.openxmlformats.org/spreadsheetml/2006/main">
  <authors>
    <author>Karen Bailey</author>
  </authors>
  <commentList>
    <comment ref="B16" authorId="0">
      <text>
        <r>
          <rPr>
            <b/>
            <sz val="9"/>
            <rFont val="Tahoma"/>
            <family val="0"/>
          </rPr>
          <t>Karen Bailey:</t>
        </r>
        <r>
          <rPr>
            <sz val="9"/>
            <rFont val="Tahoma"/>
            <family val="0"/>
          </rPr>
          <t xml:space="preserve">
On 2016 budget, show transfers in from Cem and TS Hall Funds to close out receipts.</t>
        </r>
      </text>
    </comment>
  </commentList>
</comments>
</file>

<file path=xl/sharedStrings.xml><?xml version="1.0" encoding="utf-8"?>
<sst xmlns="http://schemas.openxmlformats.org/spreadsheetml/2006/main" count="1711" uniqueCount="973">
  <si>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</si>
  <si>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</si>
  <si>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</si>
  <si>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</si>
  <si>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</si>
  <si>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</si>
  <si>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</si>
  <si>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</si>
  <si>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</si>
  <si>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</si>
  <si>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</si>
  <si>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</si>
  <si>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</si>
  <si>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</si>
  <si>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</si>
  <si>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</si>
  <si>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</si>
  <si>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</si>
  <si>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</si>
  <si>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</si>
  <si>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</si>
  <si>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</si>
  <si>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</si>
  <si>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</si>
  <si>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</si>
  <si>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</si>
  <si>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</si>
  <si>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</si>
  <si>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</si>
  <si>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</si>
  <si>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</si>
  <si>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</si>
  <si>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</si>
  <si>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</si>
  <si>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</si>
  <si>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</si>
  <si>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</si>
  <si>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</si>
  <si>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</si>
  <si>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</si>
  <si>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</si>
  <si>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</si>
  <si>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</si>
  <si>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</si>
  <si>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</si>
  <si>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</si>
  <si>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</si>
  <si>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</si>
  <si>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</si>
  <si>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</si>
  <si>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</si>
  <si>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</si>
  <si>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</si>
  <si>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</si>
  <si>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</si>
  <si>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</si>
  <si>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</si>
  <si>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</si>
  <si>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13.</t>
  </si>
  <si>
    <t>14.</t>
  </si>
  <si>
    <t>Unencumbered Cash Balance January 1</t>
  </si>
  <si>
    <t>Unencumbered Cash Balance Dec 31</t>
  </si>
  <si>
    <t>Receipts:</t>
  </si>
  <si>
    <t>16/20M Veh</t>
  </si>
  <si>
    <t>Outstanding</t>
  </si>
  <si>
    <t>(Beginning Principal)</t>
  </si>
  <si>
    <t>County Clerk's Use Only</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</si>
  <si>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</si>
  <si>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</si>
  <si>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</si>
  <si>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</si>
  <si>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</si>
  <si>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</si>
  <si>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</si>
  <si>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</si>
  <si>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</si>
  <si>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</si>
  <si>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</si>
  <si>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</si>
  <si>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</si>
  <si>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</si>
  <si>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</si>
  <si>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</si>
  <si>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</si>
  <si>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</si>
  <si>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</si>
  <si>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</si>
  <si>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</si>
  <si>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</si>
  <si>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</si>
  <si>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</si>
  <si>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</si>
  <si>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</si>
  <si>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</si>
  <si>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</si>
  <si>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</si>
  <si>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</si>
  <si>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</si>
  <si>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</si>
  <si>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</si>
  <si>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</si>
  <si>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</si>
  <si>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</si>
  <si>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</si>
  <si>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</si>
  <si>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</si>
  <si>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</si>
  <si>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</si>
  <si>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</si>
  <si>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</si>
  <si>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</si>
  <si>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</si>
  <si>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</si>
  <si>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</si>
  <si>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</si>
  <si>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</si>
  <si>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</si>
  <si>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</si>
  <si>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</si>
  <si>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</si>
  <si>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</si>
  <si>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</si>
  <si>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</si>
  <si>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</si>
  <si>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</si>
  <si>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</si>
  <si>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</si>
  <si>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</si>
  <si>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</si>
  <si>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</si>
  <si>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</si>
  <si>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</si>
  <si>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</si>
  <si>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</si>
  <si>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</si>
  <si>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</si>
  <si>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</si>
  <si>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</si>
  <si>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</si>
  <si>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</si>
  <si>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</si>
  <si>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</si>
  <si>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</si>
  <si>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</si>
  <si>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</si>
  <si>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</si>
  <si>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</si>
  <si>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</si>
  <si>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</si>
  <si>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</si>
  <si>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</si>
  <si>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</si>
  <si>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</si>
  <si>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</si>
  <si>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</si>
  <si>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</si>
  <si>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</si>
  <si>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</si>
  <si>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</si>
  <si>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</si>
  <si>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</si>
  <si>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</si>
  <si>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</si>
  <si>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</si>
  <si>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</si>
  <si>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</si>
  <si>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</si>
  <si>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</si>
  <si>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</si>
  <si>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</si>
  <si>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</si>
  <si>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</si>
  <si>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</si>
  <si>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</si>
  <si>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</si>
  <si>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</si>
  <si>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</si>
  <si>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</si>
  <si>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</si>
  <si>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</si>
  <si>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</si>
  <si>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</si>
  <si>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</si>
  <si>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</si>
  <si>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</si>
  <si>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</si>
  <si>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</si>
  <si>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</si>
  <si>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</si>
  <si>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</si>
  <si>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</si>
  <si>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</si>
  <si>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</si>
  <si>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</si>
  <si>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</si>
  <si>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</si>
  <si>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</si>
  <si>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</si>
  <si>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</si>
  <si>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</si>
  <si>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</si>
  <si>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</si>
  <si>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</si>
  <si>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</si>
  <si>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</si>
  <si>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</si>
  <si>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</si>
  <si>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</si>
  <si>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</si>
  <si>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</si>
  <si>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</si>
  <si>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</si>
  <si>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</si>
  <si>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</si>
  <si>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</si>
  <si>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</si>
  <si>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</si>
  <si>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</si>
  <si>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</si>
  <si>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</si>
  <si>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</si>
  <si>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</si>
  <si>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</si>
  <si>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</si>
  <si>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</si>
  <si>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</si>
  <si>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</si>
  <si>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</si>
  <si>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</si>
  <si>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</si>
  <si>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</si>
  <si>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</si>
  <si>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</si>
  <si>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</si>
  <si>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</si>
  <si>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</si>
  <si>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</si>
  <si>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</si>
  <si>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</si>
  <si>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</si>
  <si>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</si>
  <si>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</si>
  <si>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</si>
  <si>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</si>
  <si>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</si>
  <si>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</si>
  <si>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</si>
  <si>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</si>
  <si>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</si>
  <si>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</si>
  <si>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</si>
  <si>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</si>
  <si>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</si>
  <si>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</si>
  <si>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</si>
  <si>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</si>
  <si>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</si>
  <si>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</si>
  <si>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</si>
  <si>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</si>
  <si>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</si>
  <si>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</si>
  <si>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</si>
  <si>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</si>
  <si>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</si>
  <si>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</si>
  <si>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</si>
  <si>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</si>
  <si>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</si>
  <si>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</si>
  <si>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</si>
  <si>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</si>
  <si>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</si>
  <si>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</si>
  <si>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</si>
  <si>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</si>
  <si>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</si>
  <si>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</si>
  <si>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</si>
  <si>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</si>
  <si>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</si>
  <si>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</si>
  <si>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</si>
  <si>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</si>
  <si>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</si>
  <si>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</si>
  <si>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</si>
  <si>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</si>
  <si>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</si>
  <si>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</si>
  <si>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</si>
  <si>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</si>
  <si>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</si>
  <si>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</si>
  <si>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</si>
  <si>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</si>
  <si>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</si>
  <si>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</si>
  <si>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</si>
  <si>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</si>
  <si>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</si>
  <si>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</si>
  <si>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</si>
  <si>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</si>
  <si>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</si>
  <si>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</si>
  <si>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</si>
  <si>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</si>
  <si>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</si>
  <si>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</si>
  <si>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</si>
  <si>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</si>
  <si>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</si>
  <si>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</si>
  <si>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</si>
  <si>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</si>
  <si>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</si>
  <si>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</si>
  <si>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</si>
  <si>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</si>
  <si>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</si>
  <si>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</si>
  <si>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</si>
  <si>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</si>
  <si>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</si>
  <si>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</si>
  <si>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</si>
  <si>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</si>
  <si>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</si>
  <si>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</si>
  <si>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</si>
  <si>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</si>
  <si>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</si>
  <si>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</si>
  <si>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</si>
  <si>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</si>
  <si>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</si>
  <si>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</si>
  <si>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</si>
  <si>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</si>
  <si>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</si>
  <si>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</si>
  <si>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</si>
  <si>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</si>
  <si>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</si>
  <si>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</si>
  <si>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</si>
  <si>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</si>
  <si>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</si>
  <si>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</si>
  <si>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</si>
  <si>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</si>
  <si>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</si>
  <si>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</si>
  <si>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</si>
  <si>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</si>
  <si>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</si>
  <si>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</si>
  <si>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</si>
  <si>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</si>
  <si>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</si>
  <si>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</si>
  <si>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</si>
  <si>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</si>
  <si>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</si>
  <si>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</si>
  <si>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</si>
  <si>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</si>
  <si>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</si>
  <si>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</si>
  <si>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</si>
  <si>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</si>
  <si>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</si>
  <si>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</si>
  <si>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</si>
  <si>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</si>
  <si>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</si>
  <si>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</si>
  <si>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</si>
  <si>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</si>
  <si>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</si>
  <si>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</si>
  <si>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</si>
  <si>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</si>
  <si>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</si>
  <si>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</si>
  <si>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</si>
  <si>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</si>
  <si>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</si>
  <si>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</si>
  <si>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</si>
  <si>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</si>
  <si>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</si>
  <si>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</si>
  <si>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</si>
  <si>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</si>
  <si>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</si>
  <si>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</si>
  <si>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</si>
  <si>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</si>
  <si>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</si>
  <si>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</si>
  <si>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</si>
  <si>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</si>
  <si>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</si>
  <si>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</si>
  <si>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</si>
  <si>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</si>
  <si>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</si>
  <si>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</si>
  <si>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</si>
  <si>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</si>
  <si>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</si>
  <si>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</si>
  <si>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</si>
  <si>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</si>
  <si>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</si>
  <si>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</si>
  <si>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</si>
  <si>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</si>
  <si>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</si>
  <si>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</si>
  <si>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</si>
  <si>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</si>
  <si>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</si>
  <si>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</si>
  <si>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</si>
  <si>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</si>
  <si>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</si>
  <si>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</si>
  <si>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</si>
  <si>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</si>
  <si>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</si>
  <si>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</si>
  <si>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</si>
  <si>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</si>
  <si>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</si>
  <si>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</si>
  <si>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</si>
  <si>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</si>
  <si>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</si>
  <si>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</si>
  <si>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</si>
  <si>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</si>
  <si>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</si>
  <si>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</si>
  <si>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</si>
  <si>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</si>
  <si>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</si>
  <si>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</si>
  <si>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</si>
  <si>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</si>
  <si>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</si>
  <si>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</si>
  <si>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</si>
  <si>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</si>
  <si>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</si>
  <si>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</si>
  <si>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</si>
  <si>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</si>
  <si>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</si>
  <si>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</si>
  <si>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</si>
  <si>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</si>
  <si>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</si>
  <si>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</si>
  <si>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</si>
  <si>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</si>
  <si>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</si>
  <si>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</si>
  <si>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</si>
  <si>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</si>
  <si>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</si>
  <si>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</si>
  <si>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</si>
  <si>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</si>
  <si>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</si>
  <si>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</si>
  <si>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</si>
  <si>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</si>
  <si>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</si>
  <si>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</si>
  <si>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</si>
  <si>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</si>
  <si>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</si>
  <si>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</si>
  <si>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</si>
  <si>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</si>
  <si>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</si>
  <si>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</si>
  <si>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</si>
  <si>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</si>
  <si>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</si>
  <si>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</si>
  <si>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</si>
  <si>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</si>
  <si>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</si>
  <si>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</si>
  <si>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</si>
  <si>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</si>
  <si>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</si>
  <si>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</si>
  <si>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</si>
  <si>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</si>
  <si>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</si>
  <si>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</si>
  <si>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</si>
  <si>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</si>
  <si>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</si>
  <si>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</si>
  <si>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</si>
  <si>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</si>
  <si>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</si>
  <si>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</si>
  <si>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</si>
  <si>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</si>
  <si>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</si>
  <si>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</si>
  <si>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</si>
  <si>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</si>
  <si>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</si>
  <si>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</si>
  <si>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</si>
  <si>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</si>
  <si>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</si>
  <si>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</si>
  <si>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</si>
  <si>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</si>
  <si>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</si>
  <si>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</si>
  <si>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</si>
  <si>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</si>
  <si>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</si>
  <si>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</si>
  <si>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</si>
  <si>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</si>
  <si>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</si>
  <si>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</si>
  <si>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</si>
  <si>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</si>
  <si>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</si>
  <si>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</si>
  <si>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</si>
  <si>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</si>
  <si>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</si>
  <si>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</si>
  <si>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</si>
  <si>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</si>
  <si>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</si>
  <si>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</si>
  <si>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</si>
  <si>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</si>
  <si>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</si>
  <si>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</si>
  <si>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</si>
  <si>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</si>
  <si>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</si>
  <si>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</si>
  <si>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</si>
  <si>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</si>
  <si>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</si>
  <si>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</si>
  <si>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</si>
  <si>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</si>
  <si>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</si>
  <si>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</si>
  <si>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</si>
  <si>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</si>
  <si>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</si>
  <si>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</si>
  <si>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</si>
  <si>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</si>
  <si>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</si>
  <si>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</si>
  <si>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</si>
  <si>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</si>
  <si>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</si>
  <si>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</si>
  <si>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</si>
  <si>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</si>
  <si>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</si>
  <si>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</si>
  <si>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</si>
  <si>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</si>
  <si>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</si>
  <si>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</si>
  <si>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</si>
  <si>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</si>
  <si>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</si>
  <si>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</si>
  <si>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</si>
  <si>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</si>
  <si>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</si>
  <si>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</si>
  <si>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</si>
  <si>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</si>
  <si>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</si>
  <si>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</si>
  <si>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</si>
  <si>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</si>
  <si>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</si>
  <si>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</si>
  <si>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</si>
  <si>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</si>
  <si>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</si>
  <si>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</si>
  <si>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</si>
  <si>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</si>
  <si>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</si>
  <si>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</si>
  <si>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</si>
  <si>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</si>
  <si>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</si>
  <si>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</si>
  <si>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</si>
  <si>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</si>
  <si>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</si>
  <si>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</si>
  <si>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</si>
  <si>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</si>
  <si>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</si>
  <si>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</si>
  <si>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</si>
  <si>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</si>
  <si>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</si>
  <si>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</si>
  <si>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</si>
  <si>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</si>
  <si>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</si>
  <si>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</si>
  <si>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</si>
  <si>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</si>
  <si>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</si>
  <si>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</si>
  <si>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</si>
  <si>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</si>
  <si>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</si>
  <si>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</si>
  <si>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</si>
  <si>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</si>
  <si>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</si>
  <si>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</si>
  <si>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</si>
  <si>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</si>
  <si>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</si>
  <si>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</si>
  <si>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</si>
  <si>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</si>
  <si>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</si>
  <si>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</si>
  <si>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</si>
  <si>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</si>
  <si>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</si>
  <si>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</si>
  <si>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</si>
  <si>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</si>
  <si>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</si>
  <si>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</si>
  <si>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</si>
  <si>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</si>
  <si>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</si>
  <si>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</si>
  <si>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</si>
  <si>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</si>
  <si>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</si>
  <si>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</si>
  <si>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</si>
  <si>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</si>
  <si>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</si>
  <si>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</si>
  <si>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</si>
  <si>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</si>
  <si>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</si>
  <si>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</si>
  <si>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</si>
  <si>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</si>
  <si>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</si>
  <si>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</si>
  <si>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</si>
  <si>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</si>
  <si>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</si>
  <si>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</si>
  <si>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</si>
  <si>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</si>
  <si>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</si>
  <si>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</si>
  <si>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</si>
  <si>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</si>
  <si>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</si>
  <si>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</si>
  <si>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</si>
  <si>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</si>
  <si>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</si>
  <si>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</si>
  <si>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</si>
  <si>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</si>
  <si>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</si>
  <si>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</si>
  <si>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</si>
  <si>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</si>
  <si>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</si>
  <si>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</si>
  <si>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</si>
  <si>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</si>
  <si>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</si>
  <si>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</si>
  <si>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</si>
  <si>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</si>
  <si>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</si>
  <si>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</si>
  <si>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</si>
  <si>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</si>
  <si>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</si>
  <si>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</si>
  <si>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</si>
  <si>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</si>
  <si>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</si>
  <si>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</si>
  <si>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</si>
  <si>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</si>
  <si>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</si>
  <si>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</si>
  <si>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</si>
  <si>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</si>
  <si>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</si>
  <si>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</si>
  <si>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</si>
  <si>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</si>
  <si>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</si>
  <si>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</si>
  <si>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</si>
  <si>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</si>
  <si>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</si>
  <si>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</si>
  <si>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</si>
  <si>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</si>
  <si>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</si>
  <si>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</si>
  <si>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</si>
  <si>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</si>
  <si>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</si>
  <si>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</si>
  <si>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</si>
  <si>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</si>
  <si>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</si>
  <si>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</si>
  <si>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</si>
  <si>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</si>
  <si>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</si>
  <si>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</si>
  <si>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</si>
  <si>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</si>
  <si>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</si>
  <si>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</si>
  <si>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</si>
  <si>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</si>
  <si>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</si>
  <si>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</si>
  <si>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</si>
  <si>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</si>
  <si>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</si>
  <si>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</si>
  <si>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</si>
  <si>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</si>
  <si>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</si>
  <si>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</si>
  <si>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</si>
  <si>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</si>
  <si>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</si>
  <si>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</si>
  <si>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</si>
  <si>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</si>
  <si>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</si>
  <si>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</si>
  <si>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</si>
  <si>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</si>
  <si>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</si>
  <si>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</si>
  <si>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</si>
  <si>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</si>
  <si>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</si>
  <si>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</si>
  <si>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</si>
  <si>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</si>
  <si>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</si>
  <si>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</si>
  <si>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</si>
  <si>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</si>
  <si>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</si>
  <si>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</si>
  <si>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</si>
  <si>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</si>
  <si>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</si>
  <si>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</si>
  <si>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</si>
  <si>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</si>
  <si>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</si>
  <si>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</si>
  <si>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</si>
  <si>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</si>
  <si>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</si>
  <si>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</si>
  <si>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</si>
  <si>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</si>
  <si>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</si>
  <si>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</si>
  <si>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</si>
  <si>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</si>
  <si>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</si>
  <si>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</si>
  <si>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</si>
  <si>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</si>
  <si>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</si>
  <si>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</si>
  <si>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</si>
  <si>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</si>
  <si>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</si>
  <si>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</si>
  <si>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</si>
  <si>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</si>
  <si>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</si>
  <si>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</si>
  <si>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</si>
  <si>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</si>
  <si>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</si>
  <si>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</si>
  <si>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</si>
  <si>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</si>
  <si>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</si>
  <si>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</si>
  <si>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</si>
  <si>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</si>
  <si>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</si>
  <si>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</si>
  <si>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</si>
  <si>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</si>
  <si>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</si>
  <si>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</si>
  <si>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</si>
  <si>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</si>
  <si>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</si>
  <si>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</si>
  <si>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</si>
  <si>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</si>
  <si>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</si>
  <si>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</si>
  <si>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</si>
  <si>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</si>
  <si>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</si>
  <si>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</si>
  <si>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</si>
  <si>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</si>
  <si>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</si>
  <si>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</si>
  <si>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</si>
  <si>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</si>
  <si>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</si>
  <si>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</si>
  <si>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</si>
  <si>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</si>
  <si>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</si>
  <si>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</si>
  <si>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</si>
  <si>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</si>
  <si>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</si>
  <si>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</si>
  <si>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</si>
  <si>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</si>
  <si>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</si>
  <si>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</si>
  <si>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</si>
  <si>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</si>
  <si>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</si>
  <si>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</si>
  <si>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</si>
  <si>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</si>
  <si>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</si>
  <si>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</si>
  <si>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</si>
  <si>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</si>
  <si>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</si>
  <si>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</si>
  <si>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</si>
  <si>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</si>
  <si>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</si>
  <si>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</si>
  <si>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</si>
  <si>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</si>
  <si>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</si>
  <si>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</si>
  <si>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</si>
  <si>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</si>
  <si>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</si>
  <si>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</si>
  <si>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</si>
  <si>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</si>
  <si>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</si>
  <si>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</si>
  <si>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</si>
  <si>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</si>
  <si>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</si>
  <si>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</si>
  <si>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</si>
  <si>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</si>
  <si>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</si>
  <si>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</si>
  <si>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</si>
  <si>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</si>
  <si>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</si>
  <si>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</si>
  <si>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</si>
  <si>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</si>
  <si>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</si>
  <si>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</si>
  <si>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</si>
  <si>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</si>
  <si>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</si>
  <si>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</si>
  <si>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</si>
  <si>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</si>
  <si>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</si>
  <si>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</si>
  <si>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</si>
  <si>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</si>
  <si>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</si>
  <si>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</si>
  <si>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</si>
  <si>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</si>
  <si>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</si>
  <si>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</si>
  <si>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</si>
  <si>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</si>
  <si>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</si>
  <si>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</si>
  <si>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</si>
  <si>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</si>
  <si>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</si>
  <si>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</si>
  <si>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</si>
  <si>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</si>
  <si>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</si>
  <si>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</si>
  <si>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</si>
  <si>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</si>
  <si>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</si>
  <si>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</si>
  <si>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</si>
  <si>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</si>
  <si>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</si>
  <si>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</si>
  <si>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</si>
  <si>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</si>
  <si>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</si>
  <si>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</si>
  <si>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VIOLA TOWNSHIP</t>
  </si>
  <si>
    <t>SEDGWICK COUNTY</t>
  </si>
  <si>
    <t>Viola</t>
  </si>
  <si>
    <t>Cemetery</t>
  </si>
  <si>
    <t>Township Hall</t>
  </si>
  <si>
    <t>Charles Vancuren</t>
  </si>
  <si>
    <t>Viola Township Treasurer</t>
  </si>
  <si>
    <t>Viola Community Hall, Viola, KS</t>
  </si>
  <si>
    <t>Sedgwick County Clerk's Office, 525 N Main, Room 211, Wichita, KS</t>
  </si>
  <si>
    <t>Labor</t>
  </si>
  <si>
    <t>Operating Expenses</t>
  </si>
  <si>
    <t>Materials/Supplies (Road)</t>
  </si>
  <si>
    <t>Maintenance</t>
  </si>
  <si>
    <t>None</t>
  </si>
  <si>
    <t>Watercraft Tax</t>
  </si>
  <si>
    <t>Cemetery Maintenance</t>
  </si>
  <si>
    <t>Township Hall Maintenance</t>
  </si>
  <si>
    <t>7:30 pm</t>
  </si>
  <si>
    <t>August 4, 2014</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</si>
</sst>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8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9"/>
      <name val="Tahoma"/>
      <family val="0"/>
    </font>
    <font>
      <b/>
      <sz val="9"/>
      <name val="Tahoma"/>
      <family val="0"/>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
      <b/>
      <sz val="8"/>
      <name val="Courier New"/>
      <family val="2"/>
    </font>
  </fonts>
  <fills count="3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
      <patternFill patternType="solid">
        <fgColor rgb="FF00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4"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4" borderId="0" applyNumberFormat="0" applyBorder="0" applyAlignment="0" applyProtection="0"/>
    <xf numFmtId="0" fontId="71" fillId="7"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3" borderId="0" applyNumberFormat="0" applyBorder="0" applyAlignment="0" applyProtection="0"/>
    <xf numFmtId="0" fontId="71" fillId="13"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54" fillId="18" borderId="1" applyNumberFormat="0" applyAlignment="0" applyProtection="0"/>
    <xf numFmtId="0" fontId="7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3" fillId="0" borderId="0" applyNumberFormat="0" applyFill="0" applyBorder="0" applyAlignment="0" applyProtection="0"/>
    <xf numFmtId="0" fontId="75"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6"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0" fillId="0" borderId="0">
      <alignment/>
      <protection/>
    </xf>
    <xf numFmtId="0" fontId="4" fillId="0" borderId="0">
      <alignment/>
      <protection/>
    </xf>
    <xf numFmtId="0" fontId="4" fillId="0" borderId="0">
      <alignment/>
      <protection/>
    </xf>
    <xf numFmtId="0" fontId="7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7"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94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81" applyNumberFormat="1" applyFont="1" applyFill="1" applyAlignment="1" applyProtection="1">
      <alignment vertical="center"/>
      <protection/>
    </xf>
    <xf numFmtId="0" fontId="6" fillId="4" borderId="0" xfId="581" applyFont="1" applyFill="1" applyAlignment="1" applyProtection="1">
      <alignment vertical="center"/>
      <protection/>
    </xf>
    <xf numFmtId="0" fontId="6" fillId="0" borderId="0" xfId="581"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81" applyFont="1" applyFill="1" applyBorder="1" applyAlignment="1" applyProtection="1">
      <alignment horizontal="left" vertical="center"/>
      <protection/>
    </xf>
    <xf numFmtId="0" fontId="5" fillId="4" borderId="26" xfId="581" applyFont="1" applyFill="1" applyBorder="1" applyAlignment="1" applyProtection="1">
      <alignment vertical="center"/>
      <protection/>
    </xf>
    <xf numFmtId="37" fontId="5" fillId="9" borderId="10" xfId="581" applyNumberFormat="1" applyFont="1" applyFill="1" applyBorder="1" applyAlignment="1" applyProtection="1">
      <alignment vertical="center"/>
      <protection/>
    </xf>
    <xf numFmtId="0" fontId="6" fillId="4" borderId="0" xfId="582" applyFont="1" applyFill="1" applyAlignment="1" applyProtection="1">
      <alignment horizontal="centerContinuous" vertical="center"/>
      <protection/>
    </xf>
    <xf numFmtId="0" fontId="6" fillId="4" borderId="0" xfId="582" applyFont="1" applyFill="1" applyAlignment="1" applyProtection="1">
      <alignment vertical="center"/>
      <protection/>
    </xf>
    <xf numFmtId="0" fontId="6" fillId="0" borderId="0" xfId="582"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82" applyFont="1" applyFill="1" applyBorder="1" applyAlignment="1" applyProtection="1">
      <alignment vertical="center"/>
      <protection/>
    </xf>
    <xf numFmtId="0" fontId="6" fillId="4" borderId="0" xfId="582"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8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8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8"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5" applyFont="1">
      <alignment/>
      <protection/>
    </xf>
    <xf numFmtId="0" fontId="4" fillId="0" borderId="0" xfId="245"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81" applyFont="1" applyFill="1" applyBorder="1" applyAlignment="1" applyProtection="1">
      <alignment vertical="center"/>
      <protection/>
    </xf>
    <xf numFmtId="0" fontId="5" fillId="4" borderId="12" xfId="581" applyFont="1" applyFill="1" applyBorder="1" applyAlignment="1" applyProtection="1">
      <alignment vertical="center"/>
      <protection/>
    </xf>
    <xf numFmtId="3" fontId="5" fillId="4" borderId="13" xfId="581" applyNumberFormat="1" applyFont="1" applyFill="1" applyBorder="1" applyAlignment="1" applyProtection="1">
      <alignment vertical="center"/>
      <protection/>
    </xf>
    <xf numFmtId="0" fontId="5" fillId="4" borderId="13" xfId="581" applyFont="1" applyFill="1" applyBorder="1" applyAlignment="1" applyProtection="1">
      <alignment vertical="center"/>
      <protection/>
    </xf>
    <xf numFmtId="0" fontId="5" fillId="4" borderId="10" xfId="581" applyFont="1" applyFill="1" applyBorder="1" applyAlignment="1" applyProtection="1">
      <alignment horizontal="center" vertical="center"/>
      <protection/>
    </xf>
    <xf numFmtId="0" fontId="45" fillId="0" borderId="0" xfId="0" applyFont="1" applyAlignment="1">
      <alignment/>
    </xf>
    <xf numFmtId="0" fontId="6" fillId="0" borderId="0" xfId="546" applyFont="1" applyAlignment="1">
      <alignment horizontal="left" vertical="center"/>
      <protection/>
    </xf>
    <xf numFmtId="0" fontId="46" fillId="0" borderId="0" xfId="546" applyFont="1">
      <alignment/>
      <protection/>
    </xf>
    <xf numFmtId="183" fontId="47" fillId="0" borderId="0" xfId="546" applyNumberFormat="1" applyFont="1" applyAlignment="1">
      <alignment horizontal="left" vertical="center"/>
      <protection/>
    </xf>
    <xf numFmtId="0" fontId="47" fillId="0" borderId="0" xfId="546" applyNumberFormat="1" applyFont="1" applyAlignment="1">
      <alignment horizontal="left" vertical="center"/>
      <protection/>
    </xf>
    <xf numFmtId="1" fontId="47" fillId="0" borderId="0" xfId="546" applyNumberFormat="1" applyFont="1" applyAlignment="1">
      <alignment horizontal="left" vertical="center"/>
      <protection/>
    </xf>
    <xf numFmtId="0" fontId="48" fillId="0" borderId="0" xfId="546"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70" fillId="4" borderId="0" xfId="468" applyFill="1">
      <alignment/>
      <protection/>
    </xf>
    <xf numFmtId="0" fontId="6" fillId="0" borderId="0" xfId="239" applyFont="1" applyAlignment="1">
      <alignment vertical="center"/>
      <protection/>
    </xf>
    <xf numFmtId="0" fontId="49" fillId="4" borderId="13" xfId="239" applyFont="1" applyFill="1" applyBorder="1" applyAlignment="1">
      <alignment horizontal="center" vertical="center"/>
      <protection/>
    </xf>
    <xf numFmtId="0" fontId="5" fillId="4" borderId="12" xfId="239" applyFont="1" applyFill="1" applyBorder="1" applyAlignment="1">
      <alignment horizontal="centerContinuous" vertical="center"/>
      <protection/>
    </xf>
    <xf numFmtId="0" fontId="6" fillId="0" borderId="0" xfId="157" applyFont="1" applyAlignment="1">
      <alignment vertical="center"/>
      <protection/>
    </xf>
    <xf numFmtId="0" fontId="6" fillId="0" borderId="0" xfId="239" applyFont="1" applyAlignment="1">
      <alignment wrapText="1"/>
      <protection/>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40" fillId="28" borderId="10" xfId="241" applyFont="1" applyFill="1" applyBorder="1" applyAlignment="1">
      <alignment horizontal="left" vertical="center"/>
      <protection/>
    </xf>
    <xf numFmtId="0" fontId="70" fillId="29" borderId="0" xfId="451" applyFill="1" applyBorder="1">
      <alignment/>
      <protection/>
    </xf>
    <xf numFmtId="0" fontId="70" fillId="29" borderId="0" xfId="451" applyFill="1" applyBorder="1" applyAlignment="1">
      <alignment horizontal="left" vertical="center"/>
      <protection/>
    </xf>
    <xf numFmtId="0" fontId="70" fillId="29" borderId="0" xfId="451" applyFill="1" applyBorder="1" applyAlignment="1">
      <alignment horizontal="center" vertical="center"/>
      <protection/>
    </xf>
    <xf numFmtId="0" fontId="50" fillId="0" borderId="0" xfId="96" applyFont="1">
      <alignment/>
      <protection/>
    </xf>
    <xf numFmtId="0" fontId="70" fillId="29" borderId="0" xfId="451" applyFill="1">
      <alignment/>
      <protection/>
    </xf>
    <xf numFmtId="0" fontId="78" fillId="29" borderId="0" xfId="451" applyFont="1" applyFill="1" applyBorder="1">
      <alignment/>
      <protection/>
    </xf>
    <xf numFmtId="0" fontId="78" fillId="29" borderId="32" xfId="451" applyFont="1" applyFill="1" applyBorder="1">
      <alignment/>
      <protection/>
    </xf>
    <xf numFmtId="0" fontId="78" fillId="29" borderId="36" xfId="451" applyFont="1" applyFill="1" applyBorder="1">
      <alignment/>
      <protection/>
    </xf>
    <xf numFmtId="0" fontId="78" fillId="29" borderId="33" xfId="451" applyFont="1" applyFill="1" applyBorder="1">
      <alignment/>
      <protection/>
    </xf>
    <xf numFmtId="0" fontId="78" fillId="29" borderId="34" xfId="451" applyFont="1" applyFill="1" applyBorder="1">
      <alignment/>
      <protection/>
    </xf>
    <xf numFmtId="0" fontId="78" fillId="29" borderId="0" xfId="451" applyFont="1" applyFill="1" applyBorder="1" applyAlignment="1">
      <alignment horizontal="center"/>
      <protection/>
    </xf>
    <xf numFmtId="0" fontId="78" fillId="29" borderId="0" xfId="451" applyFont="1" applyFill="1" applyBorder="1" applyAlignment="1">
      <alignment horizontal="right"/>
      <protection/>
    </xf>
    <xf numFmtId="0" fontId="78" fillId="29" borderId="35" xfId="451" applyFont="1" applyFill="1" applyBorder="1">
      <alignment/>
      <protection/>
    </xf>
    <xf numFmtId="3" fontId="78" fillId="29" borderId="11" xfId="451" applyNumberFormat="1" applyFont="1" applyFill="1" applyBorder="1">
      <alignment/>
      <protection/>
    </xf>
    <xf numFmtId="3" fontId="78" fillId="29" borderId="12" xfId="451" applyNumberFormat="1" applyFont="1" applyFill="1" applyBorder="1">
      <alignment/>
      <protection/>
    </xf>
    <xf numFmtId="0" fontId="78" fillId="29" borderId="11" xfId="451" applyFont="1" applyFill="1" applyBorder="1" applyAlignment="1" applyProtection="1">
      <alignment horizontal="center"/>
      <protection locked="0"/>
    </xf>
    <xf numFmtId="0" fontId="78" fillId="29" borderId="41" xfId="451" applyFont="1" applyFill="1" applyBorder="1" applyAlignment="1" applyProtection="1">
      <alignment horizontal="center"/>
      <protection locked="0"/>
    </xf>
    <xf numFmtId="0" fontId="6" fillId="0" borderId="0" xfId="96" applyFont="1" applyAlignment="1">
      <alignment vertical="center"/>
      <protection/>
    </xf>
    <xf numFmtId="37" fontId="6" fillId="22" borderId="11" xfId="0" applyNumberFormat="1" applyFont="1" applyFill="1" applyBorder="1" applyAlignment="1" applyProtection="1">
      <alignment horizontal="left" vertical="center"/>
      <protection locked="0"/>
    </xf>
    <xf numFmtId="37" fontId="6" fillId="22" borderId="12" xfId="0" applyNumberFormat="1" applyFont="1" applyFill="1" applyBorder="1" applyAlignment="1" applyProtection="1">
      <alignment horizontal="left" vertical="center"/>
      <protection locked="0"/>
    </xf>
    <xf numFmtId="165" fontId="6" fillId="22" borderId="16" xfId="0" applyNumberFormat="1" applyFont="1" applyFill="1" applyBorder="1" applyAlignment="1" applyProtection="1">
      <alignment vertical="center"/>
      <protection locked="0"/>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2" xfId="0" applyNumberFormat="1" applyFont="1" applyFill="1" applyBorder="1" applyAlignment="1" applyProtection="1">
      <alignment/>
      <protection locked="0"/>
    </xf>
    <xf numFmtId="179" fontId="6" fillId="22" borderId="26"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3" fontId="6" fillId="4" borderId="10" xfId="0" applyNumberFormat="1" applyFont="1" applyFill="1" applyBorder="1" applyAlignment="1" applyProtection="1">
      <alignment/>
      <protection locked="0"/>
    </xf>
    <xf numFmtId="49" fontId="6" fillId="22" borderId="0" xfId="0" applyNumberFormat="1" applyFont="1" applyFill="1" applyAlignment="1" applyProtection="1">
      <alignment horizontal="left" vertical="center"/>
      <protection locked="0"/>
    </xf>
    <xf numFmtId="49" fontId="6" fillId="0" borderId="0" xfId="546" applyNumberFormat="1" applyFont="1" applyFill="1" applyAlignment="1" applyProtection="1">
      <alignment horizontal="left" vertical="center"/>
      <protection locked="0"/>
    </xf>
    <xf numFmtId="49" fontId="6" fillId="30" borderId="0" xfId="546" applyNumberFormat="1" applyFont="1" applyFill="1" applyAlignment="1" applyProtection="1">
      <alignment horizontal="left" vertical="center"/>
      <protection locked="0"/>
    </xf>
    <xf numFmtId="0" fontId="6" fillId="30" borderId="0" xfId="0" applyFont="1" applyFill="1" applyAlignment="1" applyProtection="1">
      <alignment horizontal="left" vertical="center"/>
      <protection locked="0"/>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8"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82"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7"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 fillId="0" borderId="26" xfId="96"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2" fillId="0" borderId="26" xfId="96" applyFont="1"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8" fillId="29" borderId="33" xfId="451" applyFont="1" applyFill="1" applyBorder="1" applyAlignment="1">
      <alignment horizontal="left" vertical="top" wrapText="1"/>
      <protection/>
    </xf>
    <xf numFmtId="0" fontId="78" fillId="29" borderId="34" xfId="451" applyFont="1" applyFill="1" applyBorder="1" applyAlignment="1">
      <alignment horizontal="left" vertical="top" wrapText="1"/>
      <protection/>
    </xf>
    <xf numFmtId="0" fontId="78" fillId="29" borderId="35" xfId="451" applyFont="1" applyFill="1" applyBorder="1" applyAlignment="1">
      <alignment horizontal="left" vertical="top" wrapText="1"/>
      <protection/>
    </xf>
    <xf numFmtId="0" fontId="80" fillId="29" borderId="42" xfId="451" applyFont="1" applyFill="1" applyBorder="1" applyAlignment="1">
      <alignment horizontal="center"/>
      <protection/>
    </xf>
    <xf numFmtId="0" fontId="70" fillId="29" borderId="43" xfId="451" applyFill="1" applyBorder="1" applyAlignment="1">
      <alignment horizontal="center"/>
      <protection/>
    </xf>
    <xf numFmtId="0" fontId="70" fillId="29" borderId="44" xfId="451" applyFill="1" applyBorder="1" applyAlignment="1">
      <alignment horizontal="center"/>
      <protection/>
    </xf>
    <xf numFmtId="0" fontId="78" fillId="29" borderId="28" xfId="451" applyFont="1" applyFill="1" applyBorder="1" applyAlignment="1">
      <alignment horizontal="center"/>
      <protection/>
    </xf>
    <xf numFmtId="0" fontId="78" fillId="29" borderId="29" xfId="451" applyFont="1" applyFill="1" applyBorder="1" applyAlignment="1">
      <alignment horizontal="center"/>
      <protection/>
    </xf>
    <xf numFmtId="0" fontId="78" fillId="29" borderId="30" xfId="451" applyFont="1" applyFill="1" applyBorder="1" applyAlignment="1">
      <alignment horizontal="center"/>
      <protection/>
    </xf>
    <xf numFmtId="0" fontId="80" fillId="0" borderId="42" xfId="451" applyFont="1" applyBorder="1" applyAlignment="1">
      <alignment horizontal="center"/>
      <protection/>
    </xf>
    <xf numFmtId="0" fontId="80" fillId="0" borderId="43" xfId="451" applyFont="1" applyBorder="1" applyAlignment="1">
      <alignment horizontal="center"/>
      <protection/>
    </xf>
    <xf numFmtId="0" fontId="80" fillId="0" borderId="44" xfId="451" applyFont="1" applyBorder="1" applyAlignment="1">
      <alignment horizontal="center"/>
      <protection/>
    </xf>
    <xf numFmtId="0" fontId="78" fillId="29" borderId="36" xfId="451" applyFont="1" applyFill="1" applyBorder="1" applyAlignment="1">
      <alignment horizontal="center"/>
      <protection/>
    </xf>
    <xf numFmtId="0" fontId="78" fillId="29" borderId="0" xfId="451" applyFont="1" applyFill="1" applyBorder="1" applyAlignment="1">
      <alignment horizontal="center"/>
      <protection/>
    </xf>
    <xf numFmtId="0" fontId="78" fillId="29" borderId="32" xfId="451" applyFont="1" applyFill="1" applyBorder="1" applyAlignment="1">
      <alignment horizontal="center"/>
      <protection/>
    </xf>
    <xf numFmtId="187" fontId="35" fillId="22" borderId="11"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4" borderId="0" xfId="0" applyNumberFormat="1" applyFont="1" applyFill="1" applyAlignment="1">
      <alignment/>
    </xf>
    <xf numFmtId="0" fontId="36" fillId="4" borderId="29"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5" fontId="35" fillId="4" borderId="11" xfId="0" applyNumberFormat="1" applyFont="1" applyFill="1" applyBorder="1" applyAlignment="1">
      <alignment horizont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187" fontId="35" fillId="4" borderId="0" xfId="0" applyNumberFormat="1" applyFont="1" applyFill="1" applyBorder="1" applyAlignment="1">
      <alignment horizontal="center"/>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5" fillId="4" borderId="0" xfId="0" applyFont="1" applyFill="1" applyBorder="1" applyAlignment="1">
      <alignment horizontal="center"/>
    </xf>
  </cellXfs>
  <cellStyles count="5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6 6" xfId="161"/>
    <cellStyle name="Normal 16 7" xfId="162"/>
    <cellStyle name="Normal 16 8" xfId="163"/>
    <cellStyle name="Normal 17" xfId="164"/>
    <cellStyle name="Normal 17 2" xfId="165"/>
    <cellStyle name="Normal 17 3" xfId="166"/>
    <cellStyle name="Normal 17 4" xfId="167"/>
    <cellStyle name="Normal 17 5" xfId="168"/>
    <cellStyle name="Normal 18" xfId="169"/>
    <cellStyle name="Normal 18 2" xfId="170"/>
    <cellStyle name="Normal 18 2 2" xfId="171"/>
    <cellStyle name="Normal 18 2 3" xfId="172"/>
    <cellStyle name="Normal 18 3" xfId="173"/>
    <cellStyle name="Normal 18 4" xfId="174"/>
    <cellStyle name="Normal 18 5" xfId="175"/>
    <cellStyle name="Normal 18 6" xfId="176"/>
    <cellStyle name="Normal 18 7" xfId="177"/>
    <cellStyle name="Normal 18 8" xfId="178"/>
    <cellStyle name="Normal 18 9" xfId="179"/>
    <cellStyle name="Normal 19" xfId="180"/>
    <cellStyle name="Normal 19 2" xfId="181"/>
    <cellStyle name="Normal 19 2 2" xfId="182"/>
    <cellStyle name="Normal 19 2 3" xfId="183"/>
    <cellStyle name="Normal 19 3" xfId="184"/>
    <cellStyle name="Normal 19 4" xfId="185"/>
    <cellStyle name="Normal 19 5" xfId="186"/>
    <cellStyle name="Normal 19 6" xfId="187"/>
    <cellStyle name="Normal 19 7" xfId="188"/>
    <cellStyle name="Normal 19 8" xfId="189"/>
    <cellStyle name="Normal 2" xfId="190"/>
    <cellStyle name="Normal 2 10" xfId="191"/>
    <cellStyle name="Normal 2 10 10" xfId="192"/>
    <cellStyle name="Normal 2 10 11" xfId="193"/>
    <cellStyle name="Normal 2 10 11 2" xfId="194"/>
    <cellStyle name="Normal 2 10 11 2 2" xfId="195"/>
    <cellStyle name="Normal 2 10 11 2 2 2" xfId="196"/>
    <cellStyle name="Normal 2 10 11 3" xfId="197"/>
    <cellStyle name="Normal 2 10 11 4" xfId="198"/>
    <cellStyle name="Normal 2 10 11 5" xfId="199"/>
    <cellStyle name="Normal 2 10 12" xfId="200"/>
    <cellStyle name="Normal 2 10 2" xfId="201"/>
    <cellStyle name="Normal 2 10 2 2" xfId="202"/>
    <cellStyle name="Normal 2 10 3" xfId="203"/>
    <cellStyle name="Normal 2 10 3 2" xfId="204"/>
    <cellStyle name="Normal 2 10 4" xfId="205"/>
    <cellStyle name="Normal 2 10 4 2" xfId="206"/>
    <cellStyle name="Normal 2 10 5" xfId="207"/>
    <cellStyle name="Normal 2 10 5 2" xfId="208"/>
    <cellStyle name="Normal 2 10 6" xfId="209"/>
    <cellStyle name="Normal 2 10 6 2" xfId="210"/>
    <cellStyle name="Normal 2 10 7" xfId="211"/>
    <cellStyle name="Normal 2 10 7 2" xfId="212"/>
    <cellStyle name="Normal 2 10 8" xfId="213"/>
    <cellStyle name="Normal 2 10 8 2" xfId="214"/>
    <cellStyle name="Normal 2 10 9" xfId="215"/>
    <cellStyle name="Normal 2 11" xfId="216"/>
    <cellStyle name="Normal 2 11 10" xfId="217"/>
    <cellStyle name="Normal 2 11 11" xfId="218"/>
    <cellStyle name="Normal 2 11 2" xfId="219"/>
    <cellStyle name="Normal 2 11 2 2" xfId="220"/>
    <cellStyle name="Normal 2 11 3" xfId="221"/>
    <cellStyle name="Normal 2 11 3 2" xfId="222"/>
    <cellStyle name="Normal 2 11 4" xfId="223"/>
    <cellStyle name="Normal 2 11 4 2" xfId="224"/>
    <cellStyle name="Normal 2 11 5" xfId="225"/>
    <cellStyle name="Normal 2 11 5 2" xfId="226"/>
    <cellStyle name="Normal 2 11 6" xfId="227"/>
    <cellStyle name="Normal 2 11 6 2" xfId="228"/>
    <cellStyle name="Normal 2 11 7" xfId="229"/>
    <cellStyle name="Normal 2 11 7 2" xfId="230"/>
    <cellStyle name="Normal 2 11 8" xfId="231"/>
    <cellStyle name="Normal 2 11 8 2" xfId="232"/>
    <cellStyle name="Normal 2 11 9" xfId="233"/>
    <cellStyle name="Normal 2 12" xfId="234"/>
    <cellStyle name="Normal 2 13" xfId="235"/>
    <cellStyle name="Normal 2 14" xfId="236"/>
    <cellStyle name="Normal 2 15" xfId="237"/>
    <cellStyle name="Normal 2 16" xfId="238"/>
    <cellStyle name="Normal 2 17" xfId="239"/>
    <cellStyle name="Normal 2 17 2" xfId="240"/>
    <cellStyle name="Normal 2 17 3" xfId="241"/>
    <cellStyle name="Normal 2 17 3 2" xfId="242"/>
    <cellStyle name="Normal 2 17 4" xfId="243"/>
    <cellStyle name="Normal 2 2" xfId="244"/>
    <cellStyle name="Normal 2 2 10" xfId="245"/>
    <cellStyle name="Normal 2 2 10 2" xfId="246"/>
    <cellStyle name="Normal 2 2 11" xfId="247"/>
    <cellStyle name="Normal 2 2 11 2" xfId="248"/>
    <cellStyle name="Normal 2 2 12" xfId="249"/>
    <cellStyle name="Normal 2 2 12 2" xfId="250"/>
    <cellStyle name="Normal 2 2 12 2 2" xfId="251"/>
    <cellStyle name="Normal 2 2 12 2 3" xfId="252"/>
    <cellStyle name="Normal 2 2 12 2 4" xfId="253"/>
    <cellStyle name="Normal 2 2 12 3" xfId="254"/>
    <cellStyle name="Normal 2 2 12 4" xfId="255"/>
    <cellStyle name="Normal 2 2 13" xfId="256"/>
    <cellStyle name="Normal 2 2 13 2" xfId="257"/>
    <cellStyle name="Normal 2 2 13 2 2" xfId="258"/>
    <cellStyle name="Normal 2 2 13 2 3" xfId="259"/>
    <cellStyle name="Normal 2 2 13 2 4" xfId="260"/>
    <cellStyle name="Normal 2 2 13 3" xfId="261"/>
    <cellStyle name="Normal 2 2 13 4" xfId="262"/>
    <cellStyle name="Normal 2 2 14" xfId="263"/>
    <cellStyle name="Normal 2 2 14 2" xfId="264"/>
    <cellStyle name="Normal 2 2 15" xfId="265"/>
    <cellStyle name="Normal 2 2 15 2" xfId="266"/>
    <cellStyle name="Normal 2 2 16" xfId="267"/>
    <cellStyle name="Normal 2 2 16 2" xfId="268"/>
    <cellStyle name="Normal 2 2 16 3" xfId="269"/>
    <cellStyle name="Normal 2 2 17" xfId="270"/>
    <cellStyle name="Normal 2 2 18" xfId="271"/>
    <cellStyle name="Normal 2 2 19" xfId="272"/>
    <cellStyle name="Normal 2 2 2" xfId="273"/>
    <cellStyle name="Normal 2 2 2 2" xfId="274"/>
    <cellStyle name="Normal 2 2 2 2 2" xfId="275"/>
    <cellStyle name="Normal 2 2 2 2 3" xfId="276"/>
    <cellStyle name="Normal 2 2 2 2 3 2" xfId="277"/>
    <cellStyle name="Normal 2 2 2 2 3 3" xfId="278"/>
    <cellStyle name="Normal 2 2 2 3" xfId="279"/>
    <cellStyle name="Normal 2 2 2 3 2" xfId="280"/>
    <cellStyle name="Normal 2 2 2 3 3" xfId="281"/>
    <cellStyle name="Normal 2 2 2 3 4" xfId="282"/>
    <cellStyle name="Normal 2 2 2 4" xfId="283"/>
    <cellStyle name="Normal 2 2 2 4 2" xfId="284"/>
    <cellStyle name="Normal 2 2 2 5" xfId="285"/>
    <cellStyle name="Normal 2 2 2 5 2" xfId="286"/>
    <cellStyle name="Normal 2 2 2 5 3" xfId="287"/>
    <cellStyle name="Normal 2 2 2 5 4" xfId="288"/>
    <cellStyle name="Normal 2 2 2 6" xfId="289"/>
    <cellStyle name="Normal 2 2 2 6 2" xfId="290"/>
    <cellStyle name="Normal 2 2 2 7" xfId="291"/>
    <cellStyle name="Normal 2 2 2 7 2" xfId="292"/>
    <cellStyle name="Normal 2 2 2 7 3" xfId="293"/>
    <cellStyle name="Normal 2 2 2 8" xfId="294"/>
    <cellStyle name="Normal 2 2 20" xfId="295"/>
    <cellStyle name="Normal 2 2 21" xfId="296"/>
    <cellStyle name="Normal 2 2 22" xfId="297"/>
    <cellStyle name="Normal 2 2 3" xfId="298"/>
    <cellStyle name="Normal 2 2 3 2" xfId="299"/>
    <cellStyle name="Normal 2 2 4" xfId="300"/>
    <cellStyle name="Normal 2 2 4 2" xfId="301"/>
    <cellStyle name="Normal 2 2 5" xfId="302"/>
    <cellStyle name="Normal 2 2 5 2" xfId="303"/>
    <cellStyle name="Normal 2 2 6" xfId="304"/>
    <cellStyle name="Normal 2 2 6 2" xfId="305"/>
    <cellStyle name="Normal 2 2 7" xfId="306"/>
    <cellStyle name="Normal 2 2 7 2" xfId="307"/>
    <cellStyle name="Normal 2 2 8" xfId="308"/>
    <cellStyle name="Normal 2 2 8 2" xfId="309"/>
    <cellStyle name="Normal 2 2 9" xfId="310"/>
    <cellStyle name="Normal 2 2 9 2" xfId="311"/>
    <cellStyle name="Normal 2 3" xfId="312"/>
    <cellStyle name="Normal 2 3 10" xfId="313"/>
    <cellStyle name="Normal 2 3 11" xfId="314"/>
    <cellStyle name="Normal 2 3 12" xfId="315"/>
    <cellStyle name="Normal 2 3 13" xfId="316"/>
    <cellStyle name="Normal 2 3 14" xfId="317"/>
    <cellStyle name="Normal 2 3 15" xfId="318"/>
    <cellStyle name="Normal 2 3 2" xfId="319"/>
    <cellStyle name="Normal 2 3 2 2" xfId="320"/>
    <cellStyle name="Normal 2 3 2 2 2" xfId="321"/>
    <cellStyle name="Normal 2 3 2 2 3" xfId="322"/>
    <cellStyle name="Normal 2 3 2 3" xfId="323"/>
    <cellStyle name="Normal 2 3 2 4" xfId="324"/>
    <cellStyle name="Normal 2 3 2 5" xfId="325"/>
    <cellStyle name="Normal 2 3 3" xfId="326"/>
    <cellStyle name="Normal 2 3 3 2" xfId="327"/>
    <cellStyle name="Normal 2 3 3 3" xfId="328"/>
    <cellStyle name="Normal 2 3 4" xfId="329"/>
    <cellStyle name="Normal 2 3 5" xfId="330"/>
    <cellStyle name="Normal 2 3 6" xfId="331"/>
    <cellStyle name="Normal 2 3 7" xfId="332"/>
    <cellStyle name="Normal 2 3 8" xfId="333"/>
    <cellStyle name="Normal 2 3 9" xfId="334"/>
    <cellStyle name="Normal 2 4" xfId="335"/>
    <cellStyle name="Normal 2 4 10" xfId="336"/>
    <cellStyle name="Normal 2 4 11" xfId="337"/>
    <cellStyle name="Normal 2 4 12" xfId="338"/>
    <cellStyle name="Normal 2 4 12 2" xfId="339"/>
    <cellStyle name="Normal 2 4 12 3" xfId="340"/>
    <cellStyle name="Normal 2 4 13" xfId="341"/>
    <cellStyle name="Normal 2 4 13 2" xfId="342"/>
    <cellStyle name="Normal 2 4 13 3" xfId="343"/>
    <cellStyle name="Normal 2 4 2" xfId="344"/>
    <cellStyle name="Normal 2 4 2 2" xfId="345"/>
    <cellStyle name="Normal 2 4 2 2 2" xfId="346"/>
    <cellStyle name="Normal 2 4 2 2 3" xfId="347"/>
    <cellStyle name="Normal 2 4 2 3" xfId="348"/>
    <cellStyle name="Normal 2 4 2 4" xfId="349"/>
    <cellStyle name="Normal 2 4 2 5" xfId="350"/>
    <cellStyle name="Normal 2 4 3" xfId="351"/>
    <cellStyle name="Normal 2 4 3 2" xfId="352"/>
    <cellStyle name="Normal 2 4 3 3" xfId="353"/>
    <cellStyle name="Normal 2 4 4" xfId="354"/>
    <cellStyle name="Normal 2 4 5" xfId="355"/>
    <cellStyle name="Normal 2 4 6" xfId="356"/>
    <cellStyle name="Normal 2 4 7" xfId="357"/>
    <cellStyle name="Normal 2 4 8" xfId="358"/>
    <cellStyle name="Normal 2 4 9" xfId="359"/>
    <cellStyle name="Normal 2 5" xfId="360"/>
    <cellStyle name="Normal 2 5 10" xfId="361"/>
    <cellStyle name="Normal 2 5 11" xfId="362"/>
    <cellStyle name="Normal 2 5 12" xfId="363"/>
    <cellStyle name="Normal 2 5 12 2" xfId="364"/>
    <cellStyle name="Normal 2 5 12 3" xfId="365"/>
    <cellStyle name="Normal 2 5 2" xfId="366"/>
    <cellStyle name="Normal 2 5 2 2" xfId="367"/>
    <cellStyle name="Normal 2 5 3" xfId="368"/>
    <cellStyle name="Normal 2 5 3 2" xfId="369"/>
    <cellStyle name="Normal 2 5 4" xfId="370"/>
    <cellStyle name="Normal 2 5 5" xfId="371"/>
    <cellStyle name="Normal 2 5 6" xfId="372"/>
    <cellStyle name="Normal 2 5 7" xfId="373"/>
    <cellStyle name="Normal 2 5 8" xfId="374"/>
    <cellStyle name="Normal 2 5 9" xfId="375"/>
    <cellStyle name="Normal 2 6" xfId="376"/>
    <cellStyle name="Normal 2 6 10" xfId="377"/>
    <cellStyle name="Normal 2 6 11" xfId="378"/>
    <cellStyle name="Normal 2 6 12" xfId="379"/>
    <cellStyle name="Normal 2 6 2" xfId="380"/>
    <cellStyle name="Normal 2 6 2 2" xfId="381"/>
    <cellStyle name="Normal 2 6 3" xfId="382"/>
    <cellStyle name="Normal 2 6 3 2" xfId="383"/>
    <cellStyle name="Normal 2 6 4" xfId="384"/>
    <cellStyle name="Normal 2 6 5" xfId="385"/>
    <cellStyle name="Normal 2 6 6" xfId="386"/>
    <cellStyle name="Normal 2 6 7" xfId="387"/>
    <cellStyle name="Normal 2 6 8" xfId="388"/>
    <cellStyle name="Normal 2 6 9" xfId="389"/>
    <cellStyle name="Normal 2 7" xfId="390"/>
    <cellStyle name="Normal 2 7 10" xfId="391"/>
    <cellStyle name="Normal 2 7 11" xfId="392"/>
    <cellStyle name="Normal 2 7 11 2" xfId="393"/>
    <cellStyle name="Normal 2 7 2" xfId="394"/>
    <cellStyle name="Normal 2 7 2 2" xfId="395"/>
    <cellStyle name="Normal 2 7 2 3" xfId="396"/>
    <cellStyle name="Normal 2 7 3" xfId="397"/>
    <cellStyle name="Normal 2 7 3 2" xfId="398"/>
    <cellStyle name="Normal 2 7 4" xfId="399"/>
    <cellStyle name="Normal 2 7 4 2" xfId="400"/>
    <cellStyle name="Normal 2 7 5" xfId="401"/>
    <cellStyle name="Normal 2 7 5 2" xfId="402"/>
    <cellStyle name="Normal 2 7 6" xfId="403"/>
    <cellStyle name="Normal 2 7 6 2" xfId="404"/>
    <cellStyle name="Normal 2 7 7" xfId="405"/>
    <cellStyle name="Normal 2 7 7 2" xfId="406"/>
    <cellStyle name="Normal 2 7 8" xfId="407"/>
    <cellStyle name="Normal 2 7 8 2" xfId="408"/>
    <cellStyle name="Normal 2 7 9" xfId="409"/>
    <cellStyle name="Normal 2 8" xfId="410"/>
    <cellStyle name="Normal 2 8 10" xfId="411"/>
    <cellStyle name="Normal 2 8 11" xfId="412"/>
    <cellStyle name="Normal 2 8 2" xfId="413"/>
    <cellStyle name="Normal 2 8 2 2" xfId="414"/>
    <cellStyle name="Normal 2 8 3" xfId="415"/>
    <cellStyle name="Normal 2 8 3 2" xfId="416"/>
    <cellStyle name="Normal 2 8 4" xfId="417"/>
    <cellStyle name="Normal 2 8 4 2" xfId="418"/>
    <cellStyle name="Normal 2 8 5" xfId="419"/>
    <cellStyle name="Normal 2 8 5 2" xfId="420"/>
    <cellStyle name="Normal 2 8 6" xfId="421"/>
    <cellStyle name="Normal 2 8 6 2" xfId="422"/>
    <cellStyle name="Normal 2 8 7" xfId="423"/>
    <cellStyle name="Normal 2 8 7 2" xfId="424"/>
    <cellStyle name="Normal 2 8 8" xfId="425"/>
    <cellStyle name="Normal 2 8 8 2" xfId="426"/>
    <cellStyle name="Normal 2 8 9" xfId="427"/>
    <cellStyle name="Normal 2 9" xfId="428"/>
    <cellStyle name="Normal 2 9 10" xfId="429"/>
    <cellStyle name="Normal 2 9 11" xfId="430"/>
    <cellStyle name="Normal 2 9 2" xfId="431"/>
    <cellStyle name="Normal 2 9 2 2" xfId="432"/>
    <cellStyle name="Normal 2 9 3" xfId="433"/>
    <cellStyle name="Normal 2 9 3 2" xfId="434"/>
    <cellStyle name="Normal 2 9 4" xfId="435"/>
    <cellStyle name="Normal 2 9 4 2" xfId="436"/>
    <cellStyle name="Normal 2 9 5" xfId="437"/>
    <cellStyle name="Normal 2 9 5 2" xfId="438"/>
    <cellStyle name="Normal 2 9 6" xfId="439"/>
    <cellStyle name="Normal 2 9 6 2" xfId="440"/>
    <cellStyle name="Normal 2 9 7" xfId="441"/>
    <cellStyle name="Normal 2 9 7 2" xfId="442"/>
    <cellStyle name="Normal 2 9 8" xfId="443"/>
    <cellStyle name="Normal 2 9 8 2" xfId="444"/>
    <cellStyle name="Normal 2 9 9" xfId="445"/>
    <cellStyle name="Normal 20" xfId="446"/>
    <cellStyle name="Normal 20 2" xfId="447"/>
    <cellStyle name="Normal 20 3" xfId="448"/>
    <cellStyle name="Normal 21" xfId="449"/>
    <cellStyle name="Normal 21 2" xfId="450"/>
    <cellStyle name="Normal 21 2 2" xfId="451"/>
    <cellStyle name="Normal 21 2 3" xfId="452"/>
    <cellStyle name="Normal 21 3" xfId="453"/>
    <cellStyle name="Normal 21 4" xfId="454"/>
    <cellStyle name="Normal 21 5" xfId="455"/>
    <cellStyle name="Normal 22" xfId="456"/>
    <cellStyle name="Normal 22 2" xfId="457"/>
    <cellStyle name="Normal 22 3" xfId="458"/>
    <cellStyle name="Normal 23" xfId="459"/>
    <cellStyle name="Normal 23 2" xfId="460"/>
    <cellStyle name="Normal 23 3" xfId="461"/>
    <cellStyle name="Normal 24" xfId="462"/>
    <cellStyle name="Normal 24 2" xfId="463"/>
    <cellStyle name="Normal 24 3" xfId="464"/>
    <cellStyle name="Normal 25" xfId="465"/>
    <cellStyle name="Normal 25 2" xfId="466"/>
    <cellStyle name="Normal 25 3" xfId="467"/>
    <cellStyle name="Normal 26" xfId="468"/>
    <cellStyle name="Normal 27" xfId="469"/>
    <cellStyle name="Normal 3" xfId="470"/>
    <cellStyle name="Normal 3 10" xfId="471"/>
    <cellStyle name="Normal 3 10 2" xfId="472"/>
    <cellStyle name="Normal 3 11" xfId="473"/>
    <cellStyle name="Normal 3 12" xfId="474"/>
    <cellStyle name="Normal 3 13" xfId="475"/>
    <cellStyle name="Normal 3 14" xfId="476"/>
    <cellStyle name="Normal 3 15" xfId="477"/>
    <cellStyle name="Normal 3 2" xfId="478"/>
    <cellStyle name="Normal 3 2 2" xfId="479"/>
    <cellStyle name="Normal 3 2 2 2" xfId="480"/>
    <cellStyle name="Normal 3 2 2 3" xfId="481"/>
    <cellStyle name="Normal 3 2 3" xfId="482"/>
    <cellStyle name="Normal 3 2 4" xfId="483"/>
    <cellStyle name="Normal 3 2 5" xfId="484"/>
    <cellStyle name="Normal 3 3" xfId="485"/>
    <cellStyle name="Normal 3 3 2" xfId="486"/>
    <cellStyle name="Normal 3 3 2 2" xfId="487"/>
    <cellStyle name="Normal 3 3 2 3" xfId="488"/>
    <cellStyle name="Normal 3 3 3" xfId="489"/>
    <cellStyle name="Normal 3 3 4" xfId="490"/>
    <cellStyle name="Normal 3 4" xfId="491"/>
    <cellStyle name="Normal 3 5" xfId="492"/>
    <cellStyle name="Normal 3 6" xfId="493"/>
    <cellStyle name="Normal 3 7" xfId="494"/>
    <cellStyle name="Normal 3 7 2" xfId="495"/>
    <cellStyle name="Normal 3 7 3" xfId="496"/>
    <cellStyle name="Normal 3 8" xfId="497"/>
    <cellStyle name="Normal 3 8 2" xfId="498"/>
    <cellStyle name="Normal 3 8 3" xfId="499"/>
    <cellStyle name="Normal 3 9" xfId="500"/>
    <cellStyle name="Normal 3 9 2" xfId="501"/>
    <cellStyle name="Normal 3 9 3" xfId="502"/>
    <cellStyle name="Normal 4" xfId="503"/>
    <cellStyle name="Normal 4 10" xfId="504"/>
    <cellStyle name="Normal 4 11" xfId="505"/>
    <cellStyle name="Normal 4 12" xfId="506"/>
    <cellStyle name="Normal 4 13" xfId="507"/>
    <cellStyle name="Normal 4 2" xfId="508"/>
    <cellStyle name="Normal 4 2 2" xfId="509"/>
    <cellStyle name="Normal 4 2 2 2" xfId="510"/>
    <cellStyle name="Normal 4 2 2 3" xfId="511"/>
    <cellStyle name="Normal 4 2 2 3 2" xfId="512"/>
    <cellStyle name="Normal 4 2 3" xfId="513"/>
    <cellStyle name="Normal 4 2 4" xfId="514"/>
    <cellStyle name="Normal 4 2 5" xfId="515"/>
    <cellStyle name="Normal 4 3" xfId="516"/>
    <cellStyle name="Normal 4 3 2" xfId="517"/>
    <cellStyle name="Normal 4 3 3" xfId="518"/>
    <cellStyle name="Normal 4 4" xfId="519"/>
    <cellStyle name="Normal 4 5" xfId="520"/>
    <cellStyle name="Normal 4 5 2" xfId="521"/>
    <cellStyle name="Normal 4 5 3" xfId="522"/>
    <cellStyle name="Normal 4 6" xfId="523"/>
    <cellStyle name="Normal 4 6 2" xfId="524"/>
    <cellStyle name="Normal 4 6 3" xfId="525"/>
    <cellStyle name="Normal 4 7" xfId="526"/>
    <cellStyle name="Normal 4 8" xfId="527"/>
    <cellStyle name="Normal 4 9" xfId="528"/>
    <cellStyle name="Normal 5" xfId="529"/>
    <cellStyle name="Normal 5 2" xfId="530"/>
    <cellStyle name="Normal 5 3" xfId="531"/>
    <cellStyle name="Normal 5 3 2" xfId="532"/>
    <cellStyle name="Normal 5 3 3" xfId="533"/>
    <cellStyle name="Normal 5 4" xfId="534"/>
    <cellStyle name="Normal 5 5" xfId="535"/>
    <cellStyle name="Normal 5 5 2" xfId="536"/>
    <cellStyle name="Normal 5 5 3" xfId="537"/>
    <cellStyle name="Normal 5 6" xfId="538"/>
    <cellStyle name="Normal 5 6 2" xfId="539"/>
    <cellStyle name="Normal 6" xfId="540"/>
    <cellStyle name="Normal 6 2" xfId="541"/>
    <cellStyle name="Normal 6 3" xfId="542"/>
    <cellStyle name="Normal 6 4" xfId="543"/>
    <cellStyle name="Normal 6 5" xfId="544"/>
    <cellStyle name="Normal 7" xfId="545"/>
    <cellStyle name="Normal 7 2" xfId="546"/>
    <cellStyle name="Normal 7 2 2" xfId="547"/>
    <cellStyle name="Normal 7 2 2 2" xfId="548"/>
    <cellStyle name="Normal 7 2 2 3" xfId="549"/>
    <cellStyle name="Normal 7 2 3" xfId="550"/>
    <cellStyle name="Normal 7 2 4" xfId="551"/>
    <cellStyle name="Normal 7 2 4 2" xfId="552"/>
    <cellStyle name="Normal 7 2 4 3" xfId="553"/>
    <cellStyle name="Normal 7 2 5" xfId="554"/>
    <cellStyle name="Normal 7 3" xfId="555"/>
    <cellStyle name="Normal 7 4" xfId="556"/>
    <cellStyle name="Normal 7 4 2" xfId="557"/>
    <cellStyle name="Normal 7 4 3" xfId="558"/>
    <cellStyle name="Normal 7 5" xfId="559"/>
    <cellStyle name="Normal 7 5 2" xfId="560"/>
    <cellStyle name="Normal 7 5 3" xfId="561"/>
    <cellStyle name="Normal 7 5 4" xfId="562"/>
    <cellStyle name="Normal 7 5 5" xfId="563"/>
    <cellStyle name="Normal 7 6" xfId="564"/>
    <cellStyle name="Normal 7 7" xfId="565"/>
    <cellStyle name="Normal 8" xfId="566"/>
    <cellStyle name="Normal 8 2" xfId="567"/>
    <cellStyle name="Normal 8 3" xfId="568"/>
    <cellStyle name="Normal 9" xfId="569"/>
    <cellStyle name="Normal 9 2" xfId="570"/>
    <cellStyle name="Normal 9 2 2" xfId="571"/>
    <cellStyle name="Normal 9 2 3" xfId="572"/>
    <cellStyle name="Normal 9 3" xfId="573"/>
    <cellStyle name="Normal 9 4" xfId="574"/>
    <cellStyle name="Normal 9 5" xfId="575"/>
    <cellStyle name="Normal 9 5 2" xfId="576"/>
    <cellStyle name="Normal 9 5 3" xfId="577"/>
    <cellStyle name="Normal 9 6" xfId="578"/>
    <cellStyle name="Normal 9 6 2" xfId="579"/>
    <cellStyle name="Normal 9 6 3" xfId="580"/>
    <cellStyle name="Normal_debt" xfId="581"/>
    <cellStyle name="Normal_lpform" xfId="582"/>
    <cellStyle name="Note" xfId="583"/>
    <cellStyle name="Output" xfId="584"/>
    <cellStyle name="Percent" xfId="585"/>
    <cellStyle name="Title" xfId="586"/>
    <cellStyle name="Total" xfId="587"/>
    <cellStyle name="Warning Text" xfId="58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Pub. Notice Option 1"/>
      <sheetName val="Pub. Notice Option 2"/>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0">
      <selection activeCell="L95" sqref="L95"/>
    </sheetView>
  </sheetViews>
  <sheetFormatPr defaultColWidth="8.796875" defaultRowHeight="15.75"/>
  <cols>
    <col min="1" max="1" width="68.19921875" style="93" customWidth="1"/>
    <col min="2" max="16384" width="8.796875" style="93" customWidth="1"/>
  </cols>
  <sheetData>
    <row r="1" ht="15.75">
      <c r="A1" s="189" t="s">
        <v>305</v>
      </c>
    </row>
    <row r="3" ht="34.5" customHeight="1">
      <c r="A3" s="708" t="s">
        <v>904</v>
      </c>
    </row>
    <row r="4" ht="15.75">
      <c r="A4" s="190"/>
    </row>
    <row r="5" ht="52.5" customHeight="1">
      <c r="A5" s="191" t="s">
        <v>306</v>
      </c>
    </row>
    <row r="6" ht="15.75">
      <c r="A6" s="191"/>
    </row>
    <row r="7" ht="51" customHeight="1">
      <c r="A7" s="191" t="s">
        <v>830</v>
      </c>
    </row>
    <row r="8" ht="15.75">
      <c r="A8" s="191"/>
    </row>
    <row r="9" ht="15.75">
      <c r="A9" s="191" t="s">
        <v>101</v>
      </c>
    </row>
    <row r="12" ht="15.75">
      <c r="A12" s="189" t="s">
        <v>157</v>
      </c>
    </row>
    <row r="14" ht="15.75">
      <c r="A14" s="190" t="s">
        <v>158</v>
      </c>
    </row>
    <row r="17" ht="38.25" customHeight="1">
      <c r="A17" s="192" t="s">
        <v>281</v>
      </c>
    </row>
    <row r="18" ht="9.75" customHeight="1">
      <c r="A18" s="192"/>
    </row>
    <row r="21" ht="15.75">
      <c r="A21" s="189" t="s">
        <v>102</v>
      </c>
    </row>
    <row r="23" ht="34.5" customHeight="1">
      <c r="A23" s="191" t="s">
        <v>159</v>
      </c>
    </row>
    <row r="24" ht="9.75" customHeight="1">
      <c r="A24" s="191"/>
    </row>
    <row r="25" ht="15.75">
      <c r="A25" s="193" t="s">
        <v>103</v>
      </c>
    </row>
    <row r="26" ht="15.75">
      <c r="A26" s="191"/>
    </row>
    <row r="27" ht="17.25" customHeight="1">
      <c r="A27" s="194" t="s">
        <v>104</v>
      </c>
    </row>
    <row r="28" ht="17.25" customHeight="1">
      <c r="A28" s="195"/>
    </row>
    <row r="29" ht="87.75" customHeight="1">
      <c r="A29" s="196" t="s">
        <v>138</v>
      </c>
    </row>
    <row r="31" ht="15.75">
      <c r="A31" s="197" t="s">
        <v>105</v>
      </c>
    </row>
    <row r="33" ht="15.75">
      <c r="A33" s="130" t="s">
        <v>160</v>
      </c>
    </row>
    <row r="35" ht="15.75">
      <c r="A35" s="191" t="s">
        <v>106</v>
      </c>
    </row>
    <row r="36" ht="15.75">
      <c r="A36" s="191"/>
    </row>
    <row r="37" ht="72" customHeight="1">
      <c r="A37" s="191" t="s">
        <v>366</v>
      </c>
    </row>
    <row r="39" ht="15.75">
      <c r="A39" s="189" t="s">
        <v>107</v>
      </c>
    </row>
    <row r="41" ht="70.5" customHeight="1">
      <c r="A41" s="191" t="s">
        <v>734</v>
      </c>
    </row>
    <row r="42" ht="52.5" customHeight="1">
      <c r="A42" s="198" t="s">
        <v>108</v>
      </c>
    </row>
    <row r="43" ht="33" customHeight="1">
      <c r="A43" s="191" t="s">
        <v>137</v>
      </c>
    </row>
    <row r="44" ht="106.5" customHeight="1">
      <c r="A44" s="697" t="s">
        <v>831</v>
      </c>
    </row>
    <row r="45" ht="10.5" customHeight="1">
      <c r="A45" s="191"/>
    </row>
    <row r="46" ht="108" customHeight="1">
      <c r="A46" s="191" t="s">
        <v>735</v>
      </c>
    </row>
    <row r="47" ht="59.25" customHeight="1">
      <c r="A47" s="191" t="s">
        <v>109</v>
      </c>
    </row>
    <row r="48" ht="101.25" customHeight="1">
      <c r="A48" s="191" t="s">
        <v>197</v>
      </c>
    </row>
    <row r="49" ht="74.25" customHeight="1">
      <c r="A49" s="191" t="s">
        <v>367</v>
      </c>
    </row>
    <row r="50" ht="69.75" customHeight="1">
      <c r="A50" s="191" t="s">
        <v>371</v>
      </c>
    </row>
    <row r="51" ht="58.5" customHeight="1">
      <c r="A51" s="698" t="s">
        <v>832</v>
      </c>
    </row>
    <row r="52" ht="12" customHeight="1">
      <c r="A52" s="191"/>
    </row>
    <row r="53" ht="81" customHeight="1">
      <c r="A53" s="191" t="s">
        <v>368</v>
      </c>
    </row>
    <row r="54" ht="81" customHeight="1">
      <c r="A54" s="191" t="s">
        <v>908</v>
      </c>
    </row>
    <row r="55" ht="87" customHeight="1">
      <c r="A55" s="699" t="s">
        <v>909</v>
      </c>
    </row>
    <row r="56" ht="48" customHeight="1">
      <c r="A56" s="698" t="s">
        <v>833</v>
      </c>
    </row>
    <row r="57" ht="84.75" customHeight="1">
      <c r="A57" s="699" t="s">
        <v>953</v>
      </c>
    </row>
    <row r="58" ht="11.25" customHeight="1"/>
    <row r="59" ht="73.5" customHeight="1">
      <c r="A59" s="699" t="s">
        <v>910</v>
      </c>
    </row>
    <row r="60" ht="134.25" customHeight="1">
      <c r="A60" s="699" t="s">
        <v>911</v>
      </c>
    </row>
    <row r="61" ht="36" customHeight="1">
      <c r="A61" s="699" t="s">
        <v>912</v>
      </c>
    </row>
    <row r="62" ht="14.25" customHeight="1">
      <c r="A62" s="191"/>
    </row>
    <row r="63" ht="68.25" customHeight="1">
      <c r="A63" s="699" t="s">
        <v>834</v>
      </c>
    </row>
    <row r="64" ht="12.75" customHeight="1">
      <c r="A64" s="191"/>
    </row>
    <row r="65" ht="41.25" customHeight="1">
      <c r="A65" s="191" t="s">
        <v>369</v>
      </c>
    </row>
    <row r="66" ht="24" customHeight="1">
      <c r="A66" s="191" t="s">
        <v>588</v>
      </c>
    </row>
    <row r="67" ht="72" customHeight="1">
      <c r="A67" s="191" t="s">
        <v>589</v>
      </c>
    </row>
    <row r="68" ht="56.25" customHeight="1">
      <c r="A68" s="191" t="s">
        <v>586</v>
      </c>
    </row>
    <row r="69" ht="15.75">
      <c r="A69" s="191" t="s">
        <v>587</v>
      </c>
    </row>
    <row r="70" ht="15.75" customHeight="1">
      <c r="A70" s="191"/>
    </row>
    <row r="71" ht="68.25" customHeight="1">
      <c r="A71" s="191" t="s">
        <v>370</v>
      </c>
    </row>
    <row r="72" s="191" customFormat="1" ht="14.25" customHeight="1">
      <c r="A72" s="93"/>
    </row>
    <row r="73" ht="87.75" customHeight="1">
      <c r="A73" s="191" t="s">
        <v>372</v>
      </c>
    </row>
    <row r="74" ht="12" customHeight="1">
      <c r="A74" s="191"/>
    </row>
    <row r="75" ht="141" customHeight="1">
      <c r="A75" s="699" t="s">
        <v>835</v>
      </c>
    </row>
    <row r="76" ht="12" customHeight="1"/>
    <row r="77" ht="78.75" customHeight="1">
      <c r="A77" s="191" t="s">
        <v>837</v>
      </c>
    </row>
    <row r="78" ht="78.75" customHeight="1">
      <c r="A78" s="699" t="s">
        <v>836</v>
      </c>
    </row>
    <row r="79" ht="86.25" customHeight="1">
      <c r="A79" s="508" t="s">
        <v>838</v>
      </c>
    </row>
    <row r="80" ht="78.75" customHeight="1">
      <c r="A80" s="508" t="s">
        <v>839</v>
      </c>
    </row>
    <row r="81" ht="78.75" customHeight="1">
      <c r="A81" s="508" t="s">
        <v>840</v>
      </c>
    </row>
    <row r="82" ht="73.5" customHeight="1">
      <c r="A82" s="191" t="s">
        <v>841</v>
      </c>
    </row>
    <row r="83" ht="120.75" customHeight="1">
      <c r="A83" s="191" t="s">
        <v>842</v>
      </c>
    </row>
    <row r="84" ht="72.75" customHeight="1">
      <c r="A84" s="191" t="s">
        <v>843</v>
      </c>
    </row>
    <row r="85" ht="100.5" customHeight="1">
      <c r="A85" s="191" t="s">
        <v>844</v>
      </c>
    </row>
    <row r="86" ht="110.25" customHeight="1">
      <c r="A86" s="191" t="s">
        <v>845</v>
      </c>
    </row>
    <row r="87" ht="100.5" customHeight="1">
      <c r="A87" s="199" t="s">
        <v>846</v>
      </c>
    </row>
    <row r="88" ht="61.5" customHeight="1">
      <c r="A88" s="329" t="s">
        <v>847</v>
      </c>
    </row>
    <row r="89" ht="120.75" customHeight="1">
      <c r="A89" s="191" t="s">
        <v>898</v>
      </c>
    </row>
    <row r="90" ht="86.25" customHeight="1">
      <c r="A90" s="199" t="s">
        <v>848</v>
      </c>
    </row>
    <row r="91" ht="101.25" customHeight="1">
      <c r="A91" s="199" t="s">
        <v>897</v>
      </c>
    </row>
    <row r="92" ht="133.5" customHeight="1">
      <c r="A92" s="191" t="s">
        <v>849</v>
      </c>
    </row>
    <row r="93" ht="137.25" customHeight="1">
      <c r="A93" s="191" t="s">
        <v>850</v>
      </c>
    </row>
    <row r="94" ht="101.25" customHeight="1">
      <c r="A94" s="191" t="s">
        <v>851</v>
      </c>
    </row>
    <row r="95" ht="9.75" customHeight="1">
      <c r="A95" s="199"/>
    </row>
    <row r="96" ht="119.25" customHeight="1">
      <c r="A96" s="191" t="s">
        <v>852</v>
      </c>
    </row>
    <row r="97" ht="117" customHeight="1">
      <c r="A97" s="199" t="s">
        <v>853</v>
      </c>
    </row>
    <row r="98" ht="58.5" customHeight="1">
      <c r="A98" s="199" t="s">
        <v>854</v>
      </c>
    </row>
    <row r="99" ht="21" customHeight="1">
      <c r="A99" s="191" t="s">
        <v>855</v>
      </c>
    </row>
    <row r="100" ht="3.75" customHeight="1"/>
    <row r="101" ht="64.5" customHeight="1">
      <c r="A101" s="191" t="s">
        <v>856</v>
      </c>
    </row>
    <row r="102" ht="22.5" customHeight="1">
      <c r="A102" s="191" t="s">
        <v>857</v>
      </c>
    </row>
    <row r="103" ht="40.5" customHeight="1">
      <c r="A103" s="508" t="s">
        <v>858</v>
      </c>
    </row>
    <row r="104" ht="115.5" customHeight="1">
      <c r="A104" s="508" t="s">
        <v>859</v>
      </c>
    </row>
    <row r="105" ht="116.25" customHeight="1">
      <c r="A105" s="508" t="s">
        <v>860</v>
      </c>
    </row>
    <row r="106" ht="90" customHeight="1">
      <c r="A106" s="191" t="s">
        <v>861</v>
      </c>
    </row>
    <row r="107" ht="74.25" customHeight="1">
      <c r="A107" s="700" t="s">
        <v>862</v>
      </c>
    </row>
    <row r="108" ht="61.5" customHeight="1">
      <c r="A108" s="191" t="s">
        <v>863</v>
      </c>
    </row>
    <row r="109" ht="9" customHeight="1"/>
    <row r="110" ht="78.75" customHeight="1">
      <c r="A110" s="191" t="s">
        <v>864</v>
      </c>
    </row>
    <row r="112" ht="73.5" customHeight="1">
      <c r="A112" s="508" t="s">
        <v>865</v>
      </c>
    </row>
    <row r="113" ht="108" customHeight="1">
      <c r="A113" s="508" t="s">
        <v>866</v>
      </c>
    </row>
    <row r="114" ht="96" customHeight="1">
      <c r="A114" s="508" t="s">
        <v>867</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B25" sqref="B25"/>
    </sheetView>
  </sheetViews>
  <sheetFormatPr defaultColWidth="8.796875" defaultRowHeight="15.75"/>
  <cols>
    <col min="1" max="1" width="1.390625" style="246" customWidth="1"/>
    <col min="2" max="2" width="18.69921875" style="246" customWidth="1"/>
    <col min="3" max="3" width="8.796875" style="246" customWidth="1"/>
    <col min="4" max="4" width="7.8984375" style="246" customWidth="1"/>
    <col min="5" max="5" width="8.796875" style="246" customWidth="1"/>
    <col min="6" max="6" width="16.19921875" style="246" customWidth="1"/>
    <col min="7" max="16384" width="8.796875" style="246" customWidth="1"/>
  </cols>
  <sheetData>
    <row r="1" spans="1:12" ht="15.75">
      <c r="A1" s="269"/>
      <c r="B1" s="244" t="str">
        <f>inputPrYr!$D$3</f>
        <v>VIOLA TOWNSHIP</v>
      </c>
      <c r="C1" s="245"/>
      <c r="D1" s="245"/>
      <c r="E1" s="245"/>
      <c r="F1" s="245"/>
      <c r="G1" s="245"/>
      <c r="H1" s="245"/>
      <c r="I1" s="245"/>
      <c r="J1" s="46"/>
      <c r="K1" s="46"/>
      <c r="L1" s="201">
        <f>inputPrYr!D9</f>
        <v>2015</v>
      </c>
    </row>
    <row r="2" spans="1:12" ht="15.75">
      <c r="A2" s="269"/>
      <c r="B2" s="244" t="str">
        <f>inputPrYr!$D$4</f>
        <v>SEDGWICK COUNTY</v>
      </c>
      <c r="C2" s="245"/>
      <c r="D2" s="245"/>
      <c r="E2" s="245"/>
      <c r="F2" s="245"/>
      <c r="G2" s="245"/>
      <c r="H2" s="245"/>
      <c r="I2" s="245"/>
      <c r="J2" s="46"/>
      <c r="K2" s="46"/>
      <c r="L2" s="187"/>
    </row>
    <row r="3" spans="1:12" ht="15.75">
      <c r="A3" s="269"/>
      <c r="B3" s="849" t="s">
        <v>26</v>
      </c>
      <c r="C3" s="827"/>
      <c r="D3" s="827"/>
      <c r="E3" s="827"/>
      <c r="F3" s="827"/>
      <c r="G3" s="827"/>
      <c r="H3" s="827"/>
      <c r="I3" s="827"/>
      <c r="J3" s="827"/>
      <c r="K3" s="827"/>
      <c r="L3" s="827"/>
    </row>
    <row r="4" spans="1:12" ht="15.75">
      <c r="A4" s="269"/>
      <c r="B4" s="245"/>
      <c r="C4" s="245"/>
      <c r="D4" s="245"/>
      <c r="E4" s="245"/>
      <c r="F4" s="245"/>
      <c r="G4" s="245"/>
      <c r="H4" s="245"/>
      <c r="I4" s="245"/>
      <c r="J4" s="245"/>
      <c r="K4" s="245"/>
      <c r="L4" s="245"/>
    </row>
    <row r="5" spans="1:12" ht="15.75">
      <c r="A5" s="269"/>
      <c r="B5" s="205" t="s">
        <v>747</v>
      </c>
      <c r="C5" s="205" t="s">
        <v>6</v>
      </c>
      <c r="D5" s="205" t="s">
        <v>13</v>
      </c>
      <c r="E5" s="205"/>
      <c r="F5" s="205" t="s">
        <v>240</v>
      </c>
      <c r="G5" s="247"/>
      <c r="H5" s="248"/>
      <c r="I5" s="247" t="s">
        <v>7</v>
      </c>
      <c r="J5" s="248"/>
      <c r="K5" s="247" t="s">
        <v>7</v>
      </c>
      <c r="L5" s="248"/>
    </row>
    <row r="6" spans="1:12" ht="15.75">
      <c r="A6" s="269"/>
      <c r="B6" s="249" t="s">
        <v>8</v>
      </c>
      <c r="C6" s="249" t="s">
        <v>8</v>
      </c>
      <c r="D6" s="249" t="s">
        <v>239</v>
      </c>
      <c r="E6" s="249" t="s">
        <v>240</v>
      </c>
      <c r="F6" s="249" t="s">
        <v>64</v>
      </c>
      <c r="G6" s="250" t="s">
        <v>9</v>
      </c>
      <c r="H6" s="251"/>
      <c r="I6" s="250">
        <f>L1-1</f>
        <v>2014</v>
      </c>
      <c r="J6" s="251"/>
      <c r="K6" s="250">
        <f>L1</f>
        <v>2015</v>
      </c>
      <c r="L6" s="251"/>
    </row>
    <row r="7" spans="1:12" ht="15.75">
      <c r="A7" s="269"/>
      <c r="B7" s="207" t="s">
        <v>748</v>
      </c>
      <c r="C7" s="207" t="s">
        <v>10</v>
      </c>
      <c r="D7" s="207" t="s">
        <v>265</v>
      </c>
      <c r="E7" s="207" t="s">
        <v>11</v>
      </c>
      <c r="F7" s="252" t="str">
        <f>CONCATENATE("Jan 1,",L1-1,"")</f>
        <v>Jan 1,2014</v>
      </c>
      <c r="G7" s="69" t="s">
        <v>13</v>
      </c>
      <c r="H7" s="69" t="s">
        <v>14</v>
      </c>
      <c r="I7" s="69" t="s">
        <v>13</v>
      </c>
      <c r="J7" s="69" t="s">
        <v>14</v>
      </c>
      <c r="K7" s="69" t="s">
        <v>13</v>
      </c>
      <c r="L7" s="69" t="s">
        <v>14</v>
      </c>
    </row>
    <row r="8" spans="1:12" ht="15.75">
      <c r="A8" s="269"/>
      <c r="B8" s="253" t="s">
        <v>3</v>
      </c>
      <c r="C8" s="254"/>
      <c r="D8" s="253"/>
      <c r="E8" s="253"/>
      <c r="F8" s="253"/>
      <c r="G8" s="255"/>
      <c r="H8" s="255"/>
      <c r="I8" s="253"/>
      <c r="J8" s="253"/>
      <c r="K8" s="253"/>
      <c r="L8" s="253"/>
    </row>
    <row r="9" spans="1:12" ht="15.75">
      <c r="A9" s="269"/>
      <c r="B9" s="256"/>
      <c r="C9" s="355"/>
      <c r="D9" s="258"/>
      <c r="E9" s="149"/>
      <c r="F9" s="259"/>
      <c r="G9" s="260"/>
      <c r="H9" s="260"/>
      <c r="I9" s="259"/>
      <c r="J9" s="259"/>
      <c r="K9" s="259"/>
      <c r="L9" s="259"/>
    </row>
    <row r="10" spans="1:12" ht="15.75">
      <c r="A10" s="269"/>
      <c r="B10" s="256"/>
      <c r="C10" s="355"/>
      <c r="D10" s="258"/>
      <c r="E10" s="149"/>
      <c r="F10" s="259"/>
      <c r="G10" s="260"/>
      <c r="H10" s="260"/>
      <c r="I10" s="259"/>
      <c r="J10" s="259"/>
      <c r="K10" s="259"/>
      <c r="L10" s="259"/>
    </row>
    <row r="11" spans="1:12" ht="15.75">
      <c r="A11" s="269"/>
      <c r="B11" s="183" t="s">
        <v>81</v>
      </c>
      <c r="C11" s="261"/>
      <c r="D11" s="262"/>
      <c r="E11" s="236"/>
      <c r="F11" s="155">
        <f>SUM(F9:F10)</f>
        <v>0</v>
      </c>
      <c r="G11" s="263"/>
      <c r="H11" s="263"/>
      <c r="I11" s="155">
        <f>SUM(I9:I10)</f>
        <v>0</v>
      </c>
      <c r="J11" s="155">
        <f>SUM(J9:J10)</f>
        <v>0</v>
      </c>
      <c r="K11" s="155">
        <f>SUM(K9:K10)</f>
        <v>0</v>
      </c>
      <c r="L11" s="155">
        <f>SUM(L9:L10)</f>
        <v>0</v>
      </c>
    </row>
    <row r="12" spans="1:12" ht="15.75">
      <c r="A12" s="269"/>
      <c r="B12" s="183" t="s">
        <v>257</v>
      </c>
      <c r="C12" s="261"/>
      <c r="D12" s="262"/>
      <c r="E12" s="236"/>
      <c r="F12" s="71"/>
      <c r="G12" s="264"/>
      <c r="H12" s="264"/>
      <c r="I12" s="71"/>
      <c r="J12" s="71"/>
      <c r="K12" s="71"/>
      <c r="L12" s="71"/>
    </row>
    <row r="13" spans="1:12" ht="15.75">
      <c r="A13" s="269"/>
      <c r="B13" s="256"/>
      <c r="C13" s="355"/>
      <c r="D13" s="258"/>
      <c r="E13" s="149"/>
      <c r="F13" s="259"/>
      <c r="G13" s="260"/>
      <c r="H13" s="260"/>
      <c r="I13" s="259"/>
      <c r="J13" s="259"/>
      <c r="K13" s="259"/>
      <c r="L13" s="259"/>
    </row>
    <row r="14" spans="1:12" ht="15.75">
      <c r="A14" s="269"/>
      <c r="B14" s="256"/>
      <c r="C14" s="355"/>
      <c r="D14" s="258"/>
      <c r="E14" s="149"/>
      <c r="F14" s="259"/>
      <c r="G14" s="260"/>
      <c r="H14" s="260"/>
      <c r="I14" s="259"/>
      <c r="J14" s="259"/>
      <c r="K14" s="259"/>
      <c r="L14" s="259"/>
    </row>
    <row r="15" spans="1:12" ht="15.75">
      <c r="A15" s="269"/>
      <c r="B15" s="183" t="s">
        <v>82</v>
      </c>
      <c r="C15" s="261"/>
      <c r="D15" s="262"/>
      <c r="E15" s="236"/>
      <c r="F15" s="155">
        <f>SUM(F13:F14)</f>
        <v>0</v>
      </c>
      <c r="G15" s="264"/>
      <c r="H15" s="264"/>
      <c r="I15" s="155">
        <f>SUM(I13:I14)</f>
        <v>0</v>
      </c>
      <c r="J15" s="155">
        <f>SUM(J13:J14)</f>
        <v>0</v>
      </c>
      <c r="K15" s="155">
        <f>SUM(K13:K14)</f>
        <v>0</v>
      </c>
      <c r="L15" s="155">
        <f>SUM(L13:L14)</f>
        <v>0</v>
      </c>
    </row>
    <row r="16" spans="1:12" ht="15.75">
      <c r="A16" s="269"/>
      <c r="B16" s="265" t="s">
        <v>28</v>
      </c>
      <c r="C16" s="529"/>
      <c r="D16" s="530"/>
      <c r="E16" s="531"/>
      <c r="F16" s="267">
        <f>SUM(F11+F15)</f>
        <v>0</v>
      </c>
      <c r="G16" s="529"/>
      <c r="H16" s="532"/>
      <c r="I16" s="267">
        <f>SUM(I11+I15)</f>
        <v>0</v>
      </c>
      <c r="J16" s="267">
        <f>SUM(J11+J15)</f>
        <v>0</v>
      </c>
      <c r="K16" s="267">
        <f>SUM(K11+K15)</f>
        <v>0</v>
      </c>
      <c r="L16" s="267">
        <f>SUM(L11+L15)</f>
        <v>0</v>
      </c>
    </row>
    <row r="17" spans="1:25" ht="15.75">
      <c r="A17" s="269"/>
      <c r="B17" s="46"/>
      <c r="C17" s="46"/>
      <c r="D17" s="52"/>
      <c r="E17" s="52"/>
      <c r="F17" s="52"/>
      <c r="G17" s="52"/>
      <c r="H17" s="52"/>
      <c r="I17" s="52"/>
      <c r="J17" s="52"/>
      <c r="K17" s="52"/>
      <c r="L17" s="52"/>
      <c r="M17" s="93"/>
      <c r="N17" s="93"/>
      <c r="O17" s="93"/>
      <c r="P17" s="93"/>
      <c r="Q17" s="93"/>
      <c r="R17" s="93"/>
      <c r="S17" s="93"/>
      <c r="T17" s="93"/>
      <c r="U17" s="93"/>
      <c r="V17" s="93"/>
      <c r="W17" s="93"/>
      <c r="X17" s="93"/>
      <c r="Y17" s="93"/>
    </row>
    <row r="18" spans="1:12" s="270" customFormat="1" ht="15.75">
      <c r="A18" s="269"/>
      <c r="B18" s="849" t="s">
        <v>25</v>
      </c>
      <c r="C18" s="827"/>
      <c r="D18" s="827"/>
      <c r="E18" s="827"/>
      <c r="F18" s="827"/>
      <c r="G18" s="827"/>
      <c r="H18" s="827"/>
      <c r="I18" s="827"/>
      <c r="J18" s="268"/>
      <c r="K18" s="268"/>
      <c r="L18" s="269"/>
    </row>
    <row r="19" spans="1:12" s="270" customFormat="1" ht="15.75">
      <c r="A19" s="269"/>
      <c r="B19" s="52"/>
      <c r="C19" s="271"/>
      <c r="D19" s="271"/>
      <c r="E19" s="271"/>
      <c r="F19" s="271"/>
      <c r="G19" s="271"/>
      <c r="H19" s="271"/>
      <c r="I19" s="271"/>
      <c r="J19" s="272"/>
      <c r="K19" s="272"/>
      <c r="L19" s="269"/>
    </row>
    <row r="20" spans="1:12" s="270" customFormat="1" ht="15.75">
      <c r="A20" s="269"/>
      <c r="B20" s="182"/>
      <c r="C20" s="182"/>
      <c r="D20" s="205" t="s">
        <v>12</v>
      </c>
      <c r="E20" s="182"/>
      <c r="F20" s="205" t="s">
        <v>217</v>
      </c>
      <c r="G20" s="182"/>
      <c r="H20" s="182"/>
      <c r="I20" s="182"/>
      <c r="J20" s="273"/>
      <c r="K20" s="274"/>
      <c r="L20" s="269"/>
    </row>
    <row r="21" spans="1:12" s="270" customFormat="1" ht="15.75">
      <c r="A21" s="269"/>
      <c r="B21" s="56"/>
      <c r="C21" s="249"/>
      <c r="D21" s="249" t="s">
        <v>8</v>
      </c>
      <c r="E21" s="249" t="s">
        <v>13</v>
      </c>
      <c r="F21" s="249" t="s">
        <v>240</v>
      </c>
      <c r="G21" s="249" t="s">
        <v>14</v>
      </c>
      <c r="H21" s="249" t="s">
        <v>15</v>
      </c>
      <c r="I21" s="249" t="s">
        <v>15</v>
      </c>
      <c r="J21" s="269"/>
      <c r="K21" s="269"/>
      <c r="L21" s="269"/>
    </row>
    <row r="22" spans="1:12" s="270" customFormat="1" ht="15.75">
      <c r="A22" s="269"/>
      <c r="B22" s="249" t="s">
        <v>749</v>
      </c>
      <c r="C22" s="249" t="s">
        <v>16</v>
      </c>
      <c r="D22" s="249" t="s">
        <v>17</v>
      </c>
      <c r="E22" s="249" t="s">
        <v>239</v>
      </c>
      <c r="F22" s="249" t="s">
        <v>18</v>
      </c>
      <c r="G22" s="249" t="s">
        <v>57</v>
      </c>
      <c r="H22" s="249" t="s">
        <v>19</v>
      </c>
      <c r="I22" s="249" t="s">
        <v>19</v>
      </c>
      <c r="J22" s="269"/>
      <c r="K22" s="269"/>
      <c r="L22" s="269"/>
    </row>
    <row r="23" spans="1:12" s="270" customFormat="1" ht="15.75">
      <c r="A23" s="269"/>
      <c r="B23" s="207" t="s">
        <v>750</v>
      </c>
      <c r="C23" s="207" t="s">
        <v>6</v>
      </c>
      <c r="D23" s="275" t="s">
        <v>20</v>
      </c>
      <c r="E23" s="207" t="s">
        <v>265</v>
      </c>
      <c r="F23" s="275" t="s">
        <v>65</v>
      </c>
      <c r="G23" s="252" t="str">
        <f>CONCATENATE("Jan 1,",L1-1,"")</f>
        <v>Jan 1,2014</v>
      </c>
      <c r="H23" s="207">
        <f>L1-1</f>
        <v>2014</v>
      </c>
      <c r="I23" s="207">
        <f>L1</f>
        <v>2015</v>
      </c>
      <c r="J23" s="269"/>
      <c r="K23" s="269"/>
      <c r="L23" s="269"/>
    </row>
    <row r="24" spans="1:12" s="270" customFormat="1" ht="15.75">
      <c r="A24" s="269"/>
      <c r="B24" s="256" t="s">
        <v>967</v>
      </c>
      <c r="C24" s="257"/>
      <c r="D24" s="276"/>
      <c r="E24" s="258"/>
      <c r="F24" s="149"/>
      <c r="G24" s="149"/>
      <c r="H24" s="149"/>
      <c r="I24" s="149"/>
      <c r="J24" s="269"/>
      <c r="K24" s="269"/>
      <c r="L24" s="269"/>
    </row>
    <row r="25" spans="1:12" s="270" customFormat="1" ht="15.75">
      <c r="A25" s="269"/>
      <c r="B25" s="256"/>
      <c r="C25" s="257"/>
      <c r="D25" s="276"/>
      <c r="E25" s="258"/>
      <c r="F25" s="149"/>
      <c r="G25" s="149"/>
      <c r="H25" s="149"/>
      <c r="I25" s="149"/>
      <c r="J25" s="269"/>
      <c r="K25" s="269"/>
      <c r="L25" s="269"/>
    </row>
    <row r="26" spans="1:12" s="270" customFormat="1" ht="15.75">
      <c r="A26" s="269"/>
      <c r="B26" s="256"/>
      <c r="C26" s="257"/>
      <c r="D26" s="276"/>
      <c r="E26" s="258"/>
      <c r="F26" s="149"/>
      <c r="G26" s="149"/>
      <c r="H26" s="149"/>
      <c r="I26" s="149"/>
      <c r="J26" s="269"/>
      <c r="K26" s="269"/>
      <c r="L26" s="269"/>
    </row>
    <row r="27" spans="1:12" s="270" customFormat="1" ht="15.75">
      <c r="A27" s="269"/>
      <c r="B27" s="256"/>
      <c r="C27" s="257"/>
      <c r="D27" s="276"/>
      <c r="E27" s="258"/>
      <c r="F27" s="149"/>
      <c r="G27" s="149"/>
      <c r="H27" s="149"/>
      <c r="I27" s="149"/>
      <c r="J27" s="269"/>
      <c r="K27" s="269"/>
      <c r="L27" s="269"/>
    </row>
    <row r="28" spans="1:12" s="270" customFormat="1" ht="15.75">
      <c r="A28" s="269"/>
      <c r="B28" s="256"/>
      <c r="C28" s="257"/>
      <c r="D28" s="276"/>
      <c r="E28" s="258"/>
      <c r="F28" s="149"/>
      <c r="G28" s="149"/>
      <c r="H28" s="149"/>
      <c r="I28" s="149"/>
      <c r="J28" s="269"/>
      <c r="K28" s="269"/>
      <c r="L28" s="269"/>
    </row>
    <row r="29" spans="1:12" s="270" customFormat="1" ht="15.75">
      <c r="A29" s="269"/>
      <c r="B29" s="256"/>
      <c r="C29" s="257"/>
      <c r="D29" s="276"/>
      <c r="E29" s="258"/>
      <c r="F29" s="149"/>
      <c r="G29" s="149"/>
      <c r="H29" s="149"/>
      <c r="I29" s="149"/>
      <c r="J29" s="269"/>
      <c r="K29" s="269"/>
      <c r="L29" s="269"/>
    </row>
    <row r="30" spans="1:12" s="270" customFormat="1" ht="15.75">
      <c r="A30" s="269"/>
      <c r="B30" s="256"/>
      <c r="C30" s="257"/>
      <c r="D30" s="276"/>
      <c r="E30" s="258"/>
      <c r="F30" s="149"/>
      <c r="G30" s="149"/>
      <c r="H30" s="149"/>
      <c r="I30" s="149"/>
      <c r="J30" s="269"/>
      <c r="K30" s="269"/>
      <c r="L30" s="269"/>
    </row>
    <row r="31" spans="1:12" s="270" customFormat="1" ht="15.75">
      <c r="A31" s="269"/>
      <c r="B31" s="256"/>
      <c r="C31" s="257"/>
      <c r="D31" s="276"/>
      <c r="E31" s="258"/>
      <c r="F31" s="149"/>
      <c r="G31" s="149"/>
      <c r="H31" s="149"/>
      <c r="I31" s="149"/>
      <c r="J31" s="269"/>
      <c r="K31" s="269"/>
      <c r="L31" s="269"/>
    </row>
    <row r="32" spans="1:12" s="270" customFormat="1" ht="15.75">
      <c r="A32" s="269"/>
      <c r="B32" s="256"/>
      <c r="C32" s="257"/>
      <c r="D32" s="276"/>
      <c r="E32" s="258"/>
      <c r="F32" s="149"/>
      <c r="G32" s="149"/>
      <c r="H32" s="149"/>
      <c r="I32" s="149"/>
      <c r="J32" s="269"/>
      <c r="K32" s="269"/>
      <c r="L32" s="269"/>
    </row>
    <row r="33" spans="1:12" s="270" customFormat="1" ht="15.75">
      <c r="A33" s="269"/>
      <c r="B33" s="256"/>
      <c r="C33" s="257"/>
      <c r="D33" s="276"/>
      <c r="E33" s="258"/>
      <c r="F33" s="149"/>
      <c r="G33" s="149"/>
      <c r="H33" s="149"/>
      <c r="I33" s="149"/>
      <c r="J33" s="269"/>
      <c r="K33" s="269"/>
      <c r="L33" s="269"/>
    </row>
    <row r="34" spans="1:12" s="270" customFormat="1" ht="15.75">
      <c r="A34" s="269"/>
      <c r="B34" s="256"/>
      <c r="C34" s="257"/>
      <c r="D34" s="276"/>
      <c r="E34" s="258"/>
      <c r="F34" s="149"/>
      <c r="G34" s="149"/>
      <c r="H34" s="149"/>
      <c r="I34" s="149"/>
      <c r="J34" s="269"/>
      <c r="K34" s="269"/>
      <c r="L34" s="269"/>
    </row>
    <row r="35" spans="1:12" s="270" customFormat="1" ht="15.75">
      <c r="A35" s="269"/>
      <c r="B35" s="256"/>
      <c r="C35" s="257"/>
      <c r="D35" s="276"/>
      <c r="E35" s="258"/>
      <c r="F35" s="149"/>
      <c r="G35" s="149"/>
      <c r="H35" s="149"/>
      <c r="I35" s="149"/>
      <c r="J35" s="269"/>
      <c r="K35" s="269"/>
      <c r="L35" s="269"/>
    </row>
    <row r="36" spans="1:12" ht="15.75">
      <c r="A36" s="269"/>
      <c r="B36" s="269"/>
      <c r="C36" s="266"/>
      <c r="D36" s="266"/>
      <c r="E36" s="277"/>
      <c r="F36" s="533" t="s">
        <v>28</v>
      </c>
      <c r="G36" s="267">
        <f>SUM(G24:G35)</f>
        <v>0</v>
      </c>
      <c r="H36" s="267">
        <f>SUM(H24:H35)</f>
        <v>0</v>
      </c>
      <c r="I36" s="267">
        <f>SUM(I24:I35)</f>
        <v>0</v>
      </c>
      <c r="J36" s="245"/>
      <c r="K36" s="245"/>
      <c r="L36" s="278"/>
    </row>
    <row r="37" spans="1:12" ht="15.75">
      <c r="A37" s="269"/>
      <c r="B37" s="245"/>
      <c r="C37" s="245"/>
      <c r="D37" s="245"/>
      <c r="E37" s="245"/>
      <c r="F37" s="245"/>
      <c r="G37" s="245"/>
      <c r="H37" s="245"/>
      <c r="I37" s="245"/>
      <c r="J37" s="245"/>
      <c r="K37" s="245"/>
      <c r="L37" s="245"/>
    </row>
    <row r="38" spans="1:12" ht="15.75">
      <c r="A38" s="269"/>
      <c r="B38" s="279" t="s">
        <v>163</v>
      </c>
      <c r="C38" s="279"/>
      <c r="D38" s="279"/>
      <c r="E38" s="279"/>
      <c r="F38" s="279"/>
      <c r="G38" s="279"/>
      <c r="H38" s="279"/>
      <c r="I38" s="245"/>
      <c r="J38" s="245"/>
      <c r="K38" s="245"/>
      <c r="L38" s="245"/>
    </row>
    <row r="39" ht="15.75">
      <c r="B39" s="28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2" customWidth="1"/>
    <col min="2" max="4" width="8.796875" style="552" customWidth="1"/>
    <col min="5" max="5" width="8.69921875" style="552" customWidth="1"/>
    <col min="6" max="6" width="8.796875" style="552" customWidth="1"/>
    <col min="7" max="7" width="8.69921875" style="552" customWidth="1"/>
    <col min="8" max="16384" width="8.796875" style="552" customWidth="1"/>
  </cols>
  <sheetData>
    <row r="1" spans="2:9" ht="15.75">
      <c r="B1" s="551"/>
      <c r="C1" s="551"/>
      <c r="D1" s="551"/>
      <c r="E1" s="551"/>
      <c r="F1" s="551"/>
      <c r="G1" s="551"/>
      <c r="H1" s="551"/>
      <c r="I1" s="551"/>
    </row>
    <row r="2" spans="2:9" ht="15.75">
      <c r="B2" s="850" t="s">
        <v>771</v>
      </c>
      <c r="C2" s="850"/>
      <c r="D2" s="850"/>
      <c r="E2" s="850"/>
      <c r="F2" s="850"/>
      <c r="G2" s="850"/>
      <c r="H2" s="850"/>
      <c r="I2" s="850"/>
    </row>
    <row r="3" spans="2:9" ht="15.75">
      <c r="B3" s="850" t="s">
        <v>772</v>
      </c>
      <c r="C3" s="850"/>
      <c r="D3" s="850"/>
      <c r="E3" s="850"/>
      <c r="F3" s="850"/>
      <c r="G3" s="850"/>
      <c r="H3" s="850"/>
      <c r="I3" s="850"/>
    </row>
    <row r="4" spans="2:9" ht="15.75">
      <c r="B4" s="553"/>
      <c r="C4" s="553"/>
      <c r="D4" s="553"/>
      <c r="E4" s="553"/>
      <c r="F4" s="553"/>
      <c r="G4" s="553"/>
      <c r="H4" s="553"/>
      <c r="I4" s="553"/>
    </row>
    <row r="5" spans="2:9" ht="15.75">
      <c r="B5" s="851" t="str">
        <f>CONCATENATE("Budgeted Year: ",inputPrYr!D9,"")</f>
        <v>Budgeted Year: 2015</v>
      </c>
      <c r="C5" s="851"/>
      <c r="D5" s="851"/>
      <c r="E5" s="851"/>
      <c r="F5" s="851"/>
      <c r="G5" s="851"/>
      <c r="H5" s="851"/>
      <c r="I5" s="851"/>
    </row>
    <row r="6" spans="2:9" ht="15.75">
      <c r="B6" s="554"/>
      <c r="C6" s="553"/>
      <c r="D6" s="553"/>
      <c r="E6" s="553"/>
      <c r="F6" s="553"/>
      <c r="G6" s="553"/>
      <c r="H6" s="553"/>
      <c r="I6" s="553"/>
    </row>
    <row r="7" spans="2:9" ht="15.75">
      <c r="B7" s="554" t="str">
        <f>CONCATENATE("Library found in: ",inputPrYr!D3,"")</f>
        <v>Library found in: VIOLA TOWNSHIP</v>
      </c>
      <c r="C7" s="553"/>
      <c r="D7" s="553"/>
      <c r="E7" s="553"/>
      <c r="F7" s="553"/>
      <c r="G7" s="553"/>
      <c r="H7" s="553"/>
      <c r="I7" s="553"/>
    </row>
    <row r="8" spans="2:9" ht="15.75">
      <c r="B8" s="554" t="str">
        <f>inputPrYr!D4</f>
        <v>SEDGWICK COUNTY</v>
      </c>
      <c r="C8" s="553"/>
      <c r="D8" s="553"/>
      <c r="E8" s="553"/>
      <c r="F8" s="553"/>
      <c r="G8" s="553"/>
      <c r="H8" s="553"/>
      <c r="I8" s="553"/>
    </row>
    <row r="9" spans="2:9" ht="15.75">
      <c r="B9" s="553"/>
      <c r="C9" s="553"/>
      <c r="D9" s="553"/>
      <c r="E9" s="553"/>
      <c r="F9" s="553"/>
      <c r="G9" s="553"/>
      <c r="H9" s="553"/>
      <c r="I9" s="553"/>
    </row>
    <row r="10" spans="2:9" ht="39" customHeight="1">
      <c r="B10" s="852" t="s">
        <v>773</v>
      </c>
      <c r="C10" s="852"/>
      <c r="D10" s="852"/>
      <c r="E10" s="852"/>
      <c r="F10" s="852"/>
      <c r="G10" s="852"/>
      <c r="H10" s="852"/>
      <c r="I10" s="852"/>
    </row>
    <row r="11" spans="2:9" ht="15.75">
      <c r="B11" s="553"/>
      <c r="C11" s="553"/>
      <c r="D11" s="553"/>
      <c r="E11" s="553"/>
      <c r="F11" s="553"/>
      <c r="G11" s="553"/>
      <c r="H11" s="553"/>
      <c r="I11" s="553"/>
    </row>
    <row r="12" spans="2:9" ht="15.75">
      <c r="B12" s="555" t="s">
        <v>774</v>
      </c>
      <c r="C12" s="553"/>
      <c r="D12" s="553"/>
      <c r="E12" s="553"/>
      <c r="F12" s="553"/>
      <c r="G12" s="553"/>
      <c r="H12" s="553"/>
      <c r="I12" s="553"/>
    </row>
    <row r="13" spans="2:9" ht="15.75">
      <c r="B13" s="553"/>
      <c r="C13" s="553"/>
      <c r="D13" s="553"/>
      <c r="E13" s="556" t="s">
        <v>248</v>
      </c>
      <c r="F13" s="553"/>
      <c r="G13" s="556" t="s">
        <v>775</v>
      </c>
      <c r="H13" s="553"/>
      <c r="I13" s="553"/>
    </row>
    <row r="14" spans="2:9" ht="15.75">
      <c r="B14" s="553"/>
      <c r="C14" s="553"/>
      <c r="D14" s="553"/>
      <c r="E14" s="557">
        <f>inputPrYr!D9-1</f>
        <v>2014</v>
      </c>
      <c r="F14" s="553"/>
      <c r="G14" s="557">
        <f>inputPrYr!D9</f>
        <v>2015</v>
      </c>
      <c r="H14" s="553"/>
      <c r="I14" s="553"/>
    </row>
    <row r="15" spans="2:9" ht="15.75">
      <c r="B15" s="554" t="str">
        <f>'DebtSvs-Library'!B48</f>
        <v>Ad Valorem Tax</v>
      </c>
      <c r="C15" s="553"/>
      <c r="D15" s="553"/>
      <c r="E15" s="558">
        <f>'DebtSvs-Library'!D48</f>
        <v>2444</v>
      </c>
      <c r="F15" s="553"/>
      <c r="G15" s="558">
        <f>'DebtSvs-Library'!E80</f>
        <v>1919.9</v>
      </c>
      <c r="H15" s="553"/>
      <c r="I15" s="553"/>
    </row>
    <row r="16" spans="2:9" ht="15.75">
      <c r="B16" s="554" t="str">
        <f>'DebtSvs-Library'!B49</f>
        <v>Delinquent Tax</v>
      </c>
      <c r="C16" s="553"/>
      <c r="D16" s="553"/>
      <c r="E16" s="558">
        <f>'DebtSvs-Library'!D49</f>
        <v>0</v>
      </c>
      <c r="F16" s="553"/>
      <c r="G16" s="558">
        <f>'DebtSvs-Library'!E49</f>
        <v>0</v>
      </c>
      <c r="H16" s="553"/>
      <c r="I16" s="553"/>
    </row>
    <row r="17" spans="2:9" ht="15.75">
      <c r="B17" s="554" t="str">
        <f>'DebtSvs-Library'!B50</f>
        <v>Motor Vehicle Tax</v>
      </c>
      <c r="C17" s="553"/>
      <c r="D17" s="553"/>
      <c r="E17" s="558">
        <f>'DebtSvs-Library'!D50</f>
        <v>316</v>
      </c>
      <c r="F17" s="553"/>
      <c r="G17" s="558">
        <f>'DebtSvs-Library'!E50</f>
        <v>382</v>
      </c>
      <c r="H17" s="553"/>
      <c r="I17" s="553"/>
    </row>
    <row r="18" spans="2:9" ht="15.75">
      <c r="B18" s="554" t="str">
        <f>'DebtSvs-Library'!B51</f>
        <v>Recreational Vehicle Tax</v>
      </c>
      <c r="C18" s="553"/>
      <c r="D18" s="553"/>
      <c r="E18" s="558">
        <f>'DebtSvs-Library'!D51</f>
        <v>4</v>
      </c>
      <c r="F18" s="553"/>
      <c r="G18" s="558">
        <f>'DebtSvs-Library'!E51</f>
        <v>4</v>
      </c>
      <c r="H18" s="553"/>
      <c r="I18" s="553"/>
    </row>
    <row r="19" spans="2:9" ht="15.75">
      <c r="B19" s="554" t="str">
        <f>'DebtSvs-Library'!B52</f>
        <v>16/20M Vehicle Tax</v>
      </c>
      <c r="C19" s="553"/>
      <c r="D19" s="553"/>
      <c r="E19" s="558">
        <f>'DebtSvs-Library'!D52</f>
        <v>16</v>
      </c>
      <c r="F19" s="553"/>
      <c r="G19" s="558">
        <f>'DebtSvs-Library'!E52</f>
        <v>14</v>
      </c>
      <c r="H19" s="553"/>
      <c r="I19" s="553"/>
    </row>
    <row r="20" spans="2:9" ht="15.75">
      <c r="B20" s="553" t="s">
        <v>86</v>
      </c>
      <c r="C20" s="553"/>
      <c r="D20" s="553"/>
      <c r="E20" s="558">
        <v>0</v>
      </c>
      <c r="F20" s="553"/>
      <c r="G20" s="558">
        <v>0</v>
      </c>
      <c r="H20" s="553"/>
      <c r="I20" s="553"/>
    </row>
    <row r="21" spans="2:9" ht="15.75">
      <c r="B21" s="553"/>
      <c r="C21" s="553"/>
      <c r="D21" s="553"/>
      <c r="E21" s="558">
        <v>0</v>
      </c>
      <c r="F21" s="553"/>
      <c r="G21" s="558">
        <v>0</v>
      </c>
      <c r="H21" s="553"/>
      <c r="I21" s="553"/>
    </row>
    <row r="22" spans="2:9" ht="15.75">
      <c r="B22" s="553" t="s">
        <v>776</v>
      </c>
      <c r="C22" s="553"/>
      <c r="D22" s="553"/>
      <c r="E22" s="559">
        <f>SUM(E15:E21)</f>
        <v>2780</v>
      </c>
      <c r="F22" s="553"/>
      <c r="G22" s="559">
        <f>SUM(G15:G21)</f>
        <v>2319.9</v>
      </c>
      <c r="H22" s="553"/>
      <c r="I22" s="553"/>
    </row>
    <row r="23" spans="2:9" ht="15.75">
      <c r="B23" s="553" t="s">
        <v>777</v>
      </c>
      <c r="C23" s="553"/>
      <c r="D23" s="553"/>
      <c r="E23" s="560">
        <f>G22-E22</f>
        <v>-460.0999999999999</v>
      </c>
      <c r="F23" s="553"/>
      <c r="G23" s="561"/>
      <c r="H23" s="553"/>
      <c r="I23" s="553"/>
    </row>
    <row r="24" spans="2:9" ht="15.75">
      <c r="B24" s="553" t="s">
        <v>778</v>
      </c>
      <c r="C24" s="553"/>
      <c r="D24" s="562" t="str">
        <f>IF((G22-E22)&gt;0,"Qualify","Not Qualify")</f>
        <v>Not Qualify</v>
      </c>
      <c r="E24" s="553"/>
      <c r="F24" s="553"/>
      <c r="G24" s="553"/>
      <c r="H24" s="553"/>
      <c r="I24" s="553"/>
    </row>
    <row r="25" spans="2:9" ht="15.75">
      <c r="B25" s="553"/>
      <c r="C25" s="553"/>
      <c r="D25" s="553"/>
      <c r="E25" s="553"/>
      <c r="F25" s="553"/>
      <c r="G25" s="553"/>
      <c r="H25" s="553"/>
      <c r="I25" s="553"/>
    </row>
    <row r="26" spans="2:9" ht="15.75">
      <c r="B26" s="555" t="s">
        <v>779</v>
      </c>
      <c r="C26" s="553"/>
      <c r="D26" s="553"/>
      <c r="E26" s="553"/>
      <c r="F26" s="553"/>
      <c r="G26" s="553"/>
      <c r="H26" s="553"/>
      <c r="I26" s="553"/>
    </row>
    <row r="27" spans="2:9" ht="15.75">
      <c r="B27" s="553" t="s">
        <v>780</v>
      </c>
      <c r="C27" s="553"/>
      <c r="D27" s="553"/>
      <c r="E27" s="558">
        <f>summ!D40</f>
        <v>4096533</v>
      </c>
      <c r="F27" s="553"/>
      <c r="G27" s="558">
        <f>summ!F40</f>
        <v>4400523</v>
      </c>
      <c r="H27" s="553"/>
      <c r="I27" s="553"/>
    </row>
    <row r="28" spans="2:9" ht="15.75">
      <c r="B28" s="553" t="s">
        <v>781</v>
      </c>
      <c r="C28" s="553"/>
      <c r="D28" s="553"/>
      <c r="E28" s="563" t="str">
        <f>IF(G27-E27&gt;=0,"No","Yes")</f>
        <v>No</v>
      </c>
      <c r="F28" s="553"/>
      <c r="G28" s="553"/>
      <c r="H28" s="553"/>
      <c r="I28" s="553"/>
    </row>
    <row r="29" spans="2:9" ht="15.75">
      <c r="B29" s="553" t="s">
        <v>782</v>
      </c>
      <c r="C29" s="553"/>
      <c r="D29" s="553"/>
      <c r="E29" s="564">
        <f>summ!E20</f>
        <v>0.597</v>
      </c>
      <c r="F29" s="553"/>
      <c r="G29" s="564">
        <f>summ!H36</f>
        <v>15.561</v>
      </c>
      <c r="H29" s="553"/>
      <c r="I29" s="553"/>
    </row>
    <row r="30" spans="2:9" ht="15.75">
      <c r="B30" s="553" t="s">
        <v>783</v>
      </c>
      <c r="C30" s="553"/>
      <c r="D30" s="553"/>
      <c r="E30" s="565">
        <f>G29-E29</f>
        <v>14.964</v>
      </c>
      <c r="F30" s="553"/>
      <c r="G30" s="553"/>
      <c r="H30" s="553"/>
      <c r="I30" s="553"/>
    </row>
    <row r="31" spans="2:9" ht="15.75">
      <c r="B31" s="553" t="s">
        <v>778</v>
      </c>
      <c r="C31" s="553"/>
      <c r="D31" s="566" t="str">
        <f>IF(E30&gt;=0,"Qualify","Not Qualify")</f>
        <v>Qualify</v>
      </c>
      <c r="E31" s="553"/>
      <c r="F31" s="553"/>
      <c r="G31" s="553"/>
      <c r="H31" s="553"/>
      <c r="I31" s="553"/>
    </row>
    <row r="32" spans="2:9" ht="15.75">
      <c r="B32" s="553"/>
      <c r="C32" s="553"/>
      <c r="D32" s="553"/>
      <c r="E32" s="553"/>
      <c r="F32" s="553"/>
      <c r="G32" s="553"/>
      <c r="H32" s="553"/>
      <c r="I32" s="553"/>
    </row>
    <row r="33" spans="2:9" ht="15.75">
      <c r="B33" s="553" t="s">
        <v>784</v>
      </c>
      <c r="C33" s="553"/>
      <c r="D33" s="553"/>
      <c r="E33" s="553"/>
      <c r="F33" s="567" t="str">
        <f>IF(D24="Not Qualify",IF(D31="Not Qualify",IF(D31="Not Qualify","Not Qualify","Qualify"),"Qualify"),"Qualify")</f>
        <v>Qualify</v>
      </c>
      <c r="G33" s="553"/>
      <c r="H33" s="553"/>
      <c r="I33" s="553"/>
    </row>
    <row r="34" spans="2:9" ht="15.75">
      <c r="B34" s="553"/>
      <c r="C34" s="553"/>
      <c r="D34" s="553"/>
      <c r="E34" s="553"/>
      <c r="F34" s="553"/>
      <c r="G34" s="553"/>
      <c r="H34" s="553"/>
      <c r="I34" s="553"/>
    </row>
    <row r="35" spans="2:9" ht="15.75">
      <c r="B35" s="553"/>
      <c r="C35" s="553"/>
      <c r="D35" s="553"/>
      <c r="E35" s="553"/>
      <c r="F35" s="553"/>
      <c r="G35" s="553"/>
      <c r="H35" s="553"/>
      <c r="I35" s="553"/>
    </row>
    <row r="36" spans="2:9" ht="37.5" customHeight="1">
      <c r="B36" s="852" t="s">
        <v>785</v>
      </c>
      <c r="C36" s="852"/>
      <c r="D36" s="852"/>
      <c r="E36" s="852"/>
      <c r="F36" s="852"/>
      <c r="G36" s="852"/>
      <c r="H36" s="852"/>
      <c r="I36" s="852"/>
    </row>
    <row r="37" spans="2:9" ht="15.75">
      <c r="B37" s="553"/>
      <c r="C37" s="553"/>
      <c r="D37" s="553"/>
      <c r="E37" s="553"/>
      <c r="F37" s="553"/>
      <c r="G37" s="553"/>
      <c r="H37" s="553"/>
      <c r="I37" s="553"/>
    </row>
    <row r="38" spans="2:9" ht="15.75">
      <c r="B38" s="553"/>
      <c r="C38" s="553"/>
      <c r="D38" s="553"/>
      <c r="E38" s="553"/>
      <c r="F38" s="553"/>
      <c r="G38" s="553"/>
      <c r="H38" s="553"/>
      <c r="I38" s="553"/>
    </row>
    <row r="39" spans="2:9" ht="15.75">
      <c r="B39" s="553"/>
      <c r="C39" s="553"/>
      <c r="D39" s="553"/>
      <c r="E39" s="553"/>
      <c r="F39" s="553"/>
      <c r="G39" s="553"/>
      <c r="H39" s="553"/>
      <c r="I39" s="553"/>
    </row>
    <row r="40" spans="2:9" ht="15.75">
      <c r="B40" s="553"/>
      <c r="C40" s="553"/>
      <c r="D40" s="553"/>
      <c r="E40" s="568" t="s">
        <v>786</v>
      </c>
      <c r="F40" s="569">
        <v>6</v>
      </c>
      <c r="G40" s="553"/>
      <c r="H40" s="553"/>
      <c r="I40" s="553"/>
    </row>
    <row r="41" spans="2:9" ht="15.75">
      <c r="B41" s="553"/>
      <c r="C41" s="553"/>
      <c r="D41" s="553"/>
      <c r="E41" s="553"/>
      <c r="F41" s="553"/>
      <c r="G41" s="553"/>
      <c r="H41" s="553"/>
      <c r="I41" s="553"/>
    </row>
    <row r="42" spans="2:9" ht="15.75">
      <c r="B42" s="553"/>
      <c r="C42" s="553"/>
      <c r="D42" s="553"/>
      <c r="E42" s="553"/>
      <c r="F42" s="553"/>
      <c r="G42" s="553"/>
      <c r="H42" s="553"/>
      <c r="I42" s="553"/>
    </row>
    <row r="43" spans="2:9" ht="15.75">
      <c r="B43" s="853" t="s">
        <v>787</v>
      </c>
      <c r="C43" s="854"/>
      <c r="D43" s="854"/>
      <c r="E43" s="854"/>
      <c r="F43" s="854"/>
      <c r="G43" s="854"/>
      <c r="H43" s="854"/>
      <c r="I43" s="854"/>
    </row>
    <row r="44" spans="2:9" ht="15.75">
      <c r="B44" s="553"/>
      <c r="C44" s="553"/>
      <c r="D44" s="553"/>
      <c r="E44" s="553"/>
      <c r="F44" s="553"/>
      <c r="G44" s="553"/>
      <c r="H44" s="553"/>
      <c r="I44" s="553"/>
    </row>
    <row r="45" spans="2:9" ht="15.75">
      <c r="B45" s="570" t="s">
        <v>788</v>
      </c>
      <c r="C45" s="553"/>
      <c r="D45" s="553"/>
      <c r="E45" s="553"/>
      <c r="F45" s="553"/>
      <c r="G45" s="553"/>
      <c r="H45" s="553"/>
      <c r="I45" s="553"/>
    </row>
    <row r="46" spans="2:9" ht="15.75">
      <c r="B46" s="570" t="str">
        <f>CONCATENATE("sources in your ",G14," library fund is not equal to or greater than the amount from the same")</f>
        <v>sources in your 2015 library fund is not equal to or greater than the amount from the same</v>
      </c>
      <c r="C46" s="553"/>
      <c r="D46" s="553"/>
      <c r="E46" s="553"/>
      <c r="F46" s="553"/>
      <c r="G46" s="553"/>
      <c r="H46" s="553"/>
      <c r="I46" s="553"/>
    </row>
    <row r="47" spans="2:9" ht="15.75">
      <c r="B47" s="570" t="str">
        <f>CONCATENATE("sources in ",E14,".")</f>
        <v>sources in 2014.</v>
      </c>
      <c r="C47" s="551"/>
      <c r="D47" s="551"/>
      <c r="E47" s="551"/>
      <c r="F47" s="551"/>
      <c r="G47" s="551"/>
      <c r="H47" s="551"/>
      <c r="I47" s="551"/>
    </row>
    <row r="48" spans="2:9" ht="15.75">
      <c r="B48" s="551"/>
      <c r="C48" s="551"/>
      <c r="D48" s="551"/>
      <c r="E48" s="551"/>
      <c r="F48" s="551"/>
      <c r="G48" s="551"/>
      <c r="H48" s="551"/>
      <c r="I48" s="551"/>
    </row>
    <row r="49" spans="2:9" ht="15.75">
      <c r="B49" s="570" t="s">
        <v>789</v>
      </c>
      <c r="C49" s="570"/>
      <c r="D49" s="571"/>
      <c r="E49" s="571"/>
      <c r="F49" s="571"/>
      <c r="G49" s="571"/>
      <c r="H49" s="571"/>
      <c r="I49" s="571"/>
    </row>
    <row r="50" spans="2:9" ht="15.75">
      <c r="B50" s="570" t="s">
        <v>790</v>
      </c>
      <c r="C50" s="570"/>
      <c r="D50" s="571"/>
      <c r="E50" s="571"/>
      <c r="F50" s="571"/>
      <c r="G50" s="571"/>
      <c r="H50" s="571"/>
      <c r="I50" s="571"/>
    </row>
    <row r="51" spans="2:9" ht="15.75">
      <c r="B51" s="570" t="s">
        <v>791</v>
      </c>
      <c r="C51" s="570"/>
      <c r="D51" s="571"/>
      <c r="E51" s="571"/>
      <c r="F51" s="571"/>
      <c r="G51" s="571"/>
      <c r="H51" s="571"/>
      <c r="I51" s="571"/>
    </row>
    <row r="52" spans="2:9" ht="15">
      <c r="B52" s="571"/>
      <c r="C52" s="571"/>
      <c r="D52" s="571"/>
      <c r="E52" s="571"/>
      <c r="F52" s="571"/>
      <c r="G52" s="571"/>
      <c r="H52" s="571"/>
      <c r="I52" s="571"/>
    </row>
    <row r="53" spans="2:9" ht="15.75">
      <c r="B53" s="572" t="s">
        <v>792</v>
      </c>
      <c r="C53" s="571"/>
      <c r="D53" s="571"/>
      <c r="E53" s="571"/>
      <c r="F53" s="571"/>
      <c r="G53" s="571"/>
      <c r="H53" s="571"/>
      <c r="I53" s="571"/>
    </row>
    <row r="54" spans="2:9" ht="15">
      <c r="B54" s="571"/>
      <c r="C54" s="571"/>
      <c r="D54" s="571"/>
      <c r="E54" s="571"/>
      <c r="F54" s="571"/>
      <c r="G54" s="571"/>
      <c r="H54" s="571"/>
      <c r="I54" s="571"/>
    </row>
    <row r="55" spans="2:9" ht="15.75">
      <c r="B55" s="570" t="s">
        <v>793</v>
      </c>
      <c r="C55" s="571"/>
      <c r="D55" s="571"/>
      <c r="E55" s="571"/>
      <c r="F55" s="571"/>
      <c r="G55" s="571"/>
      <c r="H55" s="571"/>
      <c r="I55" s="571"/>
    </row>
    <row r="56" spans="2:9" ht="15.75">
      <c r="B56" s="570" t="s">
        <v>794</v>
      </c>
      <c r="C56" s="571"/>
      <c r="D56" s="571"/>
      <c r="E56" s="571"/>
      <c r="F56" s="571"/>
      <c r="G56" s="571"/>
      <c r="H56" s="571"/>
      <c r="I56" s="571"/>
    </row>
    <row r="57" spans="2:9" ht="15">
      <c r="B57" s="571"/>
      <c r="C57" s="571"/>
      <c r="D57" s="571"/>
      <c r="E57" s="571"/>
      <c r="F57" s="571"/>
      <c r="G57" s="571"/>
      <c r="H57" s="571"/>
      <c r="I57" s="571"/>
    </row>
    <row r="58" spans="2:9" ht="15.75">
      <c r="B58" s="572" t="s">
        <v>795</v>
      </c>
      <c r="C58" s="570"/>
      <c r="D58" s="570"/>
      <c r="E58" s="570"/>
      <c r="F58" s="570"/>
      <c r="G58" s="571"/>
      <c r="H58" s="571"/>
      <c r="I58" s="571"/>
    </row>
    <row r="59" spans="2:9" ht="15.75">
      <c r="B59" s="570"/>
      <c r="C59" s="570"/>
      <c r="D59" s="570"/>
      <c r="E59" s="570"/>
      <c r="F59" s="570"/>
      <c r="G59" s="571"/>
      <c r="H59" s="571"/>
      <c r="I59" s="571"/>
    </row>
    <row r="60" spans="2:9" ht="15.75">
      <c r="B60" s="570" t="s">
        <v>796</v>
      </c>
      <c r="C60" s="570"/>
      <c r="D60" s="570"/>
      <c r="E60" s="570"/>
      <c r="F60" s="570"/>
      <c r="G60" s="571"/>
      <c r="H60" s="571"/>
      <c r="I60" s="571"/>
    </row>
    <row r="61" spans="2:9" ht="15.75">
      <c r="B61" s="570" t="s">
        <v>797</v>
      </c>
      <c r="C61" s="570"/>
      <c r="D61" s="570"/>
      <c r="E61" s="570"/>
      <c r="F61" s="570"/>
      <c r="G61" s="571"/>
      <c r="H61" s="571"/>
      <c r="I61" s="571"/>
    </row>
    <row r="62" spans="2:9" ht="15.75">
      <c r="B62" s="570" t="s">
        <v>798</v>
      </c>
      <c r="C62" s="570"/>
      <c r="D62" s="570"/>
      <c r="E62" s="570"/>
      <c r="F62" s="570"/>
      <c r="G62" s="571"/>
      <c r="H62" s="571"/>
      <c r="I62" s="571"/>
    </row>
    <row r="63" spans="2:9" ht="15.75">
      <c r="B63" s="570" t="s">
        <v>799</v>
      </c>
      <c r="C63" s="570"/>
      <c r="D63" s="570"/>
      <c r="E63" s="570"/>
      <c r="F63" s="570"/>
      <c r="G63" s="571"/>
      <c r="H63" s="571"/>
      <c r="I63" s="571"/>
    </row>
    <row r="64" spans="2:9" ht="15">
      <c r="B64" s="573"/>
      <c r="C64" s="573"/>
      <c r="D64" s="573"/>
      <c r="E64" s="573"/>
      <c r="F64" s="573"/>
      <c r="G64" s="571"/>
      <c r="H64" s="571"/>
      <c r="I64" s="571"/>
    </row>
    <row r="65" spans="2:9" ht="15.75">
      <c r="B65" s="570" t="s">
        <v>800</v>
      </c>
      <c r="C65" s="573"/>
      <c r="D65" s="573"/>
      <c r="E65" s="573"/>
      <c r="F65" s="573"/>
      <c r="G65" s="571"/>
      <c r="H65" s="571"/>
      <c r="I65" s="571"/>
    </row>
    <row r="66" spans="2:9" ht="15.75">
      <c r="B66" s="570" t="s">
        <v>801</v>
      </c>
      <c r="C66" s="573"/>
      <c r="D66" s="573"/>
      <c r="E66" s="573"/>
      <c r="F66" s="573"/>
      <c r="G66" s="571"/>
      <c r="H66" s="571"/>
      <c r="I66" s="571"/>
    </row>
    <row r="67" spans="2:9" ht="15">
      <c r="B67" s="573"/>
      <c r="C67" s="573"/>
      <c r="D67" s="573"/>
      <c r="E67" s="573"/>
      <c r="F67" s="573"/>
      <c r="G67" s="571"/>
      <c r="H67" s="571"/>
      <c r="I67" s="571"/>
    </row>
    <row r="68" spans="2:9" ht="15.75">
      <c r="B68" s="570" t="s">
        <v>802</v>
      </c>
      <c r="C68" s="573"/>
      <c r="D68" s="573"/>
      <c r="E68" s="573"/>
      <c r="F68" s="573"/>
      <c r="G68" s="571"/>
      <c r="H68" s="571"/>
      <c r="I68" s="571"/>
    </row>
    <row r="69" spans="2:9" ht="15.75">
      <c r="B69" s="570" t="s">
        <v>803</v>
      </c>
      <c r="C69" s="573"/>
      <c r="D69" s="573"/>
      <c r="E69" s="573"/>
      <c r="F69" s="573"/>
      <c r="G69" s="571"/>
      <c r="H69" s="571"/>
      <c r="I69" s="571"/>
    </row>
    <row r="70" spans="2:9" ht="15">
      <c r="B70" s="573"/>
      <c r="C70" s="573"/>
      <c r="D70" s="573"/>
      <c r="E70" s="573"/>
      <c r="F70" s="573"/>
      <c r="G70" s="571"/>
      <c r="H70" s="571"/>
      <c r="I70" s="571"/>
    </row>
    <row r="71" spans="2:9" ht="15.75">
      <c r="B71" s="572" t="s">
        <v>804</v>
      </c>
      <c r="C71" s="573"/>
      <c r="D71" s="573"/>
      <c r="E71" s="573"/>
      <c r="F71" s="573"/>
      <c r="G71" s="571"/>
      <c r="H71" s="571"/>
      <c r="I71" s="571"/>
    </row>
    <row r="72" spans="2:9" ht="15">
      <c r="B72" s="573"/>
      <c r="C72" s="573"/>
      <c r="D72" s="573"/>
      <c r="E72" s="573"/>
      <c r="F72" s="573"/>
      <c r="G72" s="571"/>
      <c r="H72" s="571"/>
      <c r="I72" s="571"/>
    </row>
    <row r="73" spans="2:9" ht="15.75">
      <c r="B73" s="570" t="s">
        <v>805</v>
      </c>
      <c r="C73" s="573"/>
      <c r="D73" s="573"/>
      <c r="E73" s="573"/>
      <c r="F73" s="573"/>
      <c r="G73" s="571"/>
      <c r="H73" s="571"/>
      <c r="I73" s="571"/>
    </row>
    <row r="74" spans="2:9" ht="15.75">
      <c r="B74" s="570" t="s">
        <v>806</v>
      </c>
      <c r="C74" s="573"/>
      <c r="D74" s="573"/>
      <c r="E74" s="573"/>
      <c r="F74" s="573"/>
      <c r="G74" s="571"/>
      <c r="H74" s="571"/>
      <c r="I74" s="571"/>
    </row>
    <row r="75" spans="2:9" ht="15">
      <c r="B75" s="573"/>
      <c r="C75" s="573"/>
      <c r="D75" s="573"/>
      <c r="E75" s="573"/>
      <c r="F75" s="573"/>
      <c r="G75" s="571"/>
      <c r="H75" s="571"/>
      <c r="I75" s="571"/>
    </row>
    <row r="76" spans="2:9" ht="15.75">
      <c r="B76" s="572" t="s">
        <v>807</v>
      </c>
      <c r="C76" s="573"/>
      <c r="D76" s="573"/>
      <c r="E76" s="573"/>
      <c r="F76" s="573"/>
      <c r="G76" s="571"/>
      <c r="H76" s="571"/>
      <c r="I76" s="571"/>
    </row>
    <row r="77" spans="2:9" ht="15">
      <c r="B77" s="573"/>
      <c r="C77" s="573"/>
      <c r="D77" s="573"/>
      <c r="E77" s="573"/>
      <c r="F77" s="573"/>
      <c r="G77" s="571"/>
      <c r="H77" s="571"/>
      <c r="I77" s="571"/>
    </row>
    <row r="78" spans="2:9" ht="15.75">
      <c r="B78" s="570" t="str">
        <f>CONCATENATE("If the ",G14," municipal budget has not been published and has not been submitted to the County")</f>
        <v>If the 2015 municipal budget has not been published and has not been submitted to the County</v>
      </c>
      <c r="C78" s="573"/>
      <c r="D78" s="573"/>
      <c r="E78" s="573"/>
      <c r="F78" s="573"/>
      <c r="G78" s="571"/>
      <c r="H78" s="571"/>
      <c r="I78" s="571"/>
    </row>
    <row r="79" spans="2:9" ht="15.75">
      <c r="B79" s="570" t="s">
        <v>808</v>
      </c>
      <c r="C79" s="573"/>
      <c r="D79" s="573"/>
      <c r="E79" s="573"/>
      <c r="F79" s="573"/>
      <c r="G79" s="571"/>
      <c r="H79" s="571"/>
      <c r="I79" s="571"/>
    </row>
    <row r="80" spans="2:9" ht="15">
      <c r="B80" s="573"/>
      <c r="C80" s="573"/>
      <c r="D80" s="573"/>
      <c r="E80" s="573"/>
      <c r="F80" s="573"/>
      <c r="G80" s="571"/>
      <c r="H80" s="571"/>
      <c r="I80" s="571"/>
    </row>
    <row r="81" spans="2:9" ht="15.75">
      <c r="B81" s="572" t="s">
        <v>387</v>
      </c>
      <c r="C81" s="573"/>
      <c r="D81" s="573"/>
      <c r="E81" s="573"/>
      <c r="F81" s="573"/>
      <c r="G81" s="571"/>
      <c r="H81" s="571"/>
      <c r="I81" s="571"/>
    </row>
    <row r="82" spans="2:9" ht="15">
      <c r="B82" s="573"/>
      <c r="C82" s="573"/>
      <c r="D82" s="573"/>
      <c r="E82" s="573"/>
      <c r="F82" s="573"/>
      <c r="G82" s="571"/>
      <c r="H82" s="571"/>
      <c r="I82" s="571"/>
    </row>
    <row r="83" spans="2:9" ht="15.75">
      <c r="B83" s="570" t="s">
        <v>809</v>
      </c>
      <c r="C83" s="573"/>
      <c r="D83" s="573"/>
      <c r="E83" s="573"/>
      <c r="F83" s="573"/>
      <c r="G83" s="571"/>
      <c r="H83" s="571"/>
      <c r="I83" s="571"/>
    </row>
    <row r="84" spans="2:9" ht="15.75">
      <c r="B84" s="570" t="str">
        <f>CONCATENATE("Budget Year ",G14," is equal to or greater than that for Current Year Estimate ",E14,".")</f>
        <v>Budget Year 2015 is equal to or greater than that for Current Year Estimate 2014.</v>
      </c>
      <c r="C84" s="573"/>
      <c r="D84" s="573"/>
      <c r="E84" s="573"/>
      <c r="F84" s="573"/>
      <c r="G84" s="571"/>
      <c r="H84" s="571"/>
      <c r="I84" s="571"/>
    </row>
    <row r="85" spans="2:9" ht="15">
      <c r="B85" s="573"/>
      <c r="C85" s="573"/>
      <c r="D85" s="573"/>
      <c r="E85" s="573"/>
      <c r="F85" s="573"/>
      <c r="G85" s="571"/>
      <c r="H85" s="571"/>
      <c r="I85" s="571"/>
    </row>
    <row r="86" spans="2:9" ht="15.75">
      <c r="B86" s="570" t="s">
        <v>810</v>
      </c>
      <c r="C86" s="573"/>
      <c r="D86" s="573"/>
      <c r="E86" s="573"/>
      <c r="F86" s="573"/>
      <c r="G86" s="571"/>
      <c r="H86" s="571"/>
      <c r="I86" s="571"/>
    </row>
    <row r="87" spans="2:9" ht="15.75">
      <c r="B87" s="570" t="s">
        <v>811</v>
      </c>
      <c r="C87" s="573"/>
      <c r="D87" s="573"/>
      <c r="E87" s="573"/>
      <c r="F87" s="573"/>
      <c r="G87" s="571"/>
      <c r="H87" s="571"/>
      <c r="I87" s="571"/>
    </row>
    <row r="88" spans="2:9" ht="15.75">
      <c r="B88" s="570" t="s">
        <v>812</v>
      </c>
      <c r="C88" s="573"/>
      <c r="D88" s="573"/>
      <c r="E88" s="573"/>
      <c r="F88" s="573"/>
      <c r="G88" s="571"/>
      <c r="H88" s="571"/>
      <c r="I88" s="571"/>
    </row>
    <row r="89" spans="2:9" ht="15.75">
      <c r="B89" s="570" t="str">
        <f>CONCATENATE("purpose for the previous (",E14,") year.")</f>
        <v>purpose for the previous (2014) year.</v>
      </c>
      <c r="C89" s="573"/>
      <c r="D89" s="573"/>
      <c r="E89" s="573"/>
      <c r="F89" s="573"/>
      <c r="G89" s="571"/>
      <c r="H89" s="571"/>
      <c r="I89" s="571"/>
    </row>
    <row r="90" spans="2:9" ht="15">
      <c r="B90" s="573"/>
      <c r="C90" s="573"/>
      <c r="D90" s="573"/>
      <c r="E90" s="573"/>
      <c r="F90" s="573"/>
      <c r="G90" s="571"/>
      <c r="H90" s="571"/>
      <c r="I90" s="571"/>
    </row>
    <row r="91" spans="2:9" ht="15.75">
      <c r="B91" s="570" t="str">
        <f>CONCATENATE("Next, look to see if delinquent tax for ",G14," is budgeted. Often this line is budgeted at $0 or left")</f>
        <v>Next, look to see if delinquent tax for 2015 is budgeted. Often this line is budgeted at $0 or left</v>
      </c>
      <c r="C91" s="573"/>
      <c r="D91" s="573"/>
      <c r="E91" s="573"/>
      <c r="F91" s="573"/>
      <c r="G91" s="571"/>
      <c r="H91" s="571"/>
      <c r="I91" s="571"/>
    </row>
    <row r="92" spans="2:9" ht="15.75">
      <c r="B92" s="570" t="s">
        <v>813</v>
      </c>
      <c r="C92" s="573"/>
      <c r="D92" s="573"/>
      <c r="E92" s="573"/>
      <c r="F92" s="573"/>
      <c r="G92" s="571"/>
      <c r="H92" s="571"/>
      <c r="I92" s="571"/>
    </row>
    <row r="93" spans="2:9" ht="15.75">
      <c r="B93" s="570" t="s">
        <v>814</v>
      </c>
      <c r="C93" s="573"/>
      <c r="D93" s="573"/>
      <c r="E93" s="573"/>
      <c r="F93" s="573"/>
      <c r="G93" s="571"/>
      <c r="H93" s="571"/>
      <c r="I93" s="571"/>
    </row>
    <row r="94" spans="2:9" ht="15.75">
      <c r="B94" s="570" t="s">
        <v>815</v>
      </c>
      <c r="C94" s="573"/>
      <c r="D94" s="573"/>
      <c r="E94" s="573"/>
      <c r="F94" s="573"/>
      <c r="G94" s="571"/>
      <c r="H94" s="571"/>
      <c r="I94" s="571"/>
    </row>
    <row r="95" spans="2:9" ht="15">
      <c r="B95" s="573"/>
      <c r="C95" s="573"/>
      <c r="D95" s="573"/>
      <c r="E95" s="573"/>
      <c r="F95" s="573"/>
      <c r="G95" s="571"/>
      <c r="H95" s="571"/>
      <c r="I95" s="571"/>
    </row>
    <row r="96" spans="2:9" ht="15.75">
      <c r="B96" s="572" t="s">
        <v>816</v>
      </c>
      <c r="C96" s="573"/>
      <c r="D96" s="573"/>
      <c r="E96" s="573"/>
      <c r="F96" s="573"/>
      <c r="G96" s="571"/>
      <c r="H96" s="571"/>
      <c r="I96" s="571"/>
    </row>
    <row r="97" spans="2:9" ht="15">
      <c r="B97" s="573"/>
      <c r="C97" s="573"/>
      <c r="D97" s="573"/>
      <c r="E97" s="573"/>
      <c r="F97" s="573"/>
      <c r="G97" s="571"/>
      <c r="H97" s="571"/>
      <c r="I97" s="571"/>
    </row>
    <row r="98" spans="2:9" ht="15.75">
      <c r="B98" s="570" t="s">
        <v>817</v>
      </c>
      <c r="C98" s="573"/>
      <c r="D98" s="573"/>
      <c r="E98" s="573"/>
      <c r="F98" s="573"/>
      <c r="G98" s="571"/>
      <c r="H98" s="571"/>
      <c r="I98" s="571"/>
    </row>
    <row r="99" spans="2:9" ht="15.75">
      <c r="B99" s="570" t="s">
        <v>818</v>
      </c>
      <c r="C99" s="573"/>
      <c r="D99" s="573"/>
      <c r="E99" s="573"/>
      <c r="F99" s="573"/>
      <c r="G99" s="571"/>
      <c r="H99" s="571"/>
      <c r="I99" s="571"/>
    </row>
    <row r="100" spans="2:9" ht="15">
      <c r="B100" s="573"/>
      <c r="C100" s="573"/>
      <c r="D100" s="573"/>
      <c r="E100" s="573"/>
      <c r="F100" s="573"/>
      <c r="G100" s="571"/>
      <c r="H100" s="571"/>
      <c r="I100" s="571"/>
    </row>
    <row r="101" spans="2:9" ht="15.75">
      <c r="B101" s="570" t="s">
        <v>819</v>
      </c>
      <c r="C101" s="573"/>
      <c r="D101" s="573"/>
      <c r="E101" s="573"/>
      <c r="F101" s="573"/>
      <c r="G101" s="571"/>
      <c r="H101" s="571"/>
      <c r="I101" s="571"/>
    </row>
    <row r="102" spans="2:9" ht="15.75">
      <c r="B102" s="570" t="s">
        <v>820</v>
      </c>
      <c r="C102" s="573"/>
      <c r="D102" s="573"/>
      <c r="E102" s="573"/>
      <c r="F102" s="573"/>
      <c r="G102" s="571"/>
      <c r="H102" s="571"/>
      <c r="I102" s="571"/>
    </row>
    <row r="103" spans="2:9" ht="15.75">
      <c r="B103" s="570" t="s">
        <v>821</v>
      </c>
      <c r="C103" s="573"/>
      <c r="D103" s="573"/>
      <c r="E103" s="573"/>
      <c r="F103" s="573"/>
      <c r="G103" s="571"/>
      <c r="H103" s="571"/>
      <c r="I103" s="571"/>
    </row>
    <row r="104" spans="2:9" ht="15.75">
      <c r="B104" s="570" t="s">
        <v>822</v>
      </c>
      <c r="C104" s="573"/>
      <c r="D104" s="573"/>
      <c r="E104" s="573"/>
      <c r="F104" s="573"/>
      <c r="G104" s="571"/>
      <c r="H104" s="571"/>
      <c r="I104" s="571"/>
    </row>
    <row r="105" spans="2:9" ht="15.75">
      <c r="B105" s="702" t="s">
        <v>899</v>
      </c>
      <c r="C105" s="703"/>
      <c r="D105" s="703"/>
      <c r="E105" s="703"/>
      <c r="F105" s="703"/>
      <c r="G105" s="571"/>
      <c r="H105" s="571"/>
      <c r="I105" s="571"/>
    </row>
    <row r="108" ht="15">
      <c r="G108" s="57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130" zoomScaleNormal="130" zoomScalePageLayoutView="0" workbookViewId="0" topLeftCell="B1">
      <selection activeCell="B13" sqref="B13"/>
    </sheetView>
  </sheetViews>
  <sheetFormatPr defaultColWidth="8.796875" defaultRowHeight="15.75"/>
  <cols>
    <col min="1" max="1" width="2.3984375" style="135" customWidth="1"/>
    <col min="2" max="2" width="31" style="135" customWidth="1"/>
    <col min="3" max="4" width="15.69921875" style="135" customWidth="1"/>
    <col min="5" max="5" width="13.69921875" style="135" customWidth="1"/>
    <col min="6" max="6" width="8.796875" style="135" customWidth="1"/>
    <col min="7" max="7" width="7" style="135" customWidth="1"/>
    <col min="8" max="8" width="8.796875" style="135" customWidth="1"/>
    <col min="9" max="9" width="4.8984375" style="135" customWidth="1"/>
    <col min="10" max="10" width="7.69921875" style="135" customWidth="1"/>
    <col min="11" max="16384" width="8.796875" style="135" customWidth="1"/>
  </cols>
  <sheetData>
    <row r="1" spans="2:5" ht="15.75">
      <c r="B1" s="200" t="str">
        <f>inputPrYr!D3</f>
        <v>VIOLA TOWNSHIP</v>
      </c>
      <c r="C1" s="46"/>
      <c r="D1" s="46"/>
      <c r="E1" s="201">
        <f>inputPrYr!D9</f>
        <v>2015</v>
      </c>
    </row>
    <row r="2" spans="2:5" ht="15.75">
      <c r="B2" s="510" t="s">
        <v>733</v>
      </c>
      <c r="C2" s="46"/>
      <c r="D2" s="46"/>
      <c r="E2" s="281"/>
    </row>
    <row r="3" spans="2:5" ht="15.75">
      <c r="B3" s="46"/>
      <c r="C3" s="59"/>
      <c r="D3" s="59"/>
      <c r="E3" s="282"/>
    </row>
    <row r="4" spans="2:5" ht="15.75">
      <c r="B4" s="53" t="s">
        <v>246</v>
      </c>
      <c r="C4" s="356" t="s">
        <v>247</v>
      </c>
      <c r="D4" s="359" t="s">
        <v>248</v>
      </c>
      <c r="E4" s="55" t="s">
        <v>249</v>
      </c>
    </row>
    <row r="5" spans="2:5" ht="15.75">
      <c r="B5" s="452" t="str">
        <f>inputPrYr!B20</f>
        <v>General</v>
      </c>
      <c r="C5" s="357" t="str">
        <f>CONCATENATE("Actual for ",$E$1-2,"")</f>
        <v>Actual for 2013</v>
      </c>
      <c r="D5" s="357" t="str">
        <f>CONCATENATE("Estimate for ",$E$1-1,"")</f>
        <v>Estimate for 2014</v>
      </c>
      <c r="E5" s="60" t="str">
        <f>CONCATENATE("Year for ",$E$1,"")</f>
        <v>Year for 2015</v>
      </c>
    </row>
    <row r="6" spans="2:5" ht="15.75">
      <c r="B6" s="61" t="s">
        <v>60</v>
      </c>
      <c r="C6" s="283">
        <v>0</v>
      </c>
      <c r="D6" s="358">
        <f>C51</f>
        <v>0</v>
      </c>
      <c r="E6" s="236">
        <f>D51</f>
        <v>0</v>
      </c>
    </row>
    <row r="7" spans="2:5" ht="15.75">
      <c r="B7" s="61" t="s">
        <v>62</v>
      </c>
      <c r="C7" s="358"/>
      <c r="D7" s="358"/>
      <c r="E7" s="285"/>
    </row>
    <row r="8" spans="2:5" ht="15.75">
      <c r="B8" s="61" t="s">
        <v>252</v>
      </c>
      <c r="C8" s="283">
        <f>263.82+8646.64+780.34</f>
        <v>9690.8</v>
      </c>
      <c r="D8" s="358">
        <f>IF(inputPrYr!H19&gt;0,inputPrYr!G20,inputPrYr!E20)</f>
        <v>12507</v>
      </c>
      <c r="E8" s="285" t="s">
        <v>231</v>
      </c>
    </row>
    <row r="9" spans="2:5" ht="15.75">
      <c r="B9" s="61" t="s">
        <v>253</v>
      </c>
      <c r="C9" s="283">
        <v>169.58</v>
      </c>
      <c r="D9" s="283">
        <v>0</v>
      </c>
      <c r="E9" s="149"/>
    </row>
    <row r="10" spans="2:5" ht="15.75">
      <c r="B10" s="61" t="s">
        <v>254</v>
      </c>
      <c r="C10" s="283">
        <v>1624.89</v>
      </c>
      <c r="D10" s="283">
        <v>1429</v>
      </c>
      <c r="E10" s="236">
        <f>mvalloc!G11</f>
        <v>1953.6299999999992</v>
      </c>
    </row>
    <row r="11" spans="2:5" ht="15.75">
      <c r="B11" s="61" t="s">
        <v>255</v>
      </c>
      <c r="C11" s="283">
        <v>19.32</v>
      </c>
      <c r="D11" s="283">
        <v>19</v>
      </c>
      <c r="E11" s="236">
        <f>mvalloc!I11</f>
        <v>20.679999999999993</v>
      </c>
    </row>
    <row r="12" spans="2:5" ht="15.75">
      <c r="B12" s="286" t="s">
        <v>21</v>
      </c>
      <c r="C12" s="283">
        <v>61.35</v>
      </c>
      <c r="D12" s="283">
        <v>75</v>
      </c>
      <c r="E12" s="236">
        <f>mvalloc!J11</f>
        <v>73.18</v>
      </c>
    </row>
    <row r="13" spans="2:5" ht="15.75">
      <c r="B13" s="286" t="s">
        <v>86</v>
      </c>
      <c r="C13" s="283">
        <v>0</v>
      </c>
      <c r="D13" s="283">
        <v>0</v>
      </c>
      <c r="E13" s="236">
        <f>inputOth!E71</f>
        <v>0</v>
      </c>
    </row>
    <row r="14" spans="2:5" ht="15.75">
      <c r="B14" s="61" t="s">
        <v>256</v>
      </c>
      <c r="C14" s="283">
        <v>0</v>
      </c>
      <c r="D14" s="283">
        <v>0</v>
      </c>
      <c r="E14" s="236">
        <f>inputOth!E32</f>
        <v>0</v>
      </c>
    </row>
    <row r="15" spans="2:5" ht="15.75">
      <c r="B15" s="288" t="s">
        <v>968</v>
      </c>
      <c r="C15" s="283">
        <v>0</v>
      </c>
      <c r="D15" s="283">
        <v>0</v>
      </c>
      <c r="E15" s="149">
        <f>18.64+2.27+7.9</f>
        <v>28.810000000000002</v>
      </c>
    </row>
    <row r="16" spans="2:5" ht="15.75">
      <c r="B16" s="287"/>
      <c r="C16" s="283"/>
      <c r="D16" s="283"/>
      <c r="E16" s="149"/>
    </row>
    <row r="17" spans="2:5" ht="15.75">
      <c r="B17" s="287"/>
      <c r="C17" s="283"/>
      <c r="D17" s="283"/>
      <c r="E17" s="149"/>
    </row>
    <row r="18" spans="2:5" ht="15.75">
      <c r="B18" s="288"/>
      <c r="C18" s="283"/>
      <c r="D18" s="283"/>
      <c r="E18" s="149"/>
    </row>
    <row r="19" spans="2:5" ht="15.75">
      <c r="B19" s="288"/>
      <c r="C19" s="283"/>
      <c r="D19" s="283"/>
      <c r="E19" s="149"/>
    </row>
    <row r="20" spans="2:5" ht="15.75">
      <c r="B20" s="288"/>
      <c r="C20" s="283"/>
      <c r="D20" s="283"/>
      <c r="E20" s="149"/>
    </row>
    <row r="21" spans="2:5" ht="15.75">
      <c r="B21" s="288"/>
      <c r="C21" s="283"/>
      <c r="D21" s="283"/>
      <c r="E21" s="149"/>
    </row>
    <row r="22" spans="2:5" ht="15.75">
      <c r="B22" s="287"/>
      <c r="C22" s="283"/>
      <c r="D22" s="283"/>
      <c r="E22" s="149"/>
    </row>
    <row r="23" spans="2:5" ht="15.75">
      <c r="B23" s="288" t="s">
        <v>258</v>
      </c>
      <c r="C23" s="283"/>
      <c r="D23" s="283"/>
      <c r="E23" s="149"/>
    </row>
    <row r="24" spans="2:5" ht="15.75">
      <c r="B24" s="289" t="s">
        <v>204</v>
      </c>
      <c r="C24" s="283"/>
      <c r="D24" s="283"/>
      <c r="E24" s="149"/>
    </row>
    <row r="25" spans="2:5" ht="15.75">
      <c r="B25" s="289" t="s">
        <v>205</v>
      </c>
      <c r="C25" s="360">
        <f>IF(C26*0.1&lt;C24,"Exceed 10% Rule","")</f>
      </c>
      <c r="D25" s="360">
        <f>IF(D26*0.1&lt;D24,"Exceed 10% Rule","")</f>
      </c>
      <c r="E25" s="293">
        <f>IF(E26*0.1+E57&lt;E24,"Exceed 10% Rule","")</f>
      </c>
    </row>
    <row r="26" spans="2:5" ht="15.75">
      <c r="B26" s="291" t="s">
        <v>259</v>
      </c>
      <c r="C26" s="361">
        <f>SUM(C8:C24)</f>
        <v>11565.939999999999</v>
      </c>
      <c r="D26" s="361">
        <f>SUM(D8:D24)</f>
        <v>14030</v>
      </c>
      <c r="E26" s="292">
        <f>SUM(E8:E24)</f>
        <v>2076.2999999999993</v>
      </c>
    </row>
    <row r="27" spans="2:5" ht="15.75">
      <c r="B27" s="79" t="s">
        <v>260</v>
      </c>
      <c r="C27" s="361">
        <f>C26+C6</f>
        <v>11565.939999999999</v>
      </c>
      <c r="D27" s="361">
        <f>D26+D6</f>
        <v>14030</v>
      </c>
      <c r="E27" s="292">
        <f>E26+E6</f>
        <v>2076.2999999999993</v>
      </c>
    </row>
    <row r="28" spans="2:5" ht="15.75">
      <c r="B28" s="61" t="s">
        <v>261</v>
      </c>
      <c r="C28" s="358"/>
      <c r="D28" s="358"/>
      <c r="E28" s="236"/>
    </row>
    <row r="29" spans="2:5" ht="15.75">
      <c r="B29" s="287"/>
      <c r="C29" s="283"/>
      <c r="D29" s="283"/>
      <c r="E29" s="149"/>
    </row>
    <row r="30" spans="2:5" ht="15.75">
      <c r="B30" s="288" t="s">
        <v>53</v>
      </c>
      <c r="C30" s="283">
        <v>3600</v>
      </c>
      <c r="D30" s="283">
        <v>3600</v>
      </c>
      <c r="E30" s="149">
        <v>3600</v>
      </c>
    </row>
    <row r="31" spans="2:5" ht="15.75">
      <c r="B31" s="288" t="s">
        <v>963</v>
      </c>
      <c r="C31" s="283"/>
      <c r="D31" s="149">
        <v>4500</v>
      </c>
      <c r="E31" s="149">
        <v>4500</v>
      </c>
    </row>
    <row r="32" spans="2:5" ht="15.75">
      <c r="B32" s="288" t="s">
        <v>54</v>
      </c>
      <c r="C32" s="283"/>
      <c r="D32" s="149">
        <v>100</v>
      </c>
      <c r="E32" s="149">
        <v>100</v>
      </c>
    </row>
    <row r="33" spans="2:5" ht="15.75">
      <c r="B33" s="288" t="s">
        <v>964</v>
      </c>
      <c r="C33" s="283">
        <f>112.5+140.63+46+46</f>
        <v>345.13</v>
      </c>
      <c r="D33" s="149">
        <v>1000</v>
      </c>
      <c r="E33" s="149">
        <v>1000</v>
      </c>
    </row>
    <row r="34" spans="2:5" ht="15.75">
      <c r="B34" s="287" t="s">
        <v>965</v>
      </c>
      <c r="C34" s="283"/>
      <c r="D34" s="149"/>
      <c r="E34" s="149"/>
    </row>
    <row r="35" spans="2:5" ht="15.75">
      <c r="B35" s="287" t="s">
        <v>55</v>
      </c>
      <c r="C35" s="283"/>
      <c r="D35" s="149"/>
      <c r="E35" s="149"/>
    </row>
    <row r="36" spans="2:5" ht="15.75">
      <c r="B36" s="288" t="s">
        <v>67</v>
      </c>
      <c r="C36" s="283">
        <f>3662+26+1642</f>
        <v>5330</v>
      </c>
      <c r="D36" s="149">
        <v>4830</v>
      </c>
      <c r="E36" s="149">
        <v>5300</v>
      </c>
    </row>
    <row r="37" spans="2:5" ht="15.75">
      <c r="B37" s="288" t="s">
        <v>969</v>
      </c>
      <c r="C37" s="283">
        <v>0</v>
      </c>
      <c r="D37" s="283">
        <v>0</v>
      </c>
      <c r="E37" s="149">
        <v>1760</v>
      </c>
    </row>
    <row r="38" spans="2:5" ht="15.75">
      <c r="B38" s="288" t="s">
        <v>970</v>
      </c>
      <c r="C38" s="283">
        <v>0</v>
      </c>
      <c r="D38" s="283">
        <v>0</v>
      </c>
      <c r="E38" s="149">
        <v>6125</v>
      </c>
    </row>
    <row r="39" spans="2:5" ht="15.75">
      <c r="B39" s="288"/>
      <c r="C39" s="283"/>
      <c r="D39" s="283"/>
      <c r="E39" s="149"/>
    </row>
    <row r="40" spans="2:5" ht="15.75">
      <c r="B40" s="288"/>
      <c r="C40" s="283"/>
      <c r="D40" s="283"/>
      <c r="E40" s="149"/>
    </row>
    <row r="41" spans="2:10" ht="15.75">
      <c r="B41" s="287"/>
      <c r="C41" s="283"/>
      <c r="D41" s="283"/>
      <c r="E41" s="149"/>
      <c r="G41" s="861" t="str">
        <f>CONCATENATE("Desired Carryover Into ",E1+1,"")</f>
        <v>Desired Carryover Into 2016</v>
      </c>
      <c r="H41" s="862"/>
      <c r="I41" s="862"/>
      <c r="J41" s="863"/>
    </row>
    <row r="42" spans="2:10" ht="15.75">
      <c r="B42" s="288"/>
      <c r="C42" s="283"/>
      <c r="D42" s="283"/>
      <c r="E42" s="149"/>
      <c r="G42" s="472"/>
      <c r="H42" s="52"/>
      <c r="I42" s="514"/>
      <c r="J42" s="473"/>
    </row>
    <row r="43" spans="2:10" ht="15.75">
      <c r="B43" s="286" t="s">
        <v>164</v>
      </c>
      <c r="C43" s="283"/>
      <c r="D43" s="283"/>
      <c r="E43" s="149"/>
      <c r="G43" s="474" t="s">
        <v>697</v>
      </c>
      <c r="H43" s="514"/>
      <c r="I43" s="514"/>
      <c r="J43" s="475">
        <v>0</v>
      </c>
    </row>
    <row r="44" spans="2:10" ht="15.75">
      <c r="B44" s="286" t="s">
        <v>165</v>
      </c>
      <c r="C44" s="360">
        <f>IF(AND($C$43&gt;0,$C$8&gt;0),"Not Authorized","")</f>
      </c>
      <c r="D44" s="360">
        <f>IF(AND($D$43&gt;0,$D$8&gt;0),"Not Authorized","")</f>
      </c>
      <c r="E44" s="293">
        <f>IF(AND(E57&gt;0,$E$43&gt;0),"Not Authorized","")</f>
      </c>
      <c r="G44" s="472" t="s">
        <v>698</v>
      </c>
      <c r="H44" s="52"/>
      <c r="I44" s="52"/>
      <c r="J44" s="680">
        <f>IF(J43=0,"",ROUND((J43+E57-G56)/inputOth!E11*1000,3)-G61)</f>
      </c>
    </row>
    <row r="45" spans="2:10" ht="15.75">
      <c r="B45" s="61" t="s">
        <v>166</v>
      </c>
      <c r="C45" s="283">
        <v>2290.81</v>
      </c>
      <c r="D45" s="283"/>
      <c r="E45" s="149"/>
      <c r="G45" s="681" t="str">
        <f>CONCATENATE("",E1," Tot Exp/Non-Appr Must Be:")</f>
        <v>2015 Tot Exp/Non-Appr Must Be:</v>
      </c>
      <c r="H45" s="507"/>
      <c r="I45" s="677"/>
      <c r="J45" s="682">
        <f>IF(J43&gt;0,IF(E54&lt;E23,IF(J43=G56,E54,((J43-G56)*(1-D56))+E23),E54+(J43-G56)),0)</f>
        <v>0</v>
      </c>
    </row>
    <row r="46" spans="2:10" ht="15.75">
      <c r="B46" s="61" t="s">
        <v>738</v>
      </c>
      <c r="C46" s="360">
        <f>IF(C27*0.25&lt;C45,"Exceeds 25%","")</f>
      </c>
      <c r="D46" s="360">
        <f>IF(D27*0.25&lt;D45,"Exceeds 25%","")</f>
      </c>
      <c r="E46" s="293">
        <f>IF(E27*0.25+E57&lt;E45,"Exceeds 25%","")</f>
      </c>
      <c r="G46" s="683" t="s">
        <v>827</v>
      </c>
      <c r="H46" s="684"/>
      <c r="I46" s="684"/>
      <c r="J46" s="685">
        <f>IF(J43&gt;0,J45-E54,0)</f>
        <v>0</v>
      </c>
    </row>
    <row r="47" spans="2:5" ht="15.75">
      <c r="B47" s="286" t="s">
        <v>206</v>
      </c>
      <c r="C47" s="283"/>
      <c r="D47" s="283"/>
      <c r="E47" s="160">
        <f>nhood!E6</f>
      </c>
    </row>
    <row r="48" spans="2:10" ht="15.75">
      <c r="B48" s="286" t="s">
        <v>204</v>
      </c>
      <c r="C48" s="283"/>
      <c r="D48" s="283"/>
      <c r="E48" s="149"/>
      <c r="G48" s="861" t="str">
        <f>CONCATENATE("Projected Carryover Into ",E1+1,"")</f>
        <v>Projected Carryover Into 2016</v>
      </c>
      <c r="H48" s="862"/>
      <c r="I48" s="862"/>
      <c r="J48" s="863"/>
    </row>
    <row r="49" spans="2:10" ht="15.75">
      <c r="B49" s="286" t="s">
        <v>694</v>
      </c>
      <c r="C49" s="360">
        <f>IF(C50*0.1&lt;C48,"Exceed 10% Rule","")</f>
      </c>
      <c r="D49" s="360">
        <f>IF(D50*0.1&lt;D48,"Exceed 10% Rule","")</f>
      </c>
      <c r="E49" s="293">
        <f>IF(E50*0.1&lt;E48,"Exceed 10% Rule","")</f>
      </c>
      <c r="G49" s="471"/>
      <c r="H49" s="52"/>
      <c r="I49" s="52"/>
      <c r="J49" s="65"/>
    </row>
    <row r="50" spans="2:10" ht="15.75">
      <c r="B50" s="79" t="s">
        <v>262</v>
      </c>
      <c r="C50" s="361">
        <f>SUM(C29:C43,C45,C47:C48)</f>
        <v>11565.94</v>
      </c>
      <c r="D50" s="361">
        <f>SUM(D29:D43,D45,D47:D48)</f>
        <v>14030</v>
      </c>
      <c r="E50" s="292">
        <f>SUM(E29:E43,E47:E48,E45)</f>
        <v>22385</v>
      </c>
      <c r="G50" s="511">
        <f>D51</f>
        <v>0</v>
      </c>
      <c r="H50" s="512" t="str">
        <f>CONCATENATE("",E1-1," Ending Cash Balance (est.)")</f>
        <v>2014 Ending Cash Balance (est.)</v>
      </c>
      <c r="I50" s="513"/>
      <c r="J50" s="65"/>
    </row>
    <row r="51" spans="2:10" ht="15.75">
      <c r="B51" s="61" t="s">
        <v>61</v>
      </c>
      <c r="C51" s="362">
        <f>C27-C50</f>
        <v>0</v>
      </c>
      <c r="D51" s="362">
        <f>D27-D50</f>
        <v>0</v>
      </c>
      <c r="E51" s="285" t="s">
        <v>231</v>
      </c>
      <c r="G51" s="511">
        <f>E26</f>
        <v>2076.2999999999993</v>
      </c>
      <c r="H51" s="514" t="str">
        <f>CONCATENATE("",E1," Non-AV Receipts (est.)")</f>
        <v>2015 Non-AV Receipts (est.)</v>
      </c>
      <c r="I51" s="513"/>
      <c r="J51" s="65"/>
    </row>
    <row r="52" spans="2:11" ht="15.75">
      <c r="B52" s="96" t="str">
        <f>CONCATENATE("",E1-2,"/",E1-1,"/",E1," Budget Authority Amount:")</f>
        <v>2013/2014/2015 Budget Authority Amount:</v>
      </c>
      <c r="C52" s="715">
        <f>inputOth!B83</f>
        <v>11930</v>
      </c>
      <c r="D52" s="715">
        <f>inputPrYr!D20</f>
        <v>14030</v>
      </c>
      <c r="E52" s="236">
        <f>E50</f>
        <v>22385</v>
      </c>
      <c r="F52" s="294"/>
      <c r="G52" s="515">
        <f>IF(D56&gt;0,E55,E57)</f>
        <v>20308.7</v>
      </c>
      <c r="H52" s="514" t="str">
        <f>CONCATENATE("",E1," Ad Valorem Tax (est.)")</f>
        <v>2015 Ad Valorem Tax (est.)</v>
      </c>
      <c r="I52" s="513"/>
      <c r="J52" s="65"/>
      <c r="K52" s="686">
        <f>IF(G52=E57,"","Note: Does not include Delinquent Taxes")</f>
      </c>
    </row>
    <row r="53" spans="2:10" ht="15.75">
      <c r="B53" s="97"/>
      <c r="C53" s="855" t="s">
        <v>691</v>
      </c>
      <c r="D53" s="856"/>
      <c r="E53" s="149"/>
      <c r="F53" s="294">
        <f>IF(E50/0.95-E50&lt;E53,"Exceeds 5%","")</f>
      </c>
      <c r="G53" s="511">
        <f>SUM(G50:G52)</f>
        <v>22385</v>
      </c>
      <c r="H53" s="514" t="str">
        <f>CONCATENATE("Total ",E1," Resources Available")</f>
        <v>Total 2015 Resources Available</v>
      </c>
      <c r="I53" s="513"/>
      <c r="J53" s="65"/>
    </row>
    <row r="54" spans="2:10" ht="15.75">
      <c r="B54" s="467" t="str">
        <f>CONCATENATE(C74,"      ",D74)</f>
        <v>      </v>
      </c>
      <c r="C54" s="857" t="s">
        <v>692</v>
      </c>
      <c r="D54" s="858"/>
      <c r="E54" s="236">
        <f>E50+E53</f>
        <v>22385</v>
      </c>
      <c r="G54" s="516"/>
      <c r="H54" s="514"/>
      <c r="I54" s="514"/>
      <c r="J54" s="65"/>
    </row>
    <row r="55" spans="2:10" ht="15.75">
      <c r="B55" s="467" t="str">
        <f>CONCATENATE(C75,"       ",D75)</f>
        <v>       </v>
      </c>
      <c r="C55" s="470"/>
      <c r="D55" s="469" t="s">
        <v>264</v>
      </c>
      <c r="E55" s="160">
        <f>IF(E54-E27&gt;0,E54-E27,0)</f>
        <v>20308.7</v>
      </c>
      <c r="G55" s="515">
        <f>ROUND(C50*0.05+C50,0)</f>
        <v>12144</v>
      </c>
      <c r="H55" s="514" t="str">
        <f>CONCATENATE("Less ",E1-2," Expenditures + 5%")</f>
        <v>Less 2013 Expenditures + 5%</v>
      </c>
      <c r="I55" s="513"/>
      <c r="J55" s="65"/>
    </row>
    <row r="56" spans="2:10" ht="15.75">
      <c r="B56" s="187"/>
      <c r="C56" s="468" t="s">
        <v>693</v>
      </c>
      <c r="D56" s="679">
        <f>inputOth!$E$77</f>
        <v>0</v>
      </c>
      <c r="E56" s="236">
        <f>ROUND(IF(D56&gt;0,(E55*D56),0),0)</f>
        <v>0</v>
      </c>
      <c r="G56" s="517">
        <f>G53-G55</f>
        <v>10241</v>
      </c>
      <c r="H56" s="518" t="str">
        <f>CONCATENATE("Projected ",E1+1," Carryover (est.)")</f>
        <v>Projected 2016 Carryover (est.)</v>
      </c>
      <c r="I56" s="519"/>
      <c r="J56" s="520"/>
    </row>
    <row r="57" spans="2:5" ht="15.75">
      <c r="B57" s="46"/>
      <c r="C57" s="859" t="str">
        <f>CONCATENATE("Amount of  ",$E$1-1," Ad Valorem Tax")</f>
        <v>Amount of  2014 Ad Valorem Tax</v>
      </c>
      <c r="D57" s="860"/>
      <c r="E57" s="160">
        <f>E55+E56</f>
        <v>20308.7</v>
      </c>
    </row>
    <row r="58" spans="2:10" ht="15.75">
      <c r="B58" s="46"/>
      <c r="C58" s="46"/>
      <c r="D58" s="46"/>
      <c r="E58" s="46"/>
      <c r="G58" s="864" t="s">
        <v>828</v>
      </c>
      <c r="H58" s="865"/>
      <c r="I58" s="865"/>
      <c r="J58" s="866"/>
    </row>
    <row r="59" spans="2:11" s="296" customFormat="1" ht="15.75">
      <c r="B59" s="52"/>
      <c r="C59" s="52"/>
      <c r="D59" s="243"/>
      <c r="E59" s="52"/>
      <c r="G59" s="687"/>
      <c r="H59" s="512"/>
      <c r="I59" s="678"/>
      <c r="J59" s="688"/>
      <c r="K59" s="135"/>
    </row>
    <row r="60" spans="2:11" s="297" customFormat="1" ht="15.75">
      <c r="B60" s="46"/>
      <c r="C60" s="46"/>
      <c r="D60" s="166"/>
      <c r="E60" s="46"/>
      <c r="G60" s="689">
        <f>summ!H18</f>
        <v>4.615</v>
      </c>
      <c r="H60" s="512" t="str">
        <f>CONCATENATE("",E1," Fund Mill Rate")</f>
        <v>2015 Fund Mill Rate</v>
      </c>
      <c r="I60" s="678"/>
      <c r="J60" s="688"/>
      <c r="K60" s="135"/>
    </row>
    <row r="61" spans="2:10" ht="15.75">
      <c r="B61" s="187" t="s">
        <v>245</v>
      </c>
      <c r="C61" s="132">
        <v>7</v>
      </c>
      <c r="D61" s="46"/>
      <c r="E61" s="46"/>
      <c r="G61" s="690">
        <f>summ!E18</f>
        <v>3.053</v>
      </c>
      <c r="H61" s="512" t="str">
        <f>CONCATENATE("",E1-1," Fund Mill Rate")</f>
        <v>2014 Fund Mill Rate</v>
      </c>
      <c r="I61" s="678"/>
      <c r="J61" s="688"/>
    </row>
    <row r="62" spans="7:10" ht="15.75">
      <c r="G62" s="691">
        <f>summ!H36</f>
        <v>15.561</v>
      </c>
      <c r="H62" s="512" t="str">
        <f>CONCATENATE("Total ",E1," Mill Rate")</f>
        <v>Total 2015 Mill Rate</v>
      </c>
      <c r="I62" s="678"/>
      <c r="J62" s="688"/>
    </row>
    <row r="63" spans="2:10" ht="15.75">
      <c r="B63" s="89"/>
      <c r="G63" s="690">
        <f>summ!E36</f>
        <v>16.355</v>
      </c>
      <c r="H63" s="692" t="str">
        <f>CONCATENATE("Total ",E1-1," Mill Rate")</f>
        <v>Total 2014 Mill Rate</v>
      </c>
      <c r="I63" s="693"/>
      <c r="J63" s="694"/>
    </row>
    <row r="65" spans="7:9" ht="15.75">
      <c r="G65" s="744" t="s">
        <v>927</v>
      </c>
      <c r="H65" s="706"/>
      <c r="I65" s="705" t="str">
        <f>cert!E41</f>
        <v>No</v>
      </c>
    </row>
    <row r="74" spans="3:4" ht="15.75" hidden="1">
      <c r="C74" s="135">
        <f>IF(C50&gt;C52,"See Tab A","")</f>
      </c>
      <c r="D74" s="135">
        <f>IF(D50&gt;D52,"See Tab C","")</f>
      </c>
    </row>
    <row r="75" spans="3:4" ht="15.75" hidden="1">
      <c r="C75" s="135">
        <f>IF(C51&lt;0,"See Tab B","")</f>
      </c>
      <c r="D75" s="135">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3"/>
  <headerFooter alignWithMargins="0">
    <oddHeader>&amp;RState of Kansas
Township
</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43">
      <selection activeCell="E65" sqref="E65"/>
    </sheetView>
  </sheetViews>
  <sheetFormatPr defaultColWidth="8.796875" defaultRowHeight="15.75"/>
  <cols>
    <col min="1" max="1" width="2.19921875" style="578" customWidth="1"/>
    <col min="2" max="2" width="28.59765625" style="578" customWidth="1"/>
    <col min="3" max="4" width="14.19921875" style="578" customWidth="1"/>
    <col min="5" max="5" width="14.59765625" style="578" customWidth="1"/>
    <col min="6" max="6" width="7.296875" style="578" customWidth="1"/>
    <col min="7" max="7" width="9.19921875" style="578" customWidth="1"/>
    <col min="8" max="8" width="8.796875" style="578" customWidth="1"/>
    <col min="9" max="9" width="4.5" style="578" customWidth="1"/>
    <col min="10" max="10" width="9" style="578" customWidth="1"/>
    <col min="11" max="16384" width="8.796875" style="578" customWidth="1"/>
  </cols>
  <sheetData>
    <row r="1" spans="2:5" ht="15.75">
      <c r="B1" s="575" t="str">
        <f>inputPrYr!D3</f>
        <v>VIOLA TOWNSHIP</v>
      </c>
      <c r="C1" s="575"/>
      <c r="D1" s="576"/>
      <c r="E1" s="577">
        <f>inputPrYr!D9</f>
        <v>2015</v>
      </c>
    </row>
    <row r="2" spans="2:5" ht="15.75">
      <c r="B2" s="576"/>
      <c r="C2" s="576"/>
      <c r="D2" s="576"/>
      <c r="E2" s="579"/>
    </row>
    <row r="3" spans="2:5" ht="15.75">
      <c r="B3" s="580" t="s">
        <v>733</v>
      </c>
      <c r="C3" s="580"/>
      <c r="D3" s="581"/>
      <c r="E3" s="582"/>
    </row>
    <row r="4" spans="2:5" ht="15.75">
      <c r="B4" s="583" t="s">
        <v>246</v>
      </c>
      <c r="C4" s="584" t="s">
        <v>823</v>
      </c>
      <c r="D4" s="585" t="s">
        <v>824</v>
      </c>
      <c r="E4" s="586" t="s">
        <v>825</v>
      </c>
    </row>
    <row r="5" spans="2:5" ht="15.75">
      <c r="B5" s="587" t="str">
        <f>inputPrYr!B21</f>
        <v>Debt Service</v>
      </c>
      <c r="C5" s="588" t="str">
        <f>CONCATENATE("Actual for ",$E$1-2,"")</f>
        <v>Actual for 2013</v>
      </c>
      <c r="D5" s="589" t="str">
        <f>CONCATENATE("Estimate for ",$E$1-1,"")</f>
        <v>Estimate for 2014</v>
      </c>
      <c r="E5" s="590" t="str">
        <f>CONCATENATE("Year for ",$E$1,"")</f>
        <v>Year for 2015</v>
      </c>
    </row>
    <row r="6" spans="2:5" ht="15.75">
      <c r="B6" s="591" t="s">
        <v>71</v>
      </c>
      <c r="C6" s="592"/>
      <c r="D6" s="593">
        <f>C34</f>
        <v>0</v>
      </c>
      <c r="E6" s="594">
        <f>D34</f>
        <v>0</v>
      </c>
    </row>
    <row r="7" spans="2:5" ht="15.75">
      <c r="B7" s="591" t="s">
        <v>62</v>
      </c>
      <c r="C7" s="595"/>
      <c r="D7" s="593"/>
      <c r="E7" s="594"/>
    </row>
    <row r="8" spans="2:5" ht="15.75">
      <c r="B8" s="591" t="s">
        <v>252</v>
      </c>
      <c r="C8" s="596"/>
      <c r="D8" s="593">
        <f>IF(inputPrYr!H19&gt;0,inputPrYr!G21,inputPrYr!E21)</f>
        <v>0</v>
      </c>
      <c r="E8" s="597" t="s">
        <v>231</v>
      </c>
    </row>
    <row r="9" spans="2:5" ht="15.75">
      <c r="B9" s="591" t="s">
        <v>253</v>
      </c>
      <c r="C9" s="596"/>
      <c r="D9" s="598"/>
      <c r="E9" s="599"/>
    </row>
    <row r="10" spans="2:5" ht="15.75">
      <c r="B10" s="591" t="s">
        <v>254</v>
      </c>
      <c r="C10" s="596"/>
      <c r="D10" s="598"/>
      <c r="E10" s="594">
        <f>mvalloc!G12</f>
        <v>0</v>
      </c>
    </row>
    <row r="11" spans="2:5" ht="15.75">
      <c r="B11" s="591" t="s">
        <v>255</v>
      </c>
      <c r="C11" s="596"/>
      <c r="D11" s="598"/>
      <c r="E11" s="594">
        <f>mvalloc!I12</f>
        <v>0</v>
      </c>
    </row>
    <row r="12" spans="2:5" ht="15.75">
      <c r="B12" s="600" t="s">
        <v>51</v>
      </c>
      <c r="C12" s="596"/>
      <c r="D12" s="598"/>
      <c r="E12" s="594">
        <f>mvalloc!J12</f>
        <v>0</v>
      </c>
    </row>
    <row r="13" spans="2:5" ht="15.75">
      <c r="B13" s="601"/>
      <c r="C13" s="596"/>
      <c r="D13" s="598"/>
      <c r="E13" s="602"/>
    </row>
    <row r="14" spans="2:5" ht="15.75">
      <c r="B14" s="601"/>
      <c r="C14" s="596"/>
      <c r="D14" s="598"/>
      <c r="E14" s="599"/>
    </row>
    <row r="15" spans="2:5" ht="15.75">
      <c r="B15" s="601"/>
      <c r="C15" s="596"/>
      <c r="D15" s="598"/>
      <c r="E15" s="599"/>
    </row>
    <row r="16" spans="2:5" ht="15.75">
      <c r="B16" s="601"/>
      <c r="C16" s="596"/>
      <c r="D16" s="598"/>
      <c r="E16" s="599"/>
    </row>
    <row r="17" spans="2:5" ht="15.75">
      <c r="B17" s="603" t="s">
        <v>258</v>
      </c>
      <c r="C17" s="596"/>
      <c r="D17" s="598"/>
      <c r="E17" s="599"/>
    </row>
    <row r="18" spans="2:5" ht="15.75">
      <c r="B18" s="591" t="s">
        <v>204</v>
      </c>
      <c r="C18" s="604"/>
      <c r="D18" s="598"/>
      <c r="E18" s="599"/>
    </row>
    <row r="19" spans="2:5" ht="15.75">
      <c r="B19" s="591" t="s">
        <v>826</v>
      </c>
      <c r="C19" s="605">
        <f>IF(C20*0.1&lt;C18,"Exceed 10% Rule","")</f>
      </c>
      <c r="D19" s="605">
        <f>IF(D20*0.1&lt;D18,"Exceeds 10% Rule","")</f>
      </c>
      <c r="E19" s="606">
        <f>IF(E20*0.1&lt;E18,"Exceed 10% Rule","")</f>
      </c>
    </row>
    <row r="20" spans="2:5" ht="15.75">
      <c r="B20" s="607" t="s">
        <v>259</v>
      </c>
      <c r="C20" s="608">
        <f>SUM(C8:C18)</f>
        <v>0</v>
      </c>
      <c r="D20" s="608">
        <f>SUM(D8:D18)</f>
        <v>0</v>
      </c>
      <c r="E20" s="609">
        <f>SUM(E9:E18)</f>
        <v>0</v>
      </c>
    </row>
    <row r="21" spans="2:5" ht="15.75">
      <c r="B21" s="607" t="s">
        <v>260</v>
      </c>
      <c r="C21" s="608">
        <f>C6+C20</f>
        <v>0</v>
      </c>
      <c r="D21" s="608">
        <f>D6+D20</f>
        <v>0</v>
      </c>
      <c r="E21" s="609">
        <f>E6+E20</f>
        <v>0</v>
      </c>
    </row>
    <row r="22" spans="2:5" ht="15.75">
      <c r="B22" s="591" t="s">
        <v>261</v>
      </c>
      <c r="C22" s="591"/>
      <c r="D22" s="593"/>
      <c r="E22" s="594"/>
    </row>
    <row r="23" spans="2:5" ht="15.75">
      <c r="B23" s="601"/>
      <c r="C23" s="596"/>
      <c r="D23" s="598"/>
      <c r="E23" s="599"/>
    </row>
    <row r="24" spans="2:10" ht="15.75">
      <c r="B24" s="601"/>
      <c r="C24" s="596"/>
      <c r="D24" s="598"/>
      <c r="E24" s="599"/>
      <c r="G24" s="867" t="str">
        <f>CONCATENATE("Desired Carryover Into ",E1+1,"")</f>
        <v>Desired Carryover Into 2016</v>
      </c>
      <c r="H24" s="868"/>
      <c r="I24" s="868"/>
      <c r="J24" s="869"/>
    </row>
    <row r="25" spans="2:10" ht="15.75">
      <c r="B25" s="601"/>
      <c r="C25" s="598"/>
      <c r="D25" s="598"/>
      <c r="E25" s="599"/>
      <c r="G25" s="610"/>
      <c r="H25" s="611"/>
      <c r="I25" s="612"/>
      <c r="J25" s="613"/>
    </row>
    <row r="26" spans="2:10" ht="15.75">
      <c r="B26" s="601"/>
      <c r="C26" s="596"/>
      <c r="D26" s="598"/>
      <c r="E26" s="599"/>
      <c r="G26" s="614" t="s">
        <v>697</v>
      </c>
      <c r="H26" s="612"/>
      <c r="I26" s="612"/>
      <c r="J26" s="615">
        <v>0</v>
      </c>
    </row>
    <row r="27" spans="2:10" ht="15.75">
      <c r="B27" s="601"/>
      <c r="C27" s="596"/>
      <c r="D27" s="598"/>
      <c r="E27" s="599"/>
      <c r="G27" s="610" t="s">
        <v>698</v>
      </c>
      <c r="H27" s="611"/>
      <c r="I27" s="611"/>
      <c r="J27" s="616">
        <f>IF(J26=0,"",ROUND((J26+E40-G39)/inputOth!E11*1000,3)-G44)</f>
      </c>
    </row>
    <row r="28" spans="2:10" ht="15.75">
      <c r="B28" s="601"/>
      <c r="C28" s="596"/>
      <c r="D28" s="598"/>
      <c r="E28" s="599"/>
      <c r="G28" s="617" t="str">
        <f>CONCATENATE("",E1," Tot Exp/Non-Appr Must Be:")</f>
        <v>2015 Tot Exp/Non-Appr Must Be:</v>
      </c>
      <c r="H28" s="618"/>
      <c r="I28" s="619"/>
      <c r="J28" s="620">
        <f>IF(J26&gt;0,IF(E37&lt;E21,IF(J26=G39,E37,((J26-G39)*(1-D39))+E21),E37+(J26-G39)),0)</f>
        <v>0</v>
      </c>
    </row>
    <row r="29" spans="2:10" ht="15.75">
      <c r="B29" s="601"/>
      <c r="C29" s="596"/>
      <c r="D29" s="598"/>
      <c r="E29" s="599"/>
      <c r="G29" s="621" t="s">
        <v>827</v>
      </c>
      <c r="H29" s="622"/>
      <c r="I29" s="622"/>
      <c r="J29" s="623">
        <f>IF(J26&gt;0,J28-E37,0)</f>
        <v>0</v>
      </c>
    </row>
    <row r="30" spans="2:5" ht="15.75">
      <c r="B30" s="624" t="s">
        <v>206</v>
      </c>
      <c r="C30" s="596"/>
      <c r="D30" s="598"/>
      <c r="E30" s="594">
        <f>nhood!E7</f>
      </c>
    </row>
    <row r="31" spans="2:10" ht="15.75">
      <c r="B31" s="624" t="s">
        <v>204</v>
      </c>
      <c r="C31" s="604"/>
      <c r="D31" s="598"/>
      <c r="E31" s="599"/>
      <c r="G31" s="867" t="str">
        <f>CONCATENATE("Projected Carryover Into ",E1+1,"")</f>
        <v>Projected Carryover Into 2016</v>
      </c>
      <c r="H31" s="870"/>
      <c r="I31" s="870"/>
      <c r="J31" s="871"/>
    </row>
    <row r="32" spans="2:10" ht="15.75">
      <c r="B32" s="624" t="s">
        <v>694</v>
      </c>
      <c r="C32" s="605">
        <f>IF(C33*0.1&lt;C31,"Exceed 10% Rule","")</f>
      </c>
      <c r="D32" s="605">
        <f>IF(D33*0.1&lt;D31,"Exceed 10% Rule","")</f>
      </c>
      <c r="E32" s="606">
        <f>IF(E33*0.1&lt;E31,"Exceed 10% Rule","")</f>
      </c>
      <c r="G32" s="610"/>
      <c r="H32" s="612"/>
      <c r="I32" s="612"/>
      <c r="J32" s="625"/>
    </row>
    <row r="33" spans="2:10" ht="15.75">
      <c r="B33" s="607" t="s">
        <v>262</v>
      </c>
      <c r="C33" s="626">
        <f>SUM(C23:C31)</f>
        <v>0</v>
      </c>
      <c r="D33" s="626">
        <f>SUM(D23:D31)</f>
        <v>0</v>
      </c>
      <c r="E33" s="627">
        <f>SUM(E23:E31)</f>
        <v>0</v>
      </c>
      <c r="G33" s="628">
        <f>D34</f>
        <v>0</v>
      </c>
      <c r="H33" s="629" t="str">
        <f>CONCATENATE("",E1-1," Ending Cash Balance (est.)")</f>
        <v>2014 Ending Cash Balance (est.)</v>
      </c>
      <c r="I33" s="630"/>
      <c r="J33" s="625"/>
    </row>
    <row r="34" spans="2:10" ht="15.75">
      <c r="B34" s="591" t="s">
        <v>61</v>
      </c>
      <c r="C34" s="631">
        <f>C21-C33</f>
        <v>0</v>
      </c>
      <c r="D34" s="631">
        <f>D21-D33</f>
        <v>0</v>
      </c>
      <c r="E34" s="597" t="s">
        <v>231</v>
      </c>
      <c r="F34" s="632"/>
      <c r="G34" s="628">
        <f>E20</f>
        <v>0</v>
      </c>
      <c r="H34" s="612" t="str">
        <f>CONCATENATE("",E1," Non-AV Receipts (est.)")</f>
        <v>2015 Non-AV Receipts (est.)</v>
      </c>
      <c r="I34" s="630"/>
      <c r="J34" s="625"/>
    </row>
    <row r="35" spans="2:11" ht="15.75">
      <c r="B35" s="718" t="str">
        <f>CONCATENATE("",E1-2,"/",E1-1,"/",E1," Budget Authority Amount:")</f>
        <v>2013/2014/2015 Budget Authority Amount:</v>
      </c>
      <c r="C35" s="717">
        <f>inputOth!B84</f>
        <v>0</v>
      </c>
      <c r="D35" s="716">
        <f>inputPrYr!D21</f>
        <v>0</v>
      </c>
      <c r="E35" s="594">
        <f>E33</f>
        <v>0</v>
      </c>
      <c r="F35" s="634"/>
      <c r="G35" s="635">
        <f>IF(E39&gt;0,E38,E40)</f>
        <v>0</v>
      </c>
      <c r="H35" s="612" t="str">
        <f>CONCATENATE("",E1," Ad Valorem Tax (est.)")</f>
        <v>2015 Ad Valorem Tax (est.)</v>
      </c>
      <c r="I35" s="630"/>
      <c r="J35" s="625"/>
      <c r="K35" s="636">
        <f>IF(G35=E40,"","Note: Does not include Delinquent Taxes")</f>
      </c>
    </row>
    <row r="36" spans="2:10" ht="15.75">
      <c r="B36" s="633"/>
      <c r="C36" s="855" t="s">
        <v>691</v>
      </c>
      <c r="D36" s="856"/>
      <c r="E36" s="599"/>
      <c r="F36" s="637">
        <f>IF(E33/0.95-E33&lt;E36,"Exceeds 5%","")</f>
      </c>
      <c r="G36" s="628">
        <f>SUM(G33:G35)</f>
        <v>0</v>
      </c>
      <c r="H36" s="612" t="str">
        <f>CONCATENATE("Total ",E1," Resources Available")</f>
        <v>Total 2015 Resources Available</v>
      </c>
      <c r="I36" s="630"/>
      <c r="J36" s="625"/>
    </row>
    <row r="37" spans="2:10" ht="15.75">
      <c r="B37" s="638" t="str">
        <f>CONCATENATE(C93,"     ",D93)</f>
        <v>     </v>
      </c>
      <c r="C37" s="857" t="s">
        <v>692</v>
      </c>
      <c r="D37" s="858"/>
      <c r="E37" s="594">
        <f>E33+E36</f>
        <v>0</v>
      </c>
      <c r="F37" s="632"/>
      <c r="G37" s="639"/>
      <c r="H37" s="612"/>
      <c r="I37" s="612"/>
      <c r="J37" s="625"/>
    </row>
    <row r="38" spans="2:10" ht="15.75">
      <c r="B38" s="638" t="str">
        <f>CONCATENATE(C94,"     ",D94)</f>
        <v>     </v>
      </c>
      <c r="C38" s="640"/>
      <c r="D38" s="579" t="s">
        <v>264</v>
      </c>
      <c r="E38" s="641">
        <f>IF(E37-E21&gt;0,E37-E21,0)</f>
        <v>0</v>
      </c>
      <c r="F38" s="632"/>
      <c r="G38" s="635">
        <f>C33</f>
        <v>0</v>
      </c>
      <c r="H38" s="612" t="str">
        <f>CONCATENATE("Less ",E1-2," Expenditures")</f>
        <v>Less 2013 Expenditures</v>
      </c>
      <c r="I38" s="612"/>
      <c r="J38" s="625"/>
    </row>
    <row r="39" spans="2:10" ht="15.75">
      <c r="B39" s="579"/>
      <c r="C39" s="468" t="s">
        <v>693</v>
      </c>
      <c r="D39" s="642">
        <f>inputOth!E77</f>
        <v>0</v>
      </c>
      <c r="E39" s="594">
        <f>ROUND(IF(D39&gt;0,(E38*D39),0),0)</f>
        <v>0</v>
      </c>
      <c r="F39" s="632"/>
      <c r="G39" s="643">
        <f>G36-G38</f>
        <v>0</v>
      </c>
      <c r="H39" s="644" t="str">
        <f>CONCATENATE("Projected ",E1+1," carryover (est.)")</f>
        <v>Projected 2016 carryover (est.)</v>
      </c>
      <c r="I39" s="645"/>
      <c r="J39" s="646"/>
    </row>
    <row r="40" spans="2:6" ht="16.5" thickBot="1">
      <c r="B40" s="576"/>
      <c r="C40" s="872" t="str">
        <f>CONCATENATE("Amount of  ",E1-1," Ad Valorem Tax")</f>
        <v>Amount of  2014 Ad Valorem Tax</v>
      </c>
      <c r="D40" s="873"/>
      <c r="E40" s="648">
        <f>SUM(E38:E39)</f>
        <v>0</v>
      </c>
      <c r="F40" s="632"/>
    </row>
    <row r="41" spans="2:10" ht="16.5" thickTop="1">
      <c r="B41" s="576"/>
      <c r="C41" s="872"/>
      <c r="D41" s="873"/>
      <c r="E41" s="649"/>
      <c r="F41" s="632"/>
      <c r="G41" s="874" t="s">
        <v>828</v>
      </c>
      <c r="H41" s="875"/>
      <c r="I41" s="875"/>
      <c r="J41" s="876"/>
    </row>
    <row r="42" spans="2:10" ht="15.75">
      <c r="B42" s="576"/>
      <c r="C42" s="647"/>
      <c r="D42" s="576"/>
      <c r="E42" s="576"/>
      <c r="F42" s="632"/>
      <c r="G42" s="650"/>
      <c r="H42" s="629"/>
      <c r="I42" s="651"/>
      <c r="J42" s="652"/>
    </row>
    <row r="43" spans="2:10" ht="15.75">
      <c r="B43" s="583"/>
      <c r="C43" s="583"/>
      <c r="D43" s="581"/>
      <c r="E43" s="581"/>
      <c r="F43" s="632"/>
      <c r="G43" s="653" t="str">
        <f>summ!H19</f>
        <v> </v>
      </c>
      <c r="H43" s="629" t="str">
        <f>CONCATENATE("",E1," Fund Mill Rate")</f>
        <v>2015 Fund Mill Rate</v>
      </c>
      <c r="I43" s="651"/>
      <c r="J43" s="652"/>
    </row>
    <row r="44" spans="2:10" ht="15.75">
      <c r="B44" s="583" t="s">
        <v>246</v>
      </c>
      <c r="C44" s="584" t="s">
        <v>823</v>
      </c>
      <c r="D44" s="585" t="s">
        <v>824</v>
      </c>
      <c r="E44" s="586" t="s">
        <v>825</v>
      </c>
      <c r="F44" s="632"/>
      <c r="G44" s="654" t="str">
        <f>summ!E19</f>
        <v>  </v>
      </c>
      <c r="H44" s="629" t="str">
        <f>CONCATENATE("",E1-1," Fund Mill Rate")</f>
        <v>2014 Fund Mill Rate</v>
      </c>
      <c r="I44" s="651"/>
      <c r="J44" s="652"/>
    </row>
    <row r="45" spans="2:10" ht="15.75">
      <c r="B45" s="655" t="str">
        <f>inputPrYr!B22</f>
        <v>Library</v>
      </c>
      <c r="C45" s="588" t="str">
        <f>CONCATENATE("Actual for ",$E$1-2,"")</f>
        <v>Actual for 2013</v>
      </c>
      <c r="D45" s="589" t="str">
        <f>CONCATENATE("Estimate for ",$E$1-1,"")</f>
        <v>Estimate for 2014</v>
      </c>
      <c r="E45" s="590" t="str">
        <f>CONCATENATE("Year for ",$E$1,"")</f>
        <v>Year for 2015</v>
      </c>
      <c r="F45" s="632"/>
      <c r="G45" s="656">
        <f>summ!H36</f>
        <v>15.561</v>
      </c>
      <c r="H45" s="629" t="str">
        <f>CONCATENATE("Total ",E1," Mill Rate")</f>
        <v>Total 2015 Mill Rate</v>
      </c>
      <c r="I45" s="651"/>
      <c r="J45" s="652"/>
    </row>
    <row r="46" spans="2:10" ht="15.75">
      <c r="B46" s="591" t="s">
        <v>71</v>
      </c>
      <c r="C46" s="596">
        <v>238.46</v>
      </c>
      <c r="D46" s="593">
        <f>C74</f>
        <v>238.46000000000004</v>
      </c>
      <c r="E46" s="594">
        <f>D74</f>
        <v>238.46000000000004</v>
      </c>
      <c r="F46" s="632"/>
      <c r="G46" s="654">
        <f>summ!E36</f>
        <v>16.355</v>
      </c>
      <c r="H46" s="657" t="str">
        <f>CONCATENATE("Total ",E1-1," Mill Rate")</f>
        <v>Total 2014 Mill Rate</v>
      </c>
      <c r="I46" s="658"/>
      <c r="J46" s="659"/>
    </row>
    <row r="47" spans="2:6" ht="15.75">
      <c r="B47" s="660" t="s">
        <v>62</v>
      </c>
      <c r="C47" s="591"/>
      <c r="D47" s="593"/>
      <c r="E47" s="594"/>
      <c r="F47" s="632"/>
    </row>
    <row r="48" spans="2:9" ht="15.75">
      <c r="B48" s="591" t="s">
        <v>252</v>
      </c>
      <c r="C48" s="604">
        <f>56.55+1912.48+193.1</f>
        <v>2162.13</v>
      </c>
      <c r="D48" s="593">
        <f>IF(inputPrYr!H19&gt;0,inputPrYr!G22,inputPrYr!E22)</f>
        <v>2444</v>
      </c>
      <c r="E48" s="597" t="s">
        <v>231</v>
      </c>
      <c r="F48" s="632"/>
      <c r="G48" s="745" t="s">
        <v>927</v>
      </c>
      <c r="H48" s="706"/>
      <c r="I48" s="705" t="str">
        <f>cert!E41</f>
        <v>No</v>
      </c>
    </row>
    <row r="49" spans="2:6" ht="15.75">
      <c r="B49" s="591" t="s">
        <v>253</v>
      </c>
      <c r="C49" s="604">
        <v>18.06</v>
      </c>
      <c r="D49" s="598">
        <v>0</v>
      </c>
      <c r="E49" s="599">
        <v>0</v>
      </c>
      <c r="F49" s="632"/>
    </row>
    <row r="50" spans="2:6" ht="15.75">
      <c r="B50" s="591" t="s">
        <v>254</v>
      </c>
      <c r="C50" s="604">
        <v>349.03</v>
      </c>
      <c r="D50" s="598">
        <v>316</v>
      </c>
      <c r="E50" s="594">
        <f>mvalloc!G13</f>
        <v>382</v>
      </c>
      <c r="F50" s="632"/>
    </row>
    <row r="51" spans="2:6" ht="15.75">
      <c r="B51" s="591" t="s">
        <v>255</v>
      </c>
      <c r="C51" s="604">
        <v>3.26</v>
      </c>
      <c r="D51" s="598">
        <v>4</v>
      </c>
      <c r="E51" s="594">
        <f>mvalloc!I13</f>
        <v>4</v>
      </c>
      <c r="F51" s="632"/>
    </row>
    <row r="52" spans="2:5" ht="15.75">
      <c r="B52" s="600" t="s">
        <v>51</v>
      </c>
      <c r="C52" s="604">
        <v>18.16</v>
      </c>
      <c r="D52" s="598">
        <v>16</v>
      </c>
      <c r="E52" s="594">
        <f>mvalloc!J13</f>
        <v>14</v>
      </c>
    </row>
    <row r="53" spans="2:5" ht="15.75">
      <c r="B53" s="601" t="s">
        <v>968</v>
      </c>
      <c r="C53" s="604">
        <v>0</v>
      </c>
      <c r="D53" s="598">
        <v>0</v>
      </c>
      <c r="E53" s="604">
        <v>3.64</v>
      </c>
    </row>
    <row r="54" spans="2:5" ht="15.75">
      <c r="B54" s="601"/>
      <c r="C54" s="604"/>
      <c r="D54" s="598"/>
      <c r="E54" s="602"/>
    </row>
    <row r="55" spans="2:5" ht="15.75">
      <c r="B55" s="601"/>
      <c r="C55" s="604"/>
      <c r="D55" s="598"/>
      <c r="E55" s="599"/>
    </row>
    <row r="56" spans="2:5" ht="15.75">
      <c r="B56" s="601"/>
      <c r="C56" s="604"/>
      <c r="D56" s="598"/>
      <c r="E56" s="599"/>
    </row>
    <row r="57" spans="2:5" ht="15.75">
      <c r="B57" s="603" t="s">
        <v>258</v>
      </c>
      <c r="C57" s="604"/>
      <c r="D57" s="598"/>
      <c r="E57" s="599"/>
    </row>
    <row r="58" spans="2:5" ht="15.75">
      <c r="B58" s="591" t="s">
        <v>204</v>
      </c>
      <c r="C58" s="604"/>
      <c r="D58" s="604"/>
      <c r="E58" s="661"/>
    </row>
    <row r="59" spans="2:5" ht="15.75">
      <c r="B59" s="591" t="s">
        <v>826</v>
      </c>
      <c r="C59" s="605">
        <f>IF(C60*0.1&lt;C58,"Exceed 10% Rule","")</f>
      </c>
      <c r="D59" s="605">
        <f>IF(D60*0.1&lt;D58,"Exceeds 10% Rule","")</f>
      </c>
      <c r="E59" s="606">
        <f>IF(E60*0.1&lt;E58,"Exceed 10% Rule","")</f>
      </c>
    </row>
    <row r="60" spans="2:5" ht="15.75">
      <c r="B60" s="607" t="s">
        <v>259</v>
      </c>
      <c r="C60" s="626">
        <f>SUM(C48:C58)</f>
        <v>2550.6400000000003</v>
      </c>
      <c r="D60" s="626">
        <f>SUM(D48:D58)</f>
        <v>2780</v>
      </c>
      <c r="E60" s="627">
        <f>SUM(E49:E58)</f>
        <v>403.64</v>
      </c>
    </row>
    <row r="61" spans="2:5" ht="15.75">
      <c r="B61" s="607" t="s">
        <v>260</v>
      </c>
      <c r="C61" s="626">
        <f>C46+C60</f>
        <v>2789.1000000000004</v>
      </c>
      <c r="D61" s="626">
        <f>D46+D60</f>
        <v>3018.46</v>
      </c>
      <c r="E61" s="627">
        <f>E46+E60</f>
        <v>642.1</v>
      </c>
    </row>
    <row r="62" spans="2:5" ht="15.75">
      <c r="B62" s="591" t="s">
        <v>261</v>
      </c>
      <c r="C62" s="591"/>
      <c r="D62" s="593"/>
      <c r="E62" s="594"/>
    </row>
    <row r="63" spans="2:5" ht="15.75">
      <c r="B63" s="601"/>
      <c r="C63" s="596"/>
      <c r="D63" s="598"/>
      <c r="E63" s="599"/>
    </row>
    <row r="64" spans="2:10" ht="15.75">
      <c r="B64" s="601" t="s">
        <v>966</v>
      </c>
      <c r="C64" s="596">
        <f>1360.85+171.5+658.69+286.3+73.3</f>
        <v>2550.6400000000003</v>
      </c>
      <c r="D64" s="598">
        <v>2780</v>
      </c>
      <c r="E64" s="599">
        <v>2562</v>
      </c>
      <c r="G64" s="867" t="str">
        <f>CONCATENATE("Desired Carryover Into ",E1+1,"")</f>
        <v>Desired Carryover Into 2016</v>
      </c>
      <c r="H64" s="868"/>
      <c r="I64" s="868"/>
      <c r="J64" s="869"/>
    </row>
    <row r="65" spans="2:10" ht="15.75">
      <c r="B65" s="601"/>
      <c r="C65" s="596"/>
      <c r="D65" s="598"/>
      <c r="E65" s="599"/>
      <c r="G65" s="610"/>
      <c r="H65" s="611"/>
      <c r="I65" s="612"/>
      <c r="J65" s="613"/>
    </row>
    <row r="66" spans="2:10" ht="15.75">
      <c r="B66" s="601"/>
      <c r="C66" s="596"/>
      <c r="D66" s="598"/>
      <c r="E66" s="599"/>
      <c r="G66" s="614" t="s">
        <v>697</v>
      </c>
      <c r="H66" s="612"/>
      <c r="I66" s="612"/>
      <c r="J66" s="615">
        <v>0</v>
      </c>
    </row>
    <row r="67" spans="2:10" ht="15.75">
      <c r="B67" s="601"/>
      <c r="C67" s="596"/>
      <c r="D67" s="598"/>
      <c r="E67" s="599"/>
      <c r="G67" s="610" t="s">
        <v>698</v>
      </c>
      <c r="H67" s="611"/>
      <c r="I67" s="611"/>
      <c r="J67" s="616">
        <f>IF(J66=0,"",ROUND((J66+E80-G79)/inputOth!E11*1000,3)-G84)</f>
      </c>
    </row>
    <row r="68" spans="2:10" ht="15.75">
      <c r="B68" s="601"/>
      <c r="C68" s="596"/>
      <c r="D68" s="598"/>
      <c r="E68" s="599"/>
      <c r="G68" s="617" t="str">
        <f>CONCATENATE("",E1," Tot Exp/Non-Appr Must Be:")</f>
        <v>2015 Tot Exp/Non-Appr Must Be:</v>
      </c>
      <c r="H68" s="618"/>
      <c r="I68" s="619"/>
      <c r="J68" s="620">
        <f>IF(J66&gt;0,IF(E77&lt;E61,IF(J66=G79,E77,((J66-G79)*(1-D79))+E61),E77+(J66-G79)),0)</f>
        <v>0</v>
      </c>
    </row>
    <row r="69" spans="2:10" ht="15.75">
      <c r="B69" s="601"/>
      <c r="C69" s="596"/>
      <c r="D69" s="598"/>
      <c r="E69" s="599"/>
      <c r="G69" s="621" t="s">
        <v>827</v>
      </c>
      <c r="H69" s="622"/>
      <c r="I69" s="622"/>
      <c r="J69" s="623">
        <f>IF(J66&gt;0,J68-E77,0)</f>
        <v>0</v>
      </c>
    </row>
    <row r="70" spans="2:6" ht="15.75">
      <c r="B70" s="600" t="s">
        <v>206</v>
      </c>
      <c r="C70" s="596"/>
      <c r="D70" s="598"/>
      <c r="E70" s="594">
        <f>nhood!E8</f>
      </c>
      <c r="F70" s="632"/>
    </row>
    <row r="71" spans="2:10" ht="15.75">
      <c r="B71" s="600" t="s">
        <v>204</v>
      </c>
      <c r="C71" s="604"/>
      <c r="D71" s="598"/>
      <c r="E71" s="599"/>
      <c r="F71" s="632"/>
      <c r="G71" s="867" t="str">
        <f>CONCATENATE("Projected Carryover Into ",E1+1,"")</f>
        <v>Projected Carryover Into 2016</v>
      </c>
      <c r="H71" s="877"/>
      <c r="I71" s="877"/>
      <c r="J71" s="871"/>
    </row>
    <row r="72" spans="2:10" ht="15.75">
      <c r="B72" s="600" t="s">
        <v>694</v>
      </c>
      <c r="C72" s="605">
        <f>IF(C73*0.1&lt;C71,"Exceed 10% Rule","")</f>
      </c>
      <c r="D72" s="605">
        <f>IF(D73*0.1&lt;D71,"Exceed 10% Rule","")</f>
      </c>
      <c r="E72" s="606">
        <f>IF(E73*0.1&lt;E71,"Exceed 10% Rule","")</f>
      </c>
      <c r="F72" s="632"/>
      <c r="G72" s="662"/>
      <c r="H72" s="611"/>
      <c r="I72" s="611"/>
      <c r="J72" s="663"/>
    </row>
    <row r="73" spans="2:10" ht="15.75">
      <c r="B73" s="607" t="s">
        <v>262</v>
      </c>
      <c r="C73" s="626">
        <f>SUM(C63:C71)</f>
        <v>2550.6400000000003</v>
      </c>
      <c r="D73" s="626">
        <f>SUM(D63:D71)</f>
        <v>2780</v>
      </c>
      <c r="E73" s="627">
        <f>SUM(E63:E71)</f>
        <v>2562</v>
      </c>
      <c r="F73" s="632"/>
      <c r="G73" s="628">
        <f>D74</f>
        <v>238.46000000000004</v>
      </c>
      <c r="H73" s="629" t="str">
        <f>CONCATENATE("",E1-1," Ending Cash Balance (est.)")</f>
        <v>2014 Ending Cash Balance (est.)</v>
      </c>
      <c r="I73" s="630"/>
      <c r="J73" s="663"/>
    </row>
    <row r="74" spans="2:10" ht="15.75">
      <c r="B74" s="591" t="s">
        <v>61</v>
      </c>
      <c r="C74" s="631">
        <f>C61-C73</f>
        <v>238.46000000000004</v>
      </c>
      <c r="D74" s="631">
        <f>D61-D73</f>
        <v>238.46000000000004</v>
      </c>
      <c r="E74" s="597" t="s">
        <v>231</v>
      </c>
      <c r="F74" s="632"/>
      <c r="G74" s="628">
        <f>E60</f>
        <v>403.64</v>
      </c>
      <c r="H74" s="612" t="str">
        <f>CONCATENATE("",E1," Non-AV Receipts (est.)")</f>
        <v>2015 Non-AV Receipts (est.)</v>
      </c>
      <c r="I74" s="630"/>
      <c r="J74" s="663"/>
    </row>
    <row r="75" spans="2:11" ht="15.75">
      <c r="B75" s="718" t="str">
        <f>CONCATENATE("",E1-2,"/",E1-1,"/",E1," Budget Authority Amount:")</f>
        <v>2013/2014/2015 Budget Authority Amount:</v>
      </c>
      <c r="C75" s="717">
        <f>inputOth!B85</f>
        <v>2780</v>
      </c>
      <c r="D75" s="717">
        <f>inputPrYr!D22</f>
        <v>2780</v>
      </c>
      <c r="E75" s="594">
        <f>E73</f>
        <v>2562</v>
      </c>
      <c r="F75" s="634"/>
      <c r="G75" s="635">
        <f>IF(E79&gt;0,E78,E80)</f>
        <v>1919.9</v>
      </c>
      <c r="H75" s="612" t="str">
        <f>CONCATENATE("",E1," Ad Valorem Tax (est.)")</f>
        <v>2015 Ad Valorem Tax (est.)</v>
      </c>
      <c r="I75" s="630"/>
      <c r="J75" s="663"/>
      <c r="K75" s="636">
        <f>IF(G75=E80,"","Note: Does not include Delinquent Taxes")</f>
      </c>
    </row>
    <row r="76" spans="2:10" ht="15.75">
      <c r="B76" s="633"/>
      <c r="C76" s="855" t="s">
        <v>691</v>
      </c>
      <c r="D76" s="856"/>
      <c r="E76" s="599"/>
      <c r="F76" s="664">
        <f>IF(E73/0.95-E73&lt;E76,"Exceeds 5%","")</f>
      </c>
      <c r="G76" s="665">
        <f>SUM(G73:G75)</f>
        <v>2562</v>
      </c>
      <c r="H76" s="612" t="str">
        <f>CONCATENATE("Total ",E1," Resources Available")</f>
        <v>Total 2015 Resources Available</v>
      </c>
      <c r="I76" s="666"/>
      <c r="J76" s="663"/>
    </row>
    <row r="77" spans="2:10" ht="15.75">
      <c r="B77" s="638" t="str">
        <f>CONCATENATE(C95,"     ",D95)</f>
        <v>     </v>
      </c>
      <c r="C77" s="857" t="s">
        <v>692</v>
      </c>
      <c r="D77" s="858"/>
      <c r="E77" s="594">
        <f>E73+E76</f>
        <v>2562</v>
      </c>
      <c r="F77" s="632"/>
      <c r="G77" s="667"/>
      <c r="H77" s="668"/>
      <c r="I77" s="611"/>
      <c r="J77" s="663"/>
    </row>
    <row r="78" spans="2:10" ht="15.75">
      <c r="B78" s="638" t="str">
        <f>CONCATENATE(C96,"     ",D96)</f>
        <v>     </v>
      </c>
      <c r="C78" s="640"/>
      <c r="D78" s="579" t="s">
        <v>264</v>
      </c>
      <c r="E78" s="641">
        <f>IF(E77-E61&gt;0,E77-E61,0)</f>
        <v>1919.9</v>
      </c>
      <c r="F78" s="632"/>
      <c r="G78" s="635">
        <f>ROUND(C73*0.05+C73,0)</f>
        <v>2678</v>
      </c>
      <c r="H78" s="612" t="str">
        <f>CONCATENATE("Less ",E1-2," Expenditures + 5%")</f>
        <v>Less 2013 Expenditures + 5%</v>
      </c>
      <c r="I78" s="666"/>
      <c r="J78" s="663"/>
    </row>
    <row r="79" spans="2:10" ht="15.75">
      <c r="B79" s="579"/>
      <c r="C79" s="468" t="s">
        <v>693</v>
      </c>
      <c r="D79" s="642">
        <f>inputOth!E77</f>
        <v>0</v>
      </c>
      <c r="E79" s="594">
        <f>ROUND(IF(E78&gt;0,(E78*D79),0),0)</f>
        <v>0</v>
      </c>
      <c r="F79" s="632"/>
      <c r="G79" s="643">
        <f>G76-G78</f>
        <v>-116</v>
      </c>
      <c r="H79" s="644" t="str">
        <f>CONCATENATE("Projected ",E1+1," carryover (est.)")</f>
        <v>Projected 2016 carryover (est.)</v>
      </c>
      <c r="I79" s="669"/>
      <c r="J79" s="670"/>
    </row>
    <row r="80" spans="2:6" ht="16.5" thickBot="1">
      <c r="B80" s="576"/>
      <c r="C80" s="872" t="str">
        <f>CONCATENATE("Amount of  ",E1-1," Ad Valorem Tax")</f>
        <v>Amount of  2014 Ad Valorem Tax</v>
      </c>
      <c r="D80" s="873"/>
      <c r="E80" s="648">
        <f>E78+E79</f>
        <v>1919.9</v>
      </c>
      <c r="F80" s="671" t="str">
        <f>IF('Library Grant'!F33="","",IF('Library Grant'!F33="Qualify","Qualifies for State Library Grant","See 'Library Grant' tab"))</f>
        <v>Qualifies for State Library Grant</v>
      </c>
    </row>
    <row r="81" spans="2:10" ht="16.5" thickTop="1">
      <c r="B81" s="579"/>
      <c r="C81" s="872"/>
      <c r="D81" s="873"/>
      <c r="E81" s="649"/>
      <c r="F81" s="632"/>
      <c r="G81" s="874" t="s">
        <v>828</v>
      </c>
      <c r="H81" s="875"/>
      <c r="I81" s="875"/>
      <c r="J81" s="876"/>
    </row>
    <row r="82" spans="2:10" ht="15.75">
      <c r="B82" s="579"/>
      <c r="C82" s="579"/>
      <c r="D82" s="579"/>
      <c r="E82" s="579"/>
      <c r="G82" s="650"/>
      <c r="H82" s="629"/>
      <c r="I82" s="651"/>
      <c r="J82" s="652"/>
    </row>
    <row r="83" spans="2:10" ht="15.75">
      <c r="B83" s="579" t="s">
        <v>245</v>
      </c>
      <c r="C83" s="672">
        <v>9</v>
      </c>
      <c r="D83" s="579"/>
      <c r="E83" s="579"/>
      <c r="F83" s="632"/>
      <c r="G83" s="653">
        <f>summ!H20</f>
        <v>0.508</v>
      </c>
      <c r="H83" s="629" t="str">
        <f>CONCATENATE("",E1," Fund Mill Rate")</f>
        <v>2015 Fund Mill Rate</v>
      </c>
      <c r="I83" s="651"/>
      <c r="J83" s="652"/>
    </row>
    <row r="84" spans="7:10" ht="15.75">
      <c r="G84" s="654">
        <f>summ!E20</f>
        <v>0.597</v>
      </c>
      <c r="H84" s="629" t="str">
        <f>CONCATENATE("",E1-1," Fund Mill Rate")</f>
        <v>2014 Fund Mill Rate</v>
      </c>
      <c r="I84" s="651"/>
      <c r="J84" s="652"/>
    </row>
    <row r="85" spans="7:10" ht="15.75">
      <c r="G85" s="656">
        <f>summ!H36</f>
        <v>15.561</v>
      </c>
      <c r="H85" s="629" t="str">
        <f>CONCATENATE("Total ",E1," Mill Rate")</f>
        <v>Total 2015 Mill Rate</v>
      </c>
      <c r="I85" s="651"/>
      <c r="J85" s="652"/>
    </row>
    <row r="86" spans="7:10" ht="15.75">
      <c r="G86" s="654">
        <f>summ!E36</f>
        <v>16.355</v>
      </c>
      <c r="H86" s="657" t="str">
        <f>CONCATENATE("Total ",E1-1," Mill Rate")</f>
        <v>Total 2014 Mill Rate</v>
      </c>
      <c r="I86" s="658"/>
      <c r="J86" s="659"/>
    </row>
    <row r="87" spans="7:10" ht="15.75">
      <c r="G87" s="673"/>
      <c r="H87" s="673"/>
      <c r="I87" s="673"/>
      <c r="J87" s="673"/>
    </row>
    <row r="88" spans="3:9" ht="15.75">
      <c r="C88" s="674" t="s">
        <v>829</v>
      </c>
      <c r="D88" s="674" t="s">
        <v>829</v>
      </c>
      <c r="G88" s="746" t="s">
        <v>927</v>
      </c>
      <c r="H88" s="706"/>
      <c r="I88" s="705" t="str">
        <f>cert!E41</f>
        <v>No</v>
      </c>
    </row>
    <row r="89" spans="3:4" ht="15.75">
      <c r="C89" s="674" t="s">
        <v>829</v>
      </c>
      <c r="D89" s="674" t="s">
        <v>829</v>
      </c>
    </row>
    <row r="91" spans="3:4" ht="15.75">
      <c r="C91" s="674" t="s">
        <v>829</v>
      </c>
      <c r="D91" s="674" t="s">
        <v>829</v>
      </c>
    </row>
    <row r="92" spans="3:4" ht="15.75">
      <c r="C92" s="674" t="s">
        <v>829</v>
      </c>
      <c r="D92" s="674" t="s">
        <v>829</v>
      </c>
    </row>
    <row r="93" spans="3:4" ht="15.75" hidden="1">
      <c r="C93" s="675">
        <f>IF(C33&gt;C35,"See Tab A","")</f>
      </c>
      <c r="D93" s="675">
        <f>IF(D33&gt;D35,"See Tab C","")</f>
      </c>
    </row>
    <row r="94" spans="3:4" ht="15.75" hidden="1">
      <c r="C94" s="675">
        <f>IF(C34&lt;0,"See Tab B","")</f>
      </c>
      <c r="D94" s="675">
        <f>IF(D34&lt;0,"See Tab D","")</f>
      </c>
    </row>
    <row r="95" spans="3:4" ht="15.75" hidden="1">
      <c r="C95" s="676">
        <f>IF(C73&gt;C75,"See Tab A","")</f>
      </c>
      <c r="D95" s="676">
        <f>IF(D73&gt;D75,"See Tab C","")</f>
      </c>
    </row>
    <row r="96" spans="3:4" ht="15.75" hidden="1">
      <c r="C96" s="676">
        <f>IF(C74&lt;0,"See Tab B","")</f>
      </c>
      <c r="D96" s="676">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6">
      <selection activeCell="E31" sqref="E31"/>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75">
      <c r="B1" s="200" t="str">
        <f>inputPrYr!D3</f>
        <v>VIOLA TOWNSHIP</v>
      </c>
      <c r="C1" s="46"/>
      <c r="D1" s="46"/>
      <c r="E1" s="201">
        <f>inputPrYr!D9</f>
        <v>2015</v>
      </c>
    </row>
    <row r="2" spans="2:5" ht="15.75">
      <c r="B2" s="510" t="s">
        <v>733</v>
      </c>
      <c r="C2" s="46"/>
      <c r="D2" s="184"/>
      <c r="E2" s="48"/>
    </row>
    <row r="3" spans="2:5" ht="15.75">
      <c r="B3" s="53" t="s">
        <v>246</v>
      </c>
      <c r="C3" s="51"/>
      <c r="D3" s="51"/>
      <c r="E3" s="51"/>
    </row>
    <row r="4" spans="2:5" ht="15.75">
      <c r="B4" s="46"/>
      <c r="C4" s="356" t="s">
        <v>247</v>
      </c>
      <c r="D4" s="359" t="s">
        <v>248</v>
      </c>
      <c r="E4" s="55" t="s">
        <v>249</v>
      </c>
    </row>
    <row r="5" spans="2:5" ht="15.75">
      <c r="B5" s="452" t="str">
        <f>inputPrYr!B23</f>
        <v>Road</v>
      </c>
      <c r="C5" s="357" t="str">
        <f>gen!C5</f>
        <v>Actual for 2013</v>
      </c>
      <c r="D5" s="357" t="str">
        <f>gen!D5</f>
        <v>Estimate for 2014</v>
      </c>
      <c r="E5" s="60" t="str">
        <f>gen!E5</f>
        <v>Year for 2015</v>
      </c>
    </row>
    <row r="6" spans="2:5" ht="15.75">
      <c r="B6" s="61" t="s">
        <v>60</v>
      </c>
      <c r="C6" s="283">
        <v>0</v>
      </c>
      <c r="D6" s="358">
        <f>C44</f>
        <v>0.23999999999068677</v>
      </c>
      <c r="E6" s="236">
        <f>D44</f>
        <v>0.23999999999068677</v>
      </c>
    </row>
    <row r="7" spans="2:5" ht="15.75">
      <c r="B7" s="61" t="s">
        <v>62</v>
      </c>
      <c r="C7" s="358"/>
      <c r="D7" s="358"/>
      <c r="E7" s="285"/>
    </row>
    <row r="8" spans="2:5" ht="15.75">
      <c r="B8" s="61" t="s">
        <v>252</v>
      </c>
      <c r="C8" s="283">
        <f>904.19+30554.63+3085.14</f>
        <v>34543.96</v>
      </c>
      <c r="D8" s="358">
        <f>IF(inputPrYr!H19&gt;0,inputPrYr!G23,inputPrYr!E23)</f>
        <v>38500</v>
      </c>
      <c r="E8" s="285" t="s">
        <v>231</v>
      </c>
    </row>
    <row r="9" spans="2:5" ht="15.75">
      <c r="B9" s="61" t="s">
        <v>253</v>
      </c>
      <c r="C9" s="283">
        <v>244.47</v>
      </c>
      <c r="D9" s="283">
        <v>0</v>
      </c>
      <c r="E9" s="149">
        <v>0</v>
      </c>
    </row>
    <row r="10" spans="2:5" ht="15.75">
      <c r="B10" s="61" t="s">
        <v>254</v>
      </c>
      <c r="C10" s="283">
        <v>4797.38</v>
      </c>
      <c r="D10" s="283">
        <v>5043</v>
      </c>
      <c r="E10" s="236">
        <f>mvalloc!G14</f>
        <v>6015</v>
      </c>
    </row>
    <row r="11" spans="2:5" ht="15.75">
      <c r="B11" s="61" t="s">
        <v>255</v>
      </c>
      <c r="C11" s="283">
        <v>44.78</v>
      </c>
      <c r="D11" s="283">
        <v>66</v>
      </c>
      <c r="E11" s="236">
        <f>mvalloc!I14</f>
        <v>65</v>
      </c>
    </row>
    <row r="12" spans="2:5" ht="15.75">
      <c r="B12" s="61" t="s">
        <v>51</v>
      </c>
      <c r="C12" s="283">
        <v>240.86</v>
      </c>
      <c r="D12" s="283">
        <v>262</v>
      </c>
      <c r="E12" s="236">
        <f>mvalloc!J14</f>
        <v>226</v>
      </c>
    </row>
    <row r="13" spans="2:5" ht="15.75">
      <c r="B13" s="61" t="s">
        <v>52</v>
      </c>
      <c r="C13" s="283">
        <v>34961.63</v>
      </c>
      <c r="D13" s="283">
        <v>35229</v>
      </c>
      <c r="E13" s="236">
        <f>inputOth!E72</f>
        <v>35000</v>
      </c>
    </row>
    <row r="14" spans="2:5" ht="15.75">
      <c r="B14" s="288" t="s">
        <v>968</v>
      </c>
      <c r="C14" s="283">
        <v>0</v>
      </c>
      <c r="D14" s="283">
        <v>0</v>
      </c>
      <c r="E14" s="149">
        <v>47.77</v>
      </c>
    </row>
    <row r="15" spans="2:5" ht="15.75">
      <c r="B15" s="288"/>
      <c r="C15" s="283"/>
      <c r="D15" s="283"/>
      <c r="E15" s="149"/>
    </row>
    <row r="16" spans="2:5" ht="15.75">
      <c r="B16" s="288"/>
      <c r="C16" s="283"/>
      <c r="D16" s="283"/>
      <c r="E16" s="149"/>
    </row>
    <row r="17" spans="2:5" ht="15.75">
      <c r="B17" s="288"/>
      <c r="C17" s="283"/>
      <c r="D17" s="283"/>
      <c r="E17" s="149"/>
    </row>
    <row r="18" spans="2:5" ht="15.75">
      <c r="B18" s="288"/>
      <c r="C18" s="283"/>
      <c r="D18" s="283"/>
      <c r="E18" s="149"/>
    </row>
    <row r="19" spans="2:5" ht="15.75">
      <c r="B19" s="288"/>
      <c r="C19" s="283"/>
      <c r="D19" s="283"/>
      <c r="E19" s="149"/>
    </row>
    <row r="20" spans="2:5" ht="15.75">
      <c r="B20" s="288" t="s">
        <v>258</v>
      </c>
      <c r="C20" s="283"/>
      <c r="D20" s="283"/>
      <c r="E20" s="149"/>
    </row>
    <row r="21" spans="2:5" ht="15.75">
      <c r="B21" s="289" t="s">
        <v>204</v>
      </c>
      <c r="C21" s="283"/>
      <c r="D21" s="283"/>
      <c r="E21" s="149"/>
    </row>
    <row r="22" spans="2:5" ht="15.75">
      <c r="B22" s="289" t="s">
        <v>205</v>
      </c>
      <c r="C22" s="360">
        <f>IF(C23*0.1&lt;C21,"Exceed 10% Rule","")</f>
      </c>
      <c r="D22" s="360">
        <f>IF(D23*0.1&lt;D21,"Exceed 10% Rule","")</f>
      </c>
      <c r="E22" s="293">
        <f>IF(E23*0.1+E50&lt;E21,"Exceed 10% Rule","")</f>
      </c>
    </row>
    <row r="23" spans="2:5" ht="15.75">
      <c r="B23" s="291" t="s">
        <v>259</v>
      </c>
      <c r="C23" s="361">
        <f>SUM(C8:C21)</f>
        <v>74833.07999999999</v>
      </c>
      <c r="D23" s="361">
        <f>SUM(D8:D21)</f>
        <v>79100</v>
      </c>
      <c r="E23" s="292">
        <f>SUM(E8:E21)</f>
        <v>41353.77</v>
      </c>
    </row>
    <row r="24" spans="2:5" ht="15.75">
      <c r="B24" s="79" t="s">
        <v>260</v>
      </c>
      <c r="C24" s="361">
        <f>C23+C6</f>
        <v>74833.07999999999</v>
      </c>
      <c r="D24" s="361">
        <f>D23+D6</f>
        <v>79100.23999999999</v>
      </c>
      <c r="E24" s="292">
        <f>E23+E6</f>
        <v>41354.00999999999</v>
      </c>
    </row>
    <row r="25" spans="2:5" ht="15.75">
      <c r="B25" s="61" t="s">
        <v>261</v>
      </c>
      <c r="C25" s="358"/>
      <c r="D25" s="358"/>
      <c r="E25" s="236"/>
    </row>
    <row r="26" spans="2:5" ht="15.75">
      <c r="B26" s="288"/>
      <c r="C26" s="283"/>
      <c r="D26" s="283"/>
      <c r="E26" s="149"/>
    </row>
    <row r="27" spans="2:5" ht="15.75">
      <c r="B27" s="288" t="s">
        <v>53</v>
      </c>
      <c r="C27" s="283">
        <v>782.5</v>
      </c>
      <c r="D27" s="149">
        <v>0</v>
      </c>
      <c r="E27" s="149">
        <v>1000</v>
      </c>
    </row>
    <row r="28" spans="2:5" ht="15.75">
      <c r="B28" s="288" t="s">
        <v>963</v>
      </c>
      <c r="C28" s="283">
        <v>11489</v>
      </c>
      <c r="D28" s="149">
        <v>16600</v>
      </c>
      <c r="E28" s="149">
        <v>17000</v>
      </c>
    </row>
    <row r="29" spans="2:5" ht="15.75">
      <c r="B29" s="287" t="s">
        <v>54</v>
      </c>
      <c r="C29" s="283">
        <f>594.17+549.42+775.78</f>
        <v>1919.37</v>
      </c>
      <c r="D29" s="149">
        <v>4500</v>
      </c>
      <c r="E29" s="149">
        <v>4500</v>
      </c>
    </row>
    <row r="30" spans="2:5" ht="15.75">
      <c r="B30" s="288" t="s">
        <v>964</v>
      </c>
      <c r="C30" s="283">
        <v>24924.73</v>
      </c>
      <c r="D30" s="149">
        <v>30000</v>
      </c>
      <c r="E30" s="149">
        <v>30276</v>
      </c>
    </row>
    <row r="31" spans="2:5" ht="15.75">
      <c r="B31" s="288" t="s">
        <v>965</v>
      </c>
      <c r="C31" s="283">
        <v>8059.75</v>
      </c>
      <c r="D31" s="149">
        <v>15000</v>
      </c>
      <c r="E31" s="149">
        <v>15000</v>
      </c>
    </row>
    <row r="32" spans="2:5" ht="15.75">
      <c r="B32" s="288" t="s">
        <v>55</v>
      </c>
      <c r="C32" s="283">
        <v>13151.62</v>
      </c>
      <c r="D32" s="149">
        <v>10000</v>
      </c>
      <c r="E32" s="149">
        <v>10000</v>
      </c>
    </row>
    <row r="33" spans="2:5" ht="15.75">
      <c r="B33" s="288" t="s">
        <v>67</v>
      </c>
      <c r="C33" s="283">
        <v>2250</v>
      </c>
      <c r="D33" s="149">
        <v>3000</v>
      </c>
      <c r="E33" s="149">
        <v>3000</v>
      </c>
    </row>
    <row r="34" spans="2:10" ht="15.75">
      <c r="B34" s="288"/>
      <c r="C34" s="283"/>
      <c r="D34" s="283"/>
      <c r="E34" s="149"/>
      <c r="G34" s="861" t="str">
        <f>CONCATENATE("Desired Carryover Into ",E1+1,"")</f>
        <v>Desired Carryover Into 2016</v>
      </c>
      <c r="H34" s="862"/>
      <c r="I34" s="862"/>
      <c r="J34" s="863"/>
    </row>
    <row r="35" spans="2:10" ht="15.75">
      <c r="B35" s="288"/>
      <c r="C35" s="283"/>
      <c r="D35" s="283"/>
      <c r="E35" s="149"/>
      <c r="G35" s="472"/>
      <c r="H35" s="52"/>
      <c r="I35" s="514"/>
      <c r="J35" s="473"/>
    </row>
    <row r="36" spans="2:10" ht="15.75">
      <c r="B36" s="287"/>
      <c r="C36" s="283"/>
      <c r="D36" s="283"/>
      <c r="E36" s="149"/>
      <c r="G36" s="474" t="s">
        <v>697</v>
      </c>
      <c r="H36" s="514"/>
      <c r="I36" s="514"/>
      <c r="J36" s="475">
        <v>0</v>
      </c>
    </row>
    <row r="37" spans="2:10" ht="15.75">
      <c r="B37" s="287"/>
      <c r="C37" s="283"/>
      <c r="D37" s="283"/>
      <c r="E37" s="149"/>
      <c r="G37" s="472" t="s">
        <v>698</v>
      </c>
      <c r="H37" s="52"/>
      <c r="I37" s="52"/>
      <c r="J37" s="680">
        <f>IF(J36=0,"",ROUND((J36+E50-G49)/inputOth!E11*1000,3)-G54)</f>
      </c>
    </row>
    <row r="38" spans="2:10" ht="15.75">
      <c r="B38" s="61" t="s">
        <v>56</v>
      </c>
      <c r="C38" s="283">
        <v>12255.87</v>
      </c>
      <c r="D38" s="283"/>
      <c r="E38" s="149"/>
      <c r="G38" s="681" t="str">
        <f>CONCATENATE("",E1," Tot Exp/Non-Appr Must Be:")</f>
        <v>2015 Tot Exp/Non-Appr Must Be:</v>
      </c>
      <c r="H38" s="507"/>
      <c r="I38" s="677"/>
      <c r="J38" s="682">
        <f>IF(J36&gt;0,IF(E47&lt;E24,IF(J36=G49,E47,((J36-G49)*(1-D49))+E24),E47+(J36-G49)),0)</f>
        <v>0</v>
      </c>
    </row>
    <row r="39" spans="2:10" ht="15.75">
      <c r="B39" s="61" t="s">
        <v>699</v>
      </c>
      <c r="C39" s="360">
        <f>IF(C24*0.25&lt;C38,"Exceeds 25%","")</f>
      </c>
      <c r="D39" s="360">
        <f>IF(D24*0.25&lt;D38,"Exceeds 25%","")</f>
      </c>
      <c r="E39" s="293">
        <f>IF(E24*0.25+E50&lt;E38,"Exceeds 25%","")</f>
      </c>
      <c r="G39" s="683" t="s">
        <v>827</v>
      </c>
      <c r="H39" s="684"/>
      <c r="I39" s="684"/>
      <c r="J39" s="685">
        <f>IF(J36&gt;0,J38-E47,0)</f>
        <v>0</v>
      </c>
    </row>
    <row r="40" spans="2:5" ht="15.75">
      <c r="B40" s="286" t="s">
        <v>206</v>
      </c>
      <c r="C40" s="283"/>
      <c r="D40" s="283"/>
      <c r="E40" s="160">
        <f>nhood!E9</f>
      </c>
    </row>
    <row r="41" spans="2:10" ht="15.75">
      <c r="B41" s="286" t="s">
        <v>204</v>
      </c>
      <c r="C41" s="283"/>
      <c r="D41" s="283"/>
      <c r="E41" s="149"/>
      <c r="G41" s="861" t="str">
        <f>CONCATENATE("Projected Carryover Into ",E1+1,"")</f>
        <v>Projected Carryover Into 2016</v>
      </c>
      <c r="H41" s="862"/>
      <c r="I41" s="862"/>
      <c r="J41" s="863"/>
    </row>
    <row r="42" spans="2:10" ht="15.75">
      <c r="B42" s="286" t="s">
        <v>694</v>
      </c>
      <c r="C42" s="360">
        <f>IF(C43*0.1&lt;C41,"Exceed 10% Rule","")</f>
      </c>
      <c r="D42" s="360">
        <f>IF(D43*0.1&lt;D41,"Exceed 10% Rule","")</f>
      </c>
      <c r="E42" s="293">
        <f>IF(E43*0.1&lt;E41,"Exceed 10% Rule","")</f>
      </c>
      <c r="G42" s="471"/>
      <c r="H42" s="52"/>
      <c r="I42" s="52"/>
      <c r="J42" s="65"/>
    </row>
    <row r="43" spans="2:10" ht="15.75">
      <c r="B43" s="79" t="s">
        <v>262</v>
      </c>
      <c r="C43" s="361">
        <f>SUM(C26:C41)</f>
        <v>74832.84</v>
      </c>
      <c r="D43" s="361">
        <f>SUM(D26:D41)</f>
        <v>79100</v>
      </c>
      <c r="E43" s="292">
        <f>SUM(E26:E38,E41)</f>
        <v>80776</v>
      </c>
      <c r="G43" s="511">
        <f>D44</f>
        <v>0.23999999999068677</v>
      </c>
      <c r="H43" s="512" t="str">
        <f>CONCATENATE("",E1-1," Ending Cash Balance (est.)")</f>
        <v>2014 Ending Cash Balance (est.)</v>
      </c>
      <c r="I43" s="513"/>
      <c r="J43" s="65"/>
    </row>
    <row r="44" spans="2:10" ht="15.75">
      <c r="B44" s="61" t="s">
        <v>61</v>
      </c>
      <c r="C44" s="362">
        <f>C24-C43</f>
        <v>0.23999999999068677</v>
      </c>
      <c r="D44" s="362">
        <f>D24-D43</f>
        <v>0.23999999999068677</v>
      </c>
      <c r="E44" s="285" t="s">
        <v>231</v>
      </c>
      <c r="G44" s="511">
        <f>E23</f>
        <v>41353.77</v>
      </c>
      <c r="H44" s="514" t="str">
        <f>CONCATENATE("",E1," Non-AV Receipts (est.)")</f>
        <v>2015 Non-AV Receipts (est.)</v>
      </c>
      <c r="I44" s="513"/>
      <c r="J44" s="65"/>
    </row>
    <row r="45" spans="2:11" ht="15.75">
      <c r="B45" s="96" t="str">
        <f>CONCATENATE("",E1-2,"/",E1-1,"/",E1," Budget Authority Amount:")</f>
        <v>2013/2014/2015 Budget Authority Amount:</v>
      </c>
      <c r="C45" s="715">
        <f>inputOth!B86</f>
        <v>76748</v>
      </c>
      <c r="D45" s="715">
        <f>inputPrYr!D23</f>
        <v>79100</v>
      </c>
      <c r="E45" s="236">
        <f>E43</f>
        <v>80776</v>
      </c>
      <c r="F45" s="294"/>
      <c r="G45" s="515">
        <f>IF(D49&gt;0,E48,E50)</f>
        <v>39421.99000000001</v>
      </c>
      <c r="H45" s="514" t="str">
        <f>CONCATENATE("",E1," Ad Valorem Tax (est.)")</f>
        <v>2015 Ad Valorem Tax (est.)</v>
      </c>
      <c r="I45" s="513"/>
      <c r="J45" s="65"/>
      <c r="K45" s="686">
        <f>IF(G45=E50,"","Note: Does not include Delinquent Taxes")</f>
      </c>
    </row>
    <row r="46" spans="2:10" ht="15.75">
      <c r="B46" s="97"/>
      <c r="C46" s="855" t="s">
        <v>691</v>
      </c>
      <c r="D46" s="856"/>
      <c r="E46" s="149"/>
      <c r="F46" s="695">
        <f>IF(E43/0.95-E43&lt;E46,"Exceeds 5%","")</f>
      </c>
      <c r="G46" s="511">
        <f>SUM(G43:G45)</f>
        <v>80776</v>
      </c>
      <c r="H46" s="514" t="str">
        <f>CONCATENATE("Total ",E1," Resources Available")</f>
        <v>Total 2015 Resources Available</v>
      </c>
      <c r="I46" s="513"/>
      <c r="J46" s="65"/>
    </row>
    <row r="47" spans="2:10" ht="15.75">
      <c r="B47" s="467" t="str">
        <f>CONCATENATE(C72,"     ",D72)</f>
        <v>     </v>
      </c>
      <c r="C47" s="857" t="s">
        <v>692</v>
      </c>
      <c r="D47" s="858"/>
      <c r="E47" s="236">
        <f>E43+E46</f>
        <v>80776</v>
      </c>
      <c r="G47" s="516"/>
      <c r="H47" s="514"/>
      <c r="I47" s="514"/>
      <c r="J47" s="65"/>
    </row>
    <row r="48" spans="2:10" ht="15.75">
      <c r="B48" s="467" t="str">
        <f>CONCATENATE(C73,"     ",D73)</f>
        <v>     </v>
      </c>
      <c r="C48" s="470"/>
      <c r="D48" s="469" t="s">
        <v>264</v>
      </c>
      <c r="E48" s="160">
        <f>IF(E47-E24&gt;0,E47-E24,0)</f>
        <v>39421.99000000001</v>
      </c>
      <c r="G48" s="515">
        <f>ROUND(C43*0.05+C43,0)</f>
        <v>78574</v>
      </c>
      <c r="H48" s="514" t="str">
        <f>CONCATENATE("Less ",E1-2," Expenditures + 5%")</f>
        <v>Less 2013 Expenditures + 5%</v>
      </c>
      <c r="I48" s="513"/>
      <c r="J48" s="65"/>
    </row>
    <row r="49" spans="2:10" ht="15.75">
      <c r="B49" s="187"/>
      <c r="C49" s="468" t="s">
        <v>693</v>
      </c>
      <c r="D49" s="679">
        <f>inputOth!$E$77</f>
        <v>0</v>
      </c>
      <c r="E49" s="236">
        <f>ROUND(IF(D49&gt;0,(E48*D49),0),0)</f>
        <v>0</v>
      </c>
      <c r="G49" s="517">
        <f>G46-G48</f>
        <v>2202</v>
      </c>
      <c r="H49" s="518" t="str">
        <f>CONCATENATE("Projected ",E1+1," Carryover (est.)")</f>
        <v>Projected 2016 Carryover (est.)</v>
      </c>
      <c r="I49" s="519"/>
      <c r="J49" s="520"/>
    </row>
    <row r="50" spans="2:5" ht="15.75">
      <c r="B50" s="46"/>
      <c r="C50" s="859" t="str">
        <f>CONCATENATE("Amount of  ",$E$1-1," Ad Valorem Tax")</f>
        <v>Amount of  2014 Ad Valorem Tax</v>
      </c>
      <c r="D50" s="860"/>
      <c r="E50" s="160">
        <f>E48+E49</f>
        <v>39421.99000000001</v>
      </c>
    </row>
    <row r="51" spans="2:10" ht="15.75">
      <c r="B51" s="46"/>
      <c r="C51" s="46"/>
      <c r="D51" s="46"/>
      <c r="E51" s="46"/>
      <c r="G51" s="864" t="s">
        <v>828</v>
      </c>
      <c r="H51" s="865"/>
      <c r="I51" s="865"/>
      <c r="J51" s="866"/>
    </row>
    <row r="52" spans="2:10" ht="15.75">
      <c r="B52" s="46"/>
      <c r="C52" s="46"/>
      <c r="D52" s="46"/>
      <c r="E52" s="46"/>
      <c r="G52" s="687"/>
      <c r="H52" s="512"/>
      <c r="I52" s="678"/>
      <c r="J52" s="688"/>
    </row>
    <row r="53" spans="2:10" ht="15.75">
      <c r="B53" s="136" t="s">
        <v>266</v>
      </c>
      <c r="C53" s="181">
        <f>E1-2</f>
        <v>2013</v>
      </c>
      <c r="D53" s="46"/>
      <c r="E53" s="46"/>
      <c r="G53" s="689">
        <f>summ!H21</f>
        <v>10.438</v>
      </c>
      <c r="H53" s="512" t="str">
        <f>CONCATENATE("",E1," Fund Mill Rate")</f>
        <v>2015 Fund Mill Rate</v>
      </c>
      <c r="I53" s="678"/>
      <c r="J53" s="688"/>
    </row>
    <row r="54" spans="2:10" ht="15.75">
      <c r="B54" s="58" t="s">
        <v>267</v>
      </c>
      <c r="C54" s="60" t="s">
        <v>268</v>
      </c>
      <c r="D54" s="46"/>
      <c r="E54" s="46"/>
      <c r="G54" s="690">
        <f>summ!E21</f>
        <v>11.038</v>
      </c>
      <c r="H54" s="512" t="str">
        <f>CONCATENATE("",E1-1," Fund Mill Rate")</f>
        <v>2014 Fund Mill Rate</v>
      </c>
      <c r="I54" s="678"/>
      <c r="J54" s="688"/>
    </row>
    <row r="55" spans="2:10" ht="15.75">
      <c r="B55" s="85" t="s">
        <v>250</v>
      </c>
      <c r="C55" s="466">
        <v>53403.26</v>
      </c>
      <c r="D55" s="46"/>
      <c r="E55" s="46"/>
      <c r="G55" s="691">
        <f>summ!H36</f>
        <v>15.561</v>
      </c>
      <c r="H55" s="512" t="str">
        <f>CONCATENATE("Total ",E1," Mill Rate")</f>
        <v>Total 2015 Mill Rate</v>
      </c>
      <c r="I55" s="678"/>
      <c r="J55" s="688"/>
    </row>
    <row r="56" spans="2:10" ht="15.75">
      <c r="B56" s="85" t="s">
        <v>269</v>
      </c>
      <c r="C56" s="308"/>
      <c r="D56" s="46"/>
      <c r="E56" s="46"/>
      <c r="G56" s="690">
        <f>summ!E36</f>
        <v>16.355</v>
      </c>
      <c r="H56" s="692" t="str">
        <f>CONCATENATE("Total ",E1-1," Mill Rate")</f>
        <v>Total 2014 Mill Rate</v>
      </c>
      <c r="I56" s="693"/>
      <c r="J56" s="694"/>
    </row>
    <row r="57" spans="2:5" ht="15.75">
      <c r="B57" s="85" t="s">
        <v>270</v>
      </c>
      <c r="C57" s="461">
        <f>IF(C38&gt;0,C38,0)</f>
        <v>12255.87</v>
      </c>
      <c r="D57" s="299">
        <f>IF(C38&gt;(C24*0.25),"Exceeds 25% of Resources Available","")</f>
      </c>
      <c r="E57" s="46"/>
    </row>
    <row r="58" spans="2:9" ht="15.75">
      <c r="B58" s="85" t="s">
        <v>168</v>
      </c>
      <c r="C58" s="460">
        <f>IF(gen!C43&gt;0,gen!C43,0)</f>
        <v>0</v>
      </c>
      <c r="D58" s="878">
        <f>IF(AND(gen!C43&gt;0,gen!C45&gt;0),"Not Auth. Two General Transfers - Only One","")</f>
      </c>
      <c r="E58" s="46"/>
      <c r="G58" s="747" t="s">
        <v>927</v>
      </c>
      <c r="H58" s="706"/>
      <c r="I58" s="705" t="str">
        <f>cert!E41</f>
        <v>No</v>
      </c>
    </row>
    <row r="59" spans="2:5" ht="15.75">
      <c r="B59" s="85" t="s">
        <v>169</v>
      </c>
      <c r="C59" s="461">
        <f>IF(gen!C45&gt;0,gen!C45,0)</f>
        <v>2290.81</v>
      </c>
      <c r="D59" s="879"/>
      <c r="E59" s="46"/>
    </row>
    <row r="60" spans="2:5" ht="15.75">
      <c r="B60" s="151"/>
      <c r="C60" s="466"/>
      <c r="D60" s="46"/>
      <c r="E60" s="46"/>
    </row>
    <row r="61" spans="2:5" ht="15.75">
      <c r="B61" s="151" t="s">
        <v>258</v>
      </c>
      <c r="C61" s="466">
        <v>38.69</v>
      </c>
      <c r="D61" s="46"/>
      <c r="E61" s="46"/>
    </row>
    <row r="62" spans="2:5" ht="15.75">
      <c r="B62" s="151" t="s">
        <v>257</v>
      </c>
      <c r="C62" s="466"/>
      <c r="D62" s="46"/>
      <c r="E62" s="46"/>
    </row>
    <row r="63" spans="2:5" ht="15.75">
      <c r="B63" s="300" t="s">
        <v>260</v>
      </c>
      <c r="C63" s="459">
        <f>SUM(C55,C57:C62)</f>
        <v>67988.63</v>
      </c>
      <c r="D63" s="46"/>
      <c r="E63" s="46"/>
    </row>
    <row r="64" spans="2:5" ht="15.75">
      <c r="B64" s="300" t="s">
        <v>262</v>
      </c>
      <c r="C64" s="466"/>
      <c r="D64" s="46"/>
      <c r="E64" s="46"/>
    </row>
    <row r="65" spans="2:5" ht="15.75">
      <c r="B65" s="300" t="s">
        <v>263</v>
      </c>
      <c r="C65" s="459">
        <f>C63-C64</f>
        <v>67988.63</v>
      </c>
      <c r="D65" s="46"/>
      <c r="E65" s="46"/>
    </row>
    <row r="66" spans="2:5" ht="15.75">
      <c r="B66" s="46"/>
      <c r="C66" s="46"/>
      <c r="D66" s="46"/>
      <c r="E66" s="46"/>
    </row>
    <row r="67" spans="2:5" ht="15.75">
      <c r="B67" s="187" t="s">
        <v>245</v>
      </c>
      <c r="C67" s="302">
        <v>8</v>
      </c>
      <c r="D67" s="46"/>
      <c r="E67" s="46"/>
    </row>
    <row r="69" ht="15.75">
      <c r="B69" s="89"/>
    </row>
    <row r="72" spans="3:4" ht="15.75" hidden="1">
      <c r="C72" s="135">
        <f>IF(C43&gt;C45,"See Tab A","")</f>
      </c>
      <c r="D72" s="135">
        <f>IF(D43&gt;D45,"See Tab C","")</f>
      </c>
    </row>
    <row r="73" spans="3:4" ht="15.75" hidden="1">
      <c r="C73" s="135">
        <f>IF(C44&lt;0,"See Tab B","")</f>
      </c>
      <c r="D73" s="135">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C6" sqref="C6"/>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75">
      <c r="B1" s="200" t="str">
        <f>inputPrYr!D3</f>
        <v>VIOLA TOWNSHIP</v>
      </c>
      <c r="C1" s="53" t="s">
        <v>271</v>
      </c>
      <c r="D1" s="46"/>
      <c r="E1" s="201">
        <f>inputPrYr!D9</f>
        <v>2015</v>
      </c>
    </row>
    <row r="2" spans="2:5" ht="15.75">
      <c r="B2" s="510" t="s">
        <v>733</v>
      </c>
      <c r="C2" s="46"/>
      <c r="D2" s="46"/>
      <c r="E2" s="303"/>
    </row>
    <row r="3" spans="2:5" ht="15.75">
      <c r="B3" s="46"/>
      <c r="C3" s="51"/>
      <c r="D3" s="51"/>
      <c r="E3" s="46"/>
    </row>
    <row r="4" spans="2:5" ht="15.75">
      <c r="B4" s="53" t="s">
        <v>246</v>
      </c>
      <c r="C4" s="356" t="s">
        <v>247</v>
      </c>
      <c r="D4" s="359" t="s">
        <v>248</v>
      </c>
      <c r="E4" s="55" t="s">
        <v>249</v>
      </c>
    </row>
    <row r="5" spans="2:5" ht="15.75">
      <c r="B5" s="452" t="str">
        <f>inputPrYr!B24</f>
        <v>Special Road</v>
      </c>
      <c r="C5" s="357" t="str">
        <f>gen!C5</f>
        <v>Actual for 2013</v>
      </c>
      <c r="D5" s="357" t="str">
        <f>gen!D5</f>
        <v>Estimate for 2014</v>
      </c>
      <c r="E5" s="60" t="str">
        <f>gen!E5</f>
        <v>Year for 2015</v>
      </c>
    </row>
    <row r="6" spans="2:5" ht="15.75">
      <c r="B6" s="61" t="s">
        <v>60</v>
      </c>
      <c r="C6" s="283"/>
      <c r="D6" s="358">
        <f>C34</f>
        <v>0</v>
      </c>
      <c r="E6" s="236">
        <f>D34</f>
        <v>0</v>
      </c>
    </row>
    <row r="7" spans="2:5" ht="15.75">
      <c r="B7" s="61" t="s">
        <v>62</v>
      </c>
      <c r="C7" s="358"/>
      <c r="D7" s="358"/>
      <c r="E7" s="285"/>
    </row>
    <row r="8" spans="2:5" ht="15.75">
      <c r="B8" s="61" t="s">
        <v>252</v>
      </c>
      <c r="C8" s="283"/>
      <c r="D8" s="358">
        <f>IF(inputPrYr!H19&gt;0,inputPrYr!G24,inputPrYr!E24)</f>
        <v>0</v>
      </c>
      <c r="E8" s="285" t="s">
        <v>231</v>
      </c>
    </row>
    <row r="9" spans="2:5" ht="15.75">
      <c r="B9" s="61" t="s">
        <v>253</v>
      </c>
      <c r="C9" s="283"/>
      <c r="D9" s="283"/>
      <c r="E9" s="149"/>
    </row>
    <row r="10" spans="2:5" ht="15.75">
      <c r="B10" s="61" t="s">
        <v>254</v>
      </c>
      <c r="C10" s="283"/>
      <c r="D10" s="283"/>
      <c r="E10" s="236">
        <f>mvalloc!G15</f>
        <v>0</v>
      </c>
    </row>
    <row r="11" spans="2:5" ht="15.75">
      <c r="B11" s="61" t="s">
        <v>255</v>
      </c>
      <c r="C11" s="283"/>
      <c r="D11" s="283"/>
      <c r="E11" s="236">
        <f>mvalloc!I15</f>
        <v>0</v>
      </c>
    </row>
    <row r="12" spans="2:5" ht="15.75">
      <c r="B12" s="286" t="s">
        <v>21</v>
      </c>
      <c r="C12" s="283"/>
      <c r="D12" s="283"/>
      <c r="E12" s="236">
        <f>mvalloc!J15</f>
        <v>0</v>
      </c>
    </row>
    <row r="13" spans="2:5" ht="15.75">
      <c r="B13" s="288"/>
      <c r="C13" s="283"/>
      <c r="D13" s="283"/>
      <c r="E13" s="149"/>
    </row>
    <row r="14" spans="2:5" ht="15.75">
      <c r="B14" s="288"/>
      <c r="C14" s="283"/>
      <c r="D14" s="283"/>
      <c r="E14" s="149"/>
    </row>
    <row r="15" spans="2:5" ht="15.75">
      <c r="B15" s="288"/>
      <c r="C15" s="283"/>
      <c r="D15" s="283"/>
      <c r="E15" s="149"/>
    </row>
    <row r="16" spans="2:5" ht="15.75">
      <c r="B16" s="288"/>
      <c r="C16" s="283"/>
      <c r="D16" s="283"/>
      <c r="E16" s="149"/>
    </row>
    <row r="17" spans="2:5" ht="15.75">
      <c r="B17" s="288" t="s">
        <v>258</v>
      </c>
      <c r="C17" s="283"/>
      <c r="D17" s="283"/>
      <c r="E17" s="149"/>
    </row>
    <row r="18" spans="2:5" ht="15.75">
      <c r="B18" s="289" t="s">
        <v>204</v>
      </c>
      <c r="C18" s="283"/>
      <c r="D18" s="283"/>
      <c r="E18" s="149"/>
    </row>
    <row r="19" spans="2:5" ht="15.75">
      <c r="B19" s="289" t="s">
        <v>205</v>
      </c>
      <c r="C19" s="360">
        <f>IF(C20*0.1&lt;C18,"Exceed 10% Rule","")</f>
      </c>
      <c r="D19" s="360">
        <f>IF(D20*0.1&lt;D18,"Exceed 10% Rule","")</f>
      </c>
      <c r="E19" s="293">
        <f>IF(E20*0.1+E40&lt;E18,"Exceed 10% Rule","")</f>
      </c>
    </row>
    <row r="20" spans="2:5" ht="15.75">
      <c r="B20" s="291" t="s">
        <v>259</v>
      </c>
      <c r="C20" s="361">
        <f>SUM(C8:C18)</f>
        <v>0</v>
      </c>
      <c r="D20" s="361">
        <f>SUM(D8:D18)</f>
        <v>0</v>
      </c>
      <c r="E20" s="292">
        <f>SUM(E8:E18)</f>
        <v>0</v>
      </c>
    </row>
    <row r="21" spans="2:5" ht="15.75">
      <c r="B21" s="79" t="s">
        <v>260</v>
      </c>
      <c r="C21" s="361">
        <f>C20+C6</f>
        <v>0</v>
      </c>
      <c r="D21" s="361">
        <f>D20+D6</f>
        <v>0</v>
      </c>
      <c r="E21" s="292">
        <f>E20+E6</f>
        <v>0</v>
      </c>
    </row>
    <row r="22" spans="2:5" ht="15.75">
      <c r="B22" s="61" t="s">
        <v>261</v>
      </c>
      <c r="C22" s="358"/>
      <c r="D22" s="358"/>
      <c r="E22" s="236"/>
    </row>
    <row r="23" spans="2:5" ht="15.75">
      <c r="B23" s="288"/>
      <c r="C23" s="283"/>
      <c r="D23" s="283"/>
      <c r="E23" s="149"/>
    </row>
    <row r="24" spans="2:11" ht="15.75">
      <c r="B24" s="288"/>
      <c r="C24" s="283"/>
      <c r="D24" s="283"/>
      <c r="E24" s="149"/>
      <c r="G24" s="867" t="str">
        <f>CONCATENATE("Desired Carryover Into ",E1+1,"")</f>
        <v>Desired Carryover Into 2016</v>
      </c>
      <c r="H24" s="868"/>
      <c r="I24" s="868"/>
      <c r="J24" s="869"/>
      <c r="K24" s="578"/>
    </row>
    <row r="25" spans="2:11" ht="15.75">
      <c r="B25" s="288"/>
      <c r="C25" s="283"/>
      <c r="D25" s="283"/>
      <c r="E25" s="149"/>
      <c r="G25" s="610"/>
      <c r="H25" s="611"/>
      <c r="I25" s="612"/>
      <c r="J25" s="613"/>
      <c r="K25" s="578"/>
    </row>
    <row r="26" spans="2:11" ht="15.75">
      <c r="B26" s="288"/>
      <c r="C26" s="283"/>
      <c r="D26" s="283"/>
      <c r="E26" s="149"/>
      <c r="G26" s="614" t="s">
        <v>697</v>
      </c>
      <c r="H26" s="612"/>
      <c r="I26" s="612"/>
      <c r="J26" s="615">
        <v>0</v>
      </c>
      <c r="K26" s="578"/>
    </row>
    <row r="27" spans="2:11" ht="15.75">
      <c r="B27" s="288"/>
      <c r="C27" s="283"/>
      <c r="D27" s="283"/>
      <c r="E27" s="149"/>
      <c r="G27" s="610" t="s">
        <v>698</v>
      </c>
      <c r="H27" s="611"/>
      <c r="I27" s="611"/>
      <c r="J27" s="616">
        <f>IF(J26=0,"",ROUND((J26+E40-G39)/inputOth!E11*1000,3)-G44)</f>
      </c>
      <c r="K27" s="578"/>
    </row>
    <row r="28" spans="2:11" ht="15.75">
      <c r="B28" s="288"/>
      <c r="C28" s="283"/>
      <c r="D28" s="283"/>
      <c r="E28" s="149"/>
      <c r="G28" s="617" t="str">
        <f>CONCATENATE("",E1," Tot Exp/Non-Appr Must Be:")</f>
        <v>2015 Tot Exp/Non-Appr Must Be:</v>
      </c>
      <c r="H28" s="618"/>
      <c r="I28" s="619"/>
      <c r="J28" s="620">
        <f>IF(J26&gt;0,IF(E37&lt;E21,IF(J26=G39,E37,((J26-G39)*(1-D39))+E21),E37+(J26-G39)),0)</f>
        <v>0</v>
      </c>
      <c r="K28" s="578"/>
    </row>
    <row r="29" spans="2:11" ht="15.75">
      <c r="B29" s="288"/>
      <c r="C29" s="283"/>
      <c r="D29" s="283"/>
      <c r="E29" s="149"/>
      <c r="G29" s="621" t="s">
        <v>827</v>
      </c>
      <c r="H29" s="622"/>
      <c r="I29" s="622"/>
      <c r="J29" s="623">
        <f>IF(J26&gt;0,J28-E37,0)</f>
        <v>0</v>
      </c>
      <c r="K29" s="578"/>
    </row>
    <row r="30" spans="2:11" ht="15.75">
      <c r="B30" s="286" t="s">
        <v>206</v>
      </c>
      <c r="C30" s="283"/>
      <c r="D30" s="283"/>
      <c r="E30" s="160">
        <f>nhood!E10</f>
      </c>
      <c r="G30" s="578"/>
      <c r="H30" s="578"/>
      <c r="I30" s="578"/>
      <c r="J30" s="578"/>
      <c r="K30" s="578"/>
    </row>
    <row r="31" spans="2:11" ht="15.75">
      <c r="B31" s="286" t="s">
        <v>204</v>
      </c>
      <c r="C31" s="283"/>
      <c r="D31" s="283"/>
      <c r="E31" s="149"/>
      <c r="G31" s="867" t="str">
        <f>CONCATENATE("Projected Carryover Into ",E1+1,"")</f>
        <v>Projected Carryover Into 2016</v>
      </c>
      <c r="H31" s="870"/>
      <c r="I31" s="870"/>
      <c r="J31" s="871"/>
      <c r="K31" s="578"/>
    </row>
    <row r="32" spans="2:11" ht="15.75">
      <c r="B32" s="286" t="s">
        <v>694</v>
      </c>
      <c r="C32" s="360">
        <f>IF(C33*0.1&lt;C31,"Exceed 10% Rule","")</f>
      </c>
      <c r="D32" s="360">
        <f>IF(D33*0.1&lt;D31,"Exceed 10% Rule","")</f>
      </c>
      <c r="E32" s="293">
        <f>IF(E33*0.1&lt;E31,"Exceed 10% Rule","")</f>
      </c>
      <c r="G32" s="610"/>
      <c r="H32" s="612"/>
      <c r="I32" s="612"/>
      <c r="J32" s="625"/>
      <c r="K32" s="578"/>
    </row>
    <row r="33" spans="2:11" ht="15.75">
      <c r="B33" s="79" t="s">
        <v>262</v>
      </c>
      <c r="C33" s="361">
        <f>SUM(C23:C31)</f>
        <v>0</v>
      </c>
      <c r="D33" s="361">
        <f>SUM(D23:D31)</f>
        <v>0</v>
      </c>
      <c r="E33" s="292">
        <f>SUM(E23:E31)</f>
        <v>0</v>
      </c>
      <c r="G33" s="628">
        <f>D34</f>
        <v>0</v>
      </c>
      <c r="H33" s="629" t="str">
        <f>CONCATENATE("",E1-1," Ending Cash Balance (est.)")</f>
        <v>2014 Ending Cash Balance (est.)</v>
      </c>
      <c r="I33" s="630"/>
      <c r="J33" s="625"/>
      <c r="K33" s="578"/>
    </row>
    <row r="34" spans="2:11" ht="15.75">
      <c r="B34" s="61" t="s">
        <v>61</v>
      </c>
      <c r="C34" s="362">
        <f>C21-C33</f>
        <v>0</v>
      </c>
      <c r="D34" s="362">
        <f>D21-D33</f>
        <v>0</v>
      </c>
      <c r="E34" s="285" t="s">
        <v>231</v>
      </c>
      <c r="G34" s="628">
        <f>E20</f>
        <v>0</v>
      </c>
      <c r="H34" s="612" t="str">
        <f>CONCATENATE("",E1," Non-AV Receipts (est.)")</f>
        <v>2015 Non-AV Receipts (est.)</v>
      </c>
      <c r="I34" s="630"/>
      <c r="J34" s="625"/>
      <c r="K34" s="578"/>
    </row>
    <row r="35" spans="2:11" ht="15.75">
      <c r="B35" s="96" t="str">
        <f>CONCATENATE("",E1-2,"/",E1-1,"/",E1," Budget Authority Amount:")</f>
        <v>2013/2014/2015 Budget Authority Amount:</v>
      </c>
      <c r="C35" s="715">
        <f>inputOth!$B87</f>
        <v>0</v>
      </c>
      <c r="D35" s="715">
        <f>inputPrYr!$D24</f>
        <v>0</v>
      </c>
      <c r="E35" s="236">
        <f>E33</f>
        <v>0</v>
      </c>
      <c r="F35" s="294"/>
      <c r="G35" s="635">
        <f>IF(E39&gt;0,E38,E40)</f>
        <v>0</v>
      </c>
      <c r="H35" s="612" t="str">
        <f>CONCATENATE("",E1," Ad Valorem Tax (est.)")</f>
        <v>2015 Ad Valorem Tax (est.)</v>
      </c>
      <c r="I35" s="630"/>
      <c r="J35" s="625"/>
      <c r="K35" s="636">
        <f>IF(G35=E40,"","Note: Does not include Delinquent Taxes")</f>
      </c>
    </row>
    <row r="36" spans="2:11" ht="15.75">
      <c r="B36" s="97"/>
      <c r="C36" s="855" t="s">
        <v>691</v>
      </c>
      <c r="D36" s="856"/>
      <c r="E36" s="149"/>
      <c r="F36" s="695">
        <f>IF(E33/0.95-E33&lt;E36,"Exceeds 5%","")</f>
      </c>
      <c r="G36" s="628">
        <f>SUM(G33:G35)</f>
        <v>0</v>
      </c>
      <c r="H36" s="612" t="str">
        <f>CONCATENATE("Total ",E1," Resources Available")</f>
        <v>Total 2015 Resources Available</v>
      </c>
      <c r="I36" s="630"/>
      <c r="J36" s="625"/>
      <c r="K36" s="578"/>
    </row>
    <row r="37" spans="2:11" ht="15.75">
      <c r="B37" s="467" t="str">
        <f>CONCATENATE(C85,"     ",D85)</f>
        <v>     </v>
      </c>
      <c r="C37" s="857" t="s">
        <v>692</v>
      </c>
      <c r="D37" s="858"/>
      <c r="E37" s="236">
        <f>E33+E36</f>
        <v>0</v>
      </c>
      <c r="G37" s="639"/>
      <c r="H37" s="612"/>
      <c r="I37" s="612"/>
      <c r="J37" s="625"/>
      <c r="K37" s="578"/>
    </row>
    <row r="38" spans="2:11" ht="15.75">
      <c r="B38" s="467" t="str">
        <f>CONCATENATE(C86,"     ",D86)</f>
        <v>     </v>
      </c>
      <c r="C38" s="470"/>
      <c r="D38" s="469" t="s">
        <v>264</v>
      </c>
      <c r="E38" s="160">
        <f>IF(E37-E21&gt;0,E37-E21,0)</f>
        <v>0</v>
      </c>
      <c r="G38" s="635">
        <f>C33*0.05+C33</f>
        <v>0</v>
      </c>
      <c r="H38" s="612" t="str">
        <f>CONCATENATE("Less ",E1-2," Expenditures + 5%")</f>
        <v>Less 2013 Expenditures + 5%</v>
      </c>
      <c r="I38" s="612"/>
      <c r="J38" s="625"/>
      <c r="K38" s="578"/>
    </row>
    <row r="39" spans="2:11" ht="15.75">
      <c r="B39" s="187"/>
      <c r="C39" s="468" t="s">
        <v>693</v>
      </c>
      <c r="D39" s="679">
        <f>inputOth!$E$77</f>
        <v>0</v>
      </c>
      <c r="E39" s="236">
        <f>ROUND(IF(D39&gt;0,(E38*D39),0),0)</f>
        <v>0</v>
      </c>
      <c r="G39" s="643">
        <f>G36-G38</f>
        <v>0</v>
      </c>
      <c r="H39" s="644" t="str">
        <f>CONCATENATE("Projected ",E1+1," carryover (est.)")</f>
        <v>Projected 2016 carryover (est.)</v>
      </c>
      <c r="I39" s="645"/>
      <c r="J39" s="646"/>
      <c r="K39" s="578"/>
    </row>
    <row r="40" spans="2:11" ht="15.75">
      <c r="B40" s="46"/>
      <c r="C40" s="859" t="str">
        <f>CONCATENATE("Amount of  ",$E$1-1," Ad Valorem Tax")</f>
        <v>Amount of  2014 Ad Valorem Tax</v>
      </c>
      <c r="D40" s="860"/>
      <c r="E40" s="160">
        <f>E38+E39</f>
        <v>0</v>
      </c>
      <c r="G40" s="578"/>
      <c r="H40" s="578"/>
      <c r="I40" s="578"/>
      <c r="J40" s="578"/>
      <c r="K40" s="578"/>
    </row>
    <row r="41" spans="2:11" ht="15.75">
      <c r="B41" s="46"/>
      <c r="C41" s="526"/>
      <c r="D41" s="46"/>
      <c r="E41" s="46"/>
      <c r="G41" s="874" t="s">
        <v>828</v>
      </c>
      <c r="H41" s="875"/>
      <c r="I41" s="875"/>
      <c r="J41" s="876"/>
      <c r="K41" s="578"/>
    </row>
    <row r="42" spans="2:11" ht="15.75">
      <c r="B42" s="46"/>
      <c r="C42" s="526"/>
      <c r="D42" s="46"/>
      <c r="E42" s="46"/>
      <c r="G42" s="650"/>
      <c r="H42" s="629"/>
      <c r="I42" s="651"/>
      <c r="J42" s="652"/>
      <c r="K42" s="578"/>
    </row>
    <row r="43" spans="2:11" ht="15.75">
      <c r="B43" s="53" t="s">
        <v>246</v>
      </c>
      <c r="C43" s="51"/>
      <c r="D43" s="51"/>
      <c r="E43" s="51"/>
      <c r="G43" s="653" t="str">
        <f>summ!H22</f>
        <v> </v>
      </c>
      <c r="H43" s="629" t="str">
        <f>CONCATENATE("",E1," Fund Mill Rate")</f>
        <v>2015 Fund Mill Rate</v>
      </c>
      <c r="I43" s="651"/>
      <c r="J43" s="652"/>
      <c r="K43" s="578"/>
    </row>
    <row r="44" spans="2:11" ht="15.75">
      <c r="B44" s="46"/>
      <c r="C44" s="356" t="s">
        <v>247</v>
      </c>
      <c r="D44" s="359" t="s">
        <v>248</v>
      </c>
      <c r="E44" s="55" t="s">
        <v>249</v>
      </c>
      <c r="G44" s="654" t="str">
        <f>summ!E22</f>
        <v>  </v>
      </c>
      <c r="H44" s="629" t="str">
        <f>CONCATENATE("",E1-1," Fund Mill Rate")</f>
        <v>2014 Fund Mill Rate</v>
      </c>
      <c r="I44" s="651"/>
      <c r="J44" s="652"/>
      <c r="K44" s="578"/>
    </row>
    <row r="45" spans="2:11" ht="15.75">
      <c r="B45" s="453" t="str">
        <f>inputPrYr!B25</f>
        <v>Noxious Weed</v>
      </c>
      <c r="C45" s="357" t="str">
        <f>C5</f>
        <v>Actual for 2013</v>
      </c>
      <c r="D45" s="357" t="str">
        <f>D5</f>
        <v>Estimate for 2014</v>
      </c>
      <c r="E45" s="60" t="str">
        <f>E5</f>
        <v>Year for 2015</v>
      </c>
      <c r="G45" s="656">
        <f>summ!H36</f>
        <v>15.561</v>
      </c>
      <c r="H45" s="629" t="str">
        <f>CONCATENATE("Total ",E1," Mill Rate")</f>
        <v>Total 2015 Mill Rate</v>
      </c>
      <c r="I45" s="651"/>
      <c r="J45" s="652"/>
      <c r="K45" s="578"/>
    </row>
    <row r="46" spans="2:11" ht="15.75">
      <c r="B46" s="61" t="s">
        <v>60</v>
      </c>
      <c r="C46" s="283"/>
      <c r="D46" s="358">
        <f>C74</f>
        <v>0</v>
      </c>
      <c r="E46" s="236">
        <f>D74</f>
        <v>0</v>
      </c>
      <c r="G46" s="654">
        <f>summ!E36</f>
        <v>16.355</v>
      </c>
      <c r="H46" s="657" t="str">
        <f>CONCATENATE("Total ",E1-1," Mill Rate")</f>
        <v>Total 2014 Mill Rate</v>
      </c>
      <c r="I46" s="658"/>
      <c r="J46" s="659"/>
      <c r="K46" s="578"/>
    </row>
    <row r="47" spans="2:11" ht="15.75">
      <c r="B47" s="61" t="s">
        <v>62</v>
      </c>
      <c r="C47" s="358"/>
      <c r="D47" s="358"/>
      <c r="E47" s="285"/>
      <c r="G47" s="578"/>
      <c r="H47" s="578"/>
      <c r="I47" s="578"/>
      <c r="J47" s="578"/>
      <c r="K47" s="578"/>
    </row>
    <row r="48" spans="2:11" ht="15.75">
      <c r="B48" s="61" t="s">
        <v>252</v>
      </c>
      <c r="C48" s="283"/>
      <c r="D48" s="358">
        <f>IF(inputPrYr!H19&gt;0,inputPrYr!G25,inputPrYr!E25)</f>
        <v>0</v>
      </c>
      <c r="E48" s="285" t="s">
        <v>231</v>
      </c>
      <c r="G48" s="748" t="s">
        <v>927</v>
      </c>
      <c r="H48" s="706"/>
      <c r="I48" s="705" t="str">
        <f>cert!E41</f>
        <v>No</v>
      </c>
      <c r="J48" s="578"/>
      <c r="K48" s="578"/>
    </row>
    <row r="49" spans="2:11" ht="15.75">
      <c r="B49" s="61" t="s">
        <v>253</v>
      </c>
      <c r="C49" s="283"/>
      <c r="D49" s="283"/>
      <c r="E49" s="149"/>
      <c r="G49" s="578"/>
      <c r="H49" s="578"/>
      <c r="I49" s="578"/>
      <c r="J49" s="578"/>
      <c r="K49" s="578"/>
    </row>
    <row r="50" spans="2:11" ht="15.75">
      <c r="B50" s="61" t="s">
        <v>254</v>
      </c>
      <c r="C50" s="283"/>
      <c r="D50" s="283"/>
      <c r="E50" s="236">
        <f>mvalloc!G16</f>
        <v>0</v>
      </c>
      <c r="G50" s="578"/>
      <c r="H50" s="578"/>
      <c r="I50" s="578"/>
      <c r="J50" s="578"/>
      <c r="K50" s="578"/>
    </row>
    <row r="51" spans="2:11" ht="15.75">
      <c r="B51" s="61" t="s">
        <v>255</v>
      </c>
      <c r="C51" s="283"/>
      <c r="D51" s="283"/>
      <c r="E51" s="236">
        <f>mvalloc!I16</f>
        <v>0</v>
      </c>
      <c r="G51" s="578"/>
      <c r="H51" s="578"/>
      <c r="I51" s="578"/>
      <c r="J51" s="578"/>
      <c r="K51" s="578"/>
    </row>
    <row r="52" spans="2:11" ht="15.75">
      <c r="B52" s="61" t="s">
        <v>51</v>
      </c>
      <c r="C52" s="283"/>
      <c r="D52" s="283"/>
      <c r="E52" s="236">
        <f>mvalloc!J16</f>
        <v>0</v>
      </c>
      <c r="G52" s="578"/>
      <c r="H52" s="578"/>
      <c r="I52" s="578"/>
      <c r="J52" s="578"/>
      <c r="K52" s="578"/>
    </row>
    <row r="53" spans="2:11" ht="15.75">
      <c r="B53" s="287"/>
      <c r="C53" s="283"/>
      <c r="D53" s="283"/>
      <c r="E53" s="149"/>
      <c r="G53" s="578"/>
      <c r="H53" s="578"/>
      <c r="I53" s="578"/>
      <c r="J53" s="578"/>
      <c r="K53" s="578"/>
    </row>
    <row r="54" spans="2:11" ht="15.75">
      <c r="B54" s="287"/>
      <c r="C54" s="283"/>
      <c r="D54" s="283"/>
      <c r="E54" s="149"/>
      <c r="G54" s="578"/>
      <c r="H54" s="578"/>
      <c r="I54" s="578"/>
      <c r="J54" s="578"/>
      <c r="K54" s="578"/>
    </row>
    <row r="55" spans="2:11" ht="15.75">
      <c r="B55" s="287"/>
      <c r="C55" s="283"/>
      <c r="D55" s="283"/>
      <c r="E55" s="149"/>
      <c r="G55" s="578"/>
      <c r="H55" s="578"/>
      <c r="I55" s="578"/>
      <c r="J55" s="578"/>
      <c r="K55" s="578"/>
    </row>
    <row r="56" spans="2:11" ht="15.75">
      <c r="B56" s="288"/>
      <c r="C56" s="283"/>
      <c r="D56" s="283"/>
      <c r="E56" s="149"/>
      <c r="G56" s="578"/>
      <c r="H56" s="578"/>
      <c r="I56" s="578"/>
      <c r="J56" s="578"/>
      <c r="K56" s="578"/>
    </row>
    <row r="57" spans="2:11" ht="15.75">
      <c r="B57" s="288" t="s">
        <v>258</v>
      </c>
      <c r="C57" s="283"/>
      <c r="D57" s="283"/>
      <c r="E57" s="149"/>
      <c r="G57" s="578"/>
      <c r="H57" s="578"/>
      <c r="I57" s="578"/>
      <c r="J57" s="578"/>
      <c r="K57" s="578"/>
    </row>
    <row r="58" spans="2:11" ht="15.75">
      <c r="B58" s="289" t="s">
        <v>204</v>
      </c>
      <c r="C58" s="283"/>
      <c r="D58" s="283"/>
      <c r="E58" s="149"/>
      <c r="G58" s="578"/>
      <c r="H58" s="578"/>
      <c r="I58" s="578"/>
      <c r="J58" s="578"/>
      <c r="K58" s="578"/>
    </row>
    <row r="59" spans="2:11" ht="15.75">
      <c r="B59" s="289" t="s">
        <v>205</v>
      </c>
      <c r="C59" s="360">
        <f>IF(C60*0.1&lt;C58,"Exceed 10% Rule","")</f>
      </c>
      <c r="D59" s="360">
        <f>IF(D60*0.1&lt;D58,"Exceed 10% Rule","")</f>
      </c>
      <c r="E59" s="293">
        <f>IF(E60*0.1+E80&lt;E58,"Exceed 10% Rule","")</f>
      </c>
      <c r="G59" s="578"/>
      <c r="H59" s="578"/>
      <c r="I59" s="578"/>
      <c r="J59" s="578"/>
      <c r="K59" s="578"/>
    </row>
    <row r="60" spans="2:11" ht="15.75">
      <c r="B60" s="291" t="s">
        <v>259</v>
      </c>
      <c r="C60" s="361">
        <f>SUM(C48:C58)</f>
        <v>0</v>
      </c>
      <c r="D60" s="361">
        <f>SUM(D48:D58)</f>
        <v>0</v>
      </c>
      <c r="E60" s="292">
        <f>SUM(E48:E58)</f>
        <v>0</v>
      </c>
      <c r="G60" s="578"/>
      <c r="H60" s="578"/>
      <c r="I60" s="578"/>
      <c r="J60" s="578"/>
      <c r="K60" s="578"/>
    </row>
    <row r="61" spans="2:11" ht="15.75">
      <c r="B61" s="79" t="s">
        <v>260</v>
      </c>
      <c r="C61" s="361">
        <f>C60+C46</f>
        <v>0</v>
      </c>
      <c r="D61" s="361">
        <f>D60+D46</f>
        <v>0</v>
      </c>
      <c r="E61" s="292">
        <f>E60+E46</f>
        <v>0</v>
      </c>
      <c r="G61" s="578"/>
      <c r="H61" s="578"/>
      <c r="I61" s="578"/>
      <c r="J61" s="578"/>
      <c r="K61" s="578"/>
    </row>
    <row r="62" spans="2:11" ht="15.75">
      <c r="B62" s="61" t="s">
        <v>261</v>
      </c>
      <c r="C62" s="358"/>
      <c r="D62" s="358"/>
      <c r="E62" s="236"/>
      <c r="G62" s="578"/>
      <c r="H62" s="578"/>
      <c r="I62" s="578"/>
      <c r="J62" s="578"/>
      <c r="K62" s="578"/>
    </row>
    <row r="63" spans="2:11" ht="15.75">
      <c r="B63" s="288"/>
      <c r="C63" s="283"/>
      <c r="D63" s="283"/>
      <c r="E63" s="149"/>
      <c r="G63" s="578"/>
      <c r="H63" s="578"/>
      <c r="I63" s="578"/>
      <c r="J63" s="578"/>
      <c r="K63" s="578"/>
    </row>
    <row r="64" spans="2:11" ht="15.75">
      <c r="B64" s="288"/>
      <c r="C64" s="283"/>
      <c r="D64" s="283"/>
      <c r="E64" s="149"/>
      <c r="G64" s="867" t="str">
        <f>CONCATENATE("Desired Carryover Into ",E1+1,"")</f>
        <v>Desired Carryover Into 2016</v>
      </c>
      <c r="H64" s="868"/>
      <c r="I64" s="868"/>
      <c r="J64" s="869"/>
      <c r="K64" s="578"/>
    </row>
    <row r="65" spans="2:11" ht="15.75">
      <c r="B65" s="288"/>
      <c r="C65" s="283"/>
      <c r="D65" s="283"/>
      <c r="E65" s="149"/>
      <c r="G65" s="610"/>
      <c r="H65" s="611"/>
      <c r="I65" s="612"/>
      <c r="J65" s="613"/>
      <c r="K65" s="578"/>
    </row>
    <row r="66" spans="2:11" ht="15.75">
      <c r="B66" s="288"/>
      <c r="C66" s="283"/>
      <c r="D66" s="283"/>
      <c r="E66" s="149"/>
      <c r="G66" s="614" t="s">
        <v>697</v>
      </c>
      <c r="H66" s="612"/>
      <c r="I66" s="612"/>
      <c r="J66" s="615">
        <v>0</v>
      </c>
      <c r="K66" s="578"/>
    </row>
    <row r="67" spans="2:11" ht="15.75">
      <c r="B67" s="288"/>
      <c r="C67" s="283"/>
      <c r="D67" s="283"/>
      <c r="E67" s="149"/>
      <c r="G67" s="610" t="s">
        <v>698</v>
      </c>
      <c r="H67" s="611"/>
      <c r="I67" s="611"/>
      <c r="J67" s="616">
        <f>IF(J66=0,"",ROUND((J66+E80-G79)/inputOth!E11*1000,3)-G84)</f>
      </c>
      <c r="K67" s="578"/>
    </row>
    <row r="68" spans="2:11" ht="15.75">
      <c r="B68" s="288"/>
      <c r="C68" s="283"/>
      <c r="D68" s="283"/>
      <c r="E68" s="149"/>
      <c r="G68" s="617" t="str">
        <f>CONCATENATE("",E1," Tot Exp/Non-Appr Must Be:")</f>
        <v>2015 Tot Exp/Non-Appr Must Be:</v>
      </c>
      <c r="H68" s="618"/>
      <c r="I68" s="619"/>
      <c r="J68" s="620">
        <f>IF(J66&gt;0,IF(E77&lt;E61,IF(J66=G79,E77,((J66-G79)*(1-D79))+E61),E77+(J66-G79)),0)</f>
        <v>0</v>
      </c>
      <c r="K68" s="578"/>
    </row>
    <row r="69" spans="2:11" ht="15.75">
      <c r="B69" s="288"/>
      <c r="C69" s="283"/>
      <c r="D69" s="283"/>
      <c r="E69" s="149"/>
      <c r="G69" s="621" t="s">
        <v>827</v>
      </c>
      <c r="H69" s="622"/>
      <c r="I69" s="622"/>
      <c r="J69" s="623">
        <f>IF(J66&gt;0,J68-E77,0)</f>
        <v>0</v>
      </c>
      <c r="K69" s="578"/>
    </row>
    <row r="70" spans="2:11" ht="15.75">
      <c r="B70" s="286" t="s">
        <v>206</v>
      </c>
      <c r="C70" s="283"/>
      <c r="D70" s="283"/>
      <c r="E70" s="160">
        <f>nhood!E11</f>
      </c>
      <c r="G70" s="578"/>
      <c r="H70" s="578"/>
      <c r="I70" s="578"/>
      <c r="J70" s="578"/>
      <c r="K70" s="578"/>
    </row>
    <row r="71" spans="2:11" ht="15.75">
      <c r="B71" s="286" t="s">
        <v>204</v>
      </c>
      <c r="C71" s="283"/>
      <c r="D71" s="283"/>
      <c r="E71" s="149"/>
      <c r="G71" s="867" t="str">
        <f>CONCATENATE("Projected Carryover Into ",E1+1,"")</f>
        <v>Projected Carryover Into 2016</v>
      </c>
      <c r="H71" s="877"/>
      <c r="I71" s="877"/>
      <c r="J71" s="871"/>
      <c r="K71" s="578"/>
    </row>
    <row r="72" spans="2:11" ht="15.75">
      <c r="B72" s="286" t="s">
        <v>694</v>
      </c>
      <c r="C72" s="360">
        <f>IF(C73*0.1&lt;C71,"Exceed 10% Rule","")</f>
      </c>
      <c r="D72" s="360">
        <f>IF(D73*0.1&lt;D71,"Exceed 10% Rule","")</f>
      </c>
      <c r="E72" s="293">
        <f>IF(E73*0.1&lt;E71,"Exceed 10% Rule","")</f>
      </c>
      <c r="G72" s="662"/>
      <c r="H72" s="611"/>
      <c r="I72" s="611"/>
      <c r="J72" s="663"/>
      <c r="K72" s="578"/>
    </row>
    <row r="73" spans="2:11" ht="15.75">
      <c r="B73" s="79" t="s">
        <v>262</v>
      </c>
      <c r="C73" s="361">
        <f>SUM(C63:C71)</f>
        <v>0</v>
      </c>
      <c r="D73" s="361">
        <f>SUM(D63:D71)</f>
        <v>0</v>
      </c>
      <c r="E73" s="292">
        <f>SUM(E63:E71)</f>
        <v>0</v>
      </c>
      <c r="G73" s="628">
        <f>D74</f>
        <v>0</v>
      </c>
      <c r="H73" s="629" t="str">
        <f>CONCATENATE("",E1-1," Ending Cash Balance (est.)")</f>
        <v>2014 Ending Cash Balance (est.)</v>
      </c>
      <c r="I73" s="630"/>
      <c r="J73" s="663"/>
      <c r="K73" s="578"/>
    </row>
    <row r="74" spans="2:11" ht="15.75">
      <c r="B74" s="61" t="s">
        <v>61</v>
      </c>
      <c r="C74" s="362">
        <f>C61-C73</f>
        <v>0</v>
      </c>
      <c r="D74" s="362">
        <f>D61-D73</f>
        <v>0</v>
      </c>
      <c r="E74" s="285" t="s">
        <v>231</v>
      </c>
      <c r="G74" s="628">
        <f>E60</f>
        <v>0</v>
      </c>
      <c r="H74" s="612" t="str">
        <f>CONCATENATE("",E1," Non-AV Receipts (est.)")</f>
        <v>2015 Non-AV Receipts (est.)</v>
      </c>
      <c r="I74" s="630"/>
      <c r="J74" s="663"/>
      <c r="K74" s="578"/>
    </row>
    <row r="75" spans="2:11" ht="15.75">
      <c r="B75" s="96" t="str">
        <f>CONCATENATE("",E1-2,"/",E1-1,"/",E1," Budget Authority Amount:")</f>
        <v>2013/2014/2015 Budget Authority Amount:</v>
      </c>
      <c r="C75" s="715">
        <f>inputOth!$B88</f>
        <v>0</v>
      </c>
      <c r="D75" s="715">
        <f>inputPrYr!$D25</f>
        <v>0</v>
      </c>
      <c r="E75" s="236">
        <f>E73</f>
        <v>0</v>
      </c>
      <c r="F75" s="294"/>
      <c r="G75" s="635">
        <f>IF(E79&gt;0,E78,E80)</f>
        <v>0</v>
      </c>
      <c r="H75" s="612" t="str">
        <f>CONCATENATE("",E1," Ad Valorem Tax (est.)")</f>
        <v>2015 Ad Valorem Tax (est.)</v>
      </c>
      <c r="I75" s="630"/>
      <c r="J75" s="663"/>
      <c r="K75" s="636">
        <f>IF(G75=E80,"","Note: Does not include Delinquent Taxes")</f>
      </c>
    </row>
    <row r="76" spans="2:11" ht="15.75">
      <c r="B76" s="97"/>
      <c r="C76" s="855" t="s">
        <v>691</v>
      </c>
      <c r="D76" s="856"/>
      <c r="E76" s="149"/>
      <c r="F76" s="695">
        <f>IF(E73/0.95-E73&lt;E76,"Exceeds 5%","")</f>
      </c>
      <c r="G76" s="665">
        <f>SUM(G73:G75)</f>
        <v>0</v>
      </c>
      <c r="H76" s="612" t="str">
        <f>CONCATENATE("Total ",E1," Resources Available")</f>
        <v>Total 2015 Resources Available</v>
      </c>
      <c r="I76" s="666"/>
      <c r="J76" s="663"/>
      <c r="K76" s="578"/>
    </row>
    <row r="77" spans="2:11" ht="15.75">
      <c r="B77" s="467" t="str">
        <f>CONCATENATE(C87,"     ",D87)</f>
        <v>     </v>
      </c>
      <c r="C77" s="857" t="s">
        <v>692</v>
      </c>
      <c r="D77" s="858"/>
      <c r="E77" s="236">
        <f>E73+E76</f>
        <v>0</v>
      </c>
      <c r="G77" s="667"/>
      <c r="H77" s="668"/>
      <c r="I77" s="611"/>
      <c r="J77" s="663"/>
      <c r="K77" s="578"/>
    </row>
    <row r="78" spans="2:11" ht="15.75">
      <c r="B78" s="467" t="str">
        <f>CONCATENATE(C88,"     ",D88)</f>
        <v>     </v>
      </c>
      <c r="C78" s="470"/>
      <c r="D78" s="469" t="s">
        <v>264</v>
      </c>
      <c r="E78" s="160">
        <f>IF(E77-E61&gt;0,E77-E61,0)</f>
        <v>0</v>
      </c>
      <c r="G78" s="635">
        <f>ROUND(C73*0.05+C73,0)</f>
        <v>0</v>
      </c>
      <c r="H78" s="612" t="str">
        <f>CONCATENATE("Less ",E1-2," Expenditures + 5%")</f>
        <v>Less 2013 Expenditures + 5%</v>
      </c>
      <c r="I78" s="666"/>
      <c r="J78" s="663"/>
      <c r="K78" s="578"/>
    </row>
    <row r="79" spans="2:11" ht="15.75">
      <c r="B79" s="187"/>
      <c r="C79" s="468" t="s">
        <v>693</v>
      </c>
      <c r="D79" s="679">
        <f>inputOth!$E$77</f>
        <v>0</v>
      </c>
      <c r="E79" s="236">
        <f>ROUND(IF(D79&gt;0,(E78*D79),0),0)</f>
        <v>0</v>
      </c>
      <c r="G79" s="643">
        <f>G76-G78</f>
        <v>0</v>
      </c>
      <c r="H79" s="644" t="str">
        <f>CONCATENATE("Projected ",E1+1," carryover (est.)")</f>
        <v>Projected 2016 carryover (est.)</v>
      </c>
      <c r="I79" s="669"/>
      <c r="J79" s="670"/>
      <c r="K79" s="578"/>
    </row>
    <row r="80" spans="2:11" ht="15.75">
      <c r="B80" s="46"/>
      <c r="C80" s="859" t="str">
        <f>CONCATENATE("Amount of  ",$E$1-1," Ad Valorem Tax")</f>
        <v>Amount of  2014 Ad Valorem Tax</v>
      </c>
      <c r="D80" s="860"/>
      <c r="E80" s="160">
        <f>E78+E79</f>
        <v>0</v>
      </c>
      <c r="G80" s="578"/>
      <c r="H80" s="578"/>
      <c r="I80" s="578"/>
      <c r="J80" s="578"/>
      <c r="K80" s="578"/>
    </row>
    <row r="81" spans="2:11" ht="15.75">
      <c r="B81" s="187" t="s">
        <v>245</v>
      </c>
      <c r="C81" s="298"/>
      <c r="D81" s="46"/>
      <c r="E81" s="46"/>
      <c r="G81" s="874" t="s">
        <v>828</v>
      </c>
      <c r="H81" s="875"/>
      <c r="I81" s="875"/>
      <c r="J81" s="876"/>
      <c r="K81" s="578"/>
    </row>
    <row r="82" spans="2:11" ht="15.75">
      <c r="B82" s="93"/>
      <c r="G82" s="650"/>
      <c r="H82" s="629"/>
      <c r="I82" s="651"/>
      <c r="J82" s="652"/>
      <c r="K82" s="578"/>
    </row>
    <row r="83" spans="7:11" ht="15.75">
      <c r="G83" s="653" t="str">
        <f>summ!H23</f>
        <v> </v>
      </c>
      <c r="H83" s="629" t="str">
        <f>CONCATENATE("",E1," Fund Mill Rate")</f>
        <v>2015 Fund Mill Rate</v>
      </c>
      <c r="I83" s="651"/>
      <c r="J83" s="652"/>
      <c r="K83" s="578"/>
    </row>
    <row r="84" spans="7:11" ht="15.75">
      <c r="G84" s="654" t="str">
        <f>summ!E23</f>
        <v>  </v>
      </c>
      <c r="H84" s="629" t="str">
        <f>CONCATENATE("",E1-1," Fund Mill Rate")</f>
        <v>2014 Fund Mill Rate</v>
      </c>
      <c r="I84" s="651"/>
      <c r="J84" s="652"/>
      <c r="K84" s="578"/>
    </row>
    <row r="85" spans="3:11" ht="15.75" hidden="1">
      <c r="C85" s="135">
        <f>IF(C33&gt;C35,"See Tab A","")</f>
      </c>
      <c r="D85" s="135">
        <f>IF(D33&gt;D35,"See Tab C","")</f>
      </c>
      <c r="G85" s="656">
        <f>'[1]summ'!I36</f>
        <v>0</v>
      </c>
      <c r="H85" s="629" t="str">
        <f>CONCATENATE("Total ",E1," Mill Rate")</f>
        <v>Total 2015 Mill Rate</v>
      </c>
      <c r="I85" s="651"/>
      <c r="J85" s="652"/>
      <c r="K85" s="578"/>
    </row>
    <row r="86" spans="3:11" ht="15.75" hidden="1">
      <c r="C86" s="135">
        <f>IF(C34&lt;0,"See Tab B","")</f>
      </c>
      <c r="D86" s="135">
        <f>IF(D34&lt;0,"See Tab D","")</f>
      </c>
      <c r="G86" s="654">
        <f>'[1]summ'!F36</f>
        <v>0</v>
      </c>
      <c r="H86" s="657" t="str">
        <f>CONCATENATE("Total ",E1-1," Mill Rate")</f>
        <v>Total 2014 Mill Rate</v>
      </c>
      <c r="I86" s="658"/>
      <c r="J86" s="659"/>
      <c r="K86" s="578"/>
    </row>
    <row r="87" spans="3:4" ht="15.75" hidden="1">
      <c r="C87" s="135">
        <f>IF(C73&gt;C75,"See Tab A","")</f>
      </c>
      <c r="D87" s="135">
        <f>IF(D73&gt;D75,"See Tab C","")</f>
      </c>
    </row>
    <row r="88" spans="3:4" ht="15.75" hidden="1">
      <c r="C88" s="135">
        <f>IF(C74&lt;0,"See Tab B","")</f>
      </c>
      <c r="D88" s="135">
        <f>IF(D74&lt;0,"See Tab D","")</f>
      </c>
    </row>
    <row r="89" spans="7:10" ht="15.75">
      <c r="G89" s="656">
        <f>summ!H36</f>
        <v>15.561</v>
      </c>
      <c r="H89" s="629" t="str">
        <f>CONCATENATE("Total ",E1," Mill Rate")</f>
        <v>Total 2015 Mill Rate</v>
      </c>
      <c r="I89" s="651"/>
      <c r="J89" s="652"/>
    </row>
    <row r="90" spans="7:10" ht="15.75">
      <c r="G90" s="654">
        <f>summ!E36</f>
        <v>16.355</v>
      </c>
      <c r="H90" s="657" t="str">
        <f>CONCATENATE("Total ",E1-1," Mill Rate")</f>
        <v>Total 2014 Mill Rate</v>
      </c>
      <c r="I90" s="658"/>
      <c r="J90" s="659"/>
    </row>
    <row r="92" spans="7:9" ht="15.75">
      <c r="G92" s="749" t="s">
        <v>927</v>
      </c>
      <c r="H92" s="706"/>
      <c r="I92" s="705"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43">
      <selection activeCell="E53" sqref="E53"/>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75">
      <c r="B1" s="200" t="str">
        <f>inputPrYr!D3</f>
        <v>VIOLA TOWNSHIP</v>
      </c>
      <c r="C1" s="46"/>
      <c r="D1" s="46"/>
      <c r="E1" s="201">
        <f>inputPrYr!D9</f>
        <v>2015</v>
      </c>
    </row>
    <row r="2" spans="2:5" ht="15.75">
      <c r="B2" s="510" t="s">
        <v>733</v>
      </c>
      <c r="C2" s="46"/>
      <c r="D2" s="184"/>
      <c r="E2" s="304"/>
    </row>
    <row r="3" spans="2:5" ht="15.75">
      <c r="B3" s="46"/>
      <c r="C3" s="51"/>
      <c r="D3" s="51"/>
      <c r="E3" s="51"/>
    </row>
    <row r="4" spans="2:5" ht="15.75">
      <c r="B4" s="53" t="s">
        <v>246</v>
      </c>
      <c r="C4" s="356" t="s">
        <v>247</v>
      </c>
      <c r="D4" s="359" t="s">
        <v>248</v>
      </c>
      <c r="E4" s="55" t="s">
        <v>249</v>
      </c>
    </row>
    <row r="5" spans="2:5" ht="15.75">
      <c r="B5" s="452" t="str">
        <f>inputPrYr!B26</f>
        <v>Fire Protection</v>
      </c>
      <c r="C5" s="357" t="str">
        <f>gen!C5</f>
        <v>Actual for 2013</v>
      </c>
      <c r="D5" s="357" t="str">
        <f>gen!D5</f>
        <v>Estimate for 2014</v>
      </c>
      <c r="E5" s="60" t="str">
        <f>gen!E5</f>
        <v>Year for 2015</v>
      </c>
    </row>
    <row r="6" spans="2:5" ht="15.75">
      <c r="B6" s="61" t="s">
        <v>60</v>
      </c>
      <c r="C6" s="283"/>
      <c r="D6" s="358">
        <f>C34</f>
        <v>0</v>
      </c>
      <c r="E6" s="236">
        <f>D34</f>
        <v>0</v>
      </c>
    </row>
    <row r="7" spans="2:5" ht="15.75">
      <c r="B7" s="61" t="s">
        <v>62</v>
      </c>
      <c r="C7" s="358"/>
      <c r="D7" s="358"/>
      <c r="E7" s="285"/>
    </row>
    <row r="8" spans="2:5" ht="15.75">
      <c r="B8" s="61" t="s">
        <v>252</v>
      </c>
      <c r="C8" s="283"/>
      <c r="D8" s="358">
        <f>IF(inputPrYr!H19&gt;0,inputPrYr!G26,inputPrYr!E26)</f>
        <v>0</v>
      </c>
      <c r="E8" s="285" t="s">
        <v>231</v>
      </c>
    </row>
    <row r="9" spans="2:5" ht="15.75">
      <c r="B9" s="61" t="s">
        <v>253</v>
      </c>
      <c r="C9" s="283"/>
      <c r="D9" s="283"/>
      <c r="E9" s="149"/>
    </row>
    <row r="10" spans="2:5" ht="15.75">
      <c r="B10" s="61" t="s">
        <v>254</v>
      </c>
      <c r="C10" s="283"/>
      <c r="D10" s="283"/>
      <c r="E10" s="236">
        <f>mvalloc!G17</f>
        <v>0</v>
      </c>
    </row>
    <row r="11" spans="2:5" ht="15.75">
      <c r="B11" s="61" t="s">
        <v>255</v>
      </c>
      <c r="C11" s="283"/>
      <c r="D11" s="283"/>
      <c r="E11" s="236">
        <f>mvalloc!I17</f>
        <v>0</v>
      </c>
    </row>
    <row r="12" spans="2:5" ht="15.75">
      <c r="B12" s="61" t="s">
        <v>51</v>
      </c>
      <c r="C12" s="283"/>
      <c r="D12" s="283"/>
      <c r="E12" s="236">
        <f>mvalloc!J17</f>
        <v>0</v>
      </c>
    </row>
    <row r="13" spans="2:5" ht="15.75">
      <c r="B13" s="287"/>
      <c r="C13" s="283"/>
      <c r="D13" s="283"/>
      <c r="E13" s="149"/>
    </row>
    <row r="14" spans="2:5" ht="15.75">
      <c r="B14" s="287"/>
      <c r="C14" s="283"/>
      <c r="D14" s="283"/>
      <c r="E14" s="149"/>
    </row>
    <row r="15" spans="2:5" ht="15.75">
      <c r="B15" s="287"/>
      <c r="C15" s="283"/>
      <c r="D15" s="283"/>
      <c r="E15" s="149"/>
    </row>
    <row r="16" spans="2:5" ht="15.75">
      <c r="B16" s="288"/>
      <c r="C16" s="283"/>
      <c r="D16" s="283"/>
      <c r="E16" s="149"/>
    </row>
    <row r="17" spans="2:5" ht="15.75">
      <c r="B17" s="288" t="s">
        <v>258</v>
      </c>
      <c r="C17" s="283"/>
      <c r="D17" s="283"/>
      <c r="E17" s="149"/>
    </row>
    <row r="18" spans="2:5" ht="15.75">
      <c r="B18" s="289" t="s">
        <v>204</v>
      </c>
      <c r="C18" s="283"/>
      <c r="D18" s="283"/>
      <c r="E18" s="149"/>
    </row>
    <row r="19" spans="2:5" ht="15.75">
      <c r="B19" s="289" t="s">
        <v>205</v>
      </c>
      <c r="C19" s="360">
        <f>IF(C20*0.1&lt;C18,"Exceed 10% Rule","")</f>
      </c>
      <c r="D19" s="360">
        <f>IF(D20*0.1&lt;D18,"Exceed 10% Rule","")</f>
      </c>
      <c r="E19" s="293">
        <f>IF(E20*0.1+E40&lt;E18,"Exceed 10% Rule","")</f>
      </c>
    </row>
    <row r="20" spans="2:5" ht="15.75">
      <c r="B20" s="291" t="s">
        <v>259</v>
      </c>
      <c r="C20" s="361">
        <f>SUM(C8:C18)</f>
        <v>0</v>
      </c>
      <c r="D20" s="361">
        <f>SUM(D8:D18)</f>
        <v>0</v>
      </c>
      <c r="E20" s="292">
        <f>SUM(E8:E18)</f>
        <v>0</v>
      </c>
    </row>
    <row r="21" spans="2:5" ht="15.75">
      <c r="B21" s="79" t="s">
        <v>260</v>
      </c>
      <c r="C21" s="361">
        <f>C20+C6</f>
        <v>0</v>
      </c>
      <c r="D21" s="361">
        <f>D20+D6</f>
        <v>0</v>
      </c>
      <c r="E21" s="292">
        <f>E20+E6</f>
        <v>0</v>
      </c>
    </row>
    <row r="22" spans="2:5" ht="15.75">
      <c r="B22" s="61" t="s">
        <v>261</v>
      </c>
      <c r="C22" s="358"/>
      <c r="D22" s="358"/>
      <c r="E22" s="236"/>
    </row>
    <row r="23" spans="2:5" ht="15.75">
      <c r="B23" s="288"/>
      <c r="C23" s="283"/>
      <c r="D23" s="283"/>
      <c r="E23" s="149"/>
    </row>
    <row r="24" spans="2:11" ht="15.75">
      <c r="B24" s="288"/>
      <c r="C24" s="283"/>
      <c r="D24" s="283"/>
      <c r="E24" s="149"/>
      <c r="G24" s="867" t="str">
        <f>CONCATENATE("Desired Carryover Into ",E1+1,"")</f>
        <v>Desired Carryover Into 2016</v>
      </c>
      <c r="H24" s="868"/>
      <c r="I24" s="868"/>
      <c r="J24" s="869"/>
      <c r="K24" s="578"/>
    </row>
    <row r="25" spans="2:11" ht="15.75">
      <c r="B25" s="288"/>
      <c r="C25" s="283"/>
      <c r="D25" s="283"/>
      <c r="E25" s="149"/>
      <c r="G25" s="610"/>
      <c r="H25" s="611"/>
      <c r="I25" s="612"/>
      <c r="J25" s="613"/>
      <c r="K25" s="578"/>
    </row>
    <row r="26" spans="2:11" ht="15.75">
      <c r="B26" s="288"/>
      <c r="C26" s="283"/>
      <c r="D26" s="283"/>
      <c r="E26" s="149"/>
      <c r="G26" s="614" t="s">
        <v>697</v>
      </c>
      <c r="H26" s="612"/>
      <c r="I26" s="612"/>
      <c r="J26" s="615">
        <v>0</v>
      </c>
      <c r="K26" s="578"/>
    </row>
    <row r="27" spans="2:11" ht="15.75">
      <c r="B27" s="288"/>
      <c r="C27" s="283"/>
      <c r="D27" s="283"/>
      <c r="E27" s="149"/>
      <c r="G27" s="610" t="s">
        <v>698</v>
      </c>
      <c r="H27" s="611"/>
      <c r="I27" s="611"/>
      <c r="J27" s="616">
        <f>IF(J26=0,"",ROUND((J26+E40-G39)/inputOth!E11*1000,3)-G44)</f>
      </c>
      <c r="K27" s="578"/>
    </row>
    <row r="28" spans="2:11" ht="15.75">
      <c r="B28" s="288"/>
      <c r="C28" s="283"/>
      <c r="D28" s="283"/>
      <c r="E28" s="149"/>
      <c r="G28" s="617" t="str">
        <f>CONCATENATE("",E1," Tot Exp/Non-Appr Must Be:")</f>
        <v>2015 Tot Exp/Non-Appr Must Be:</v>
      </c>
      <c r="H28" s="618"/>
      <c r="I28" s="619"/>
      <c r="J28" s="620">
        <f>IF(J26&gt;0,IF(E37&lt;E21,IF(J26=G39,E37,((J26-G39)*(1-D39))+E21),E37+(J26-G39)),0)</f>
        <v>0</v>
      </c>
      <c r="K28" s="578"/>
    </row>
    <row r="29" spans="2:11" ht="15.75">
      <c r="B29" s="288"/>
      <c r="C29" s="283"/>
      <c r="D29" s="283"/>
      <c r="E29" s="149"/>
      <c r="G29" s="621" t="s">
        <v>827</v>
      </c>
      <c r="H29" s="622"/>
      <c r="I29" s="622"/>
      <c r="J29" s="623">
        <f>IF(J26&gt;0,J28-E37,0)</f>
        <v>0</v>
      </c>
      <c r="K29" s="578"/>
    </row>
    <row r="30" spans="2:11" ht="15.75">
      <c r="B30" s="286" t="s">
        <v>206</v>
      </c>
      <c r="C30" s="283"/>
      <c r="D30" s="283"/>
      <c r="E30" s="160">
        <f>nhood!E12</f>
      </c>
      <c r="G30" s="578"/>
      <c r="H30" s="578"/>
      <c r="I30" s="578"/>
      <c r="J30" s="578"/>
      <c r="K30" s="578"/>
    </row>
    <row r="31" spans="2:11" ht="15.75">
      <c r="B31" s="286" t="s">
        <v>204</v>
      </c>
      <c r="C31" s="283"/>
      <c r="D31" s="283"/>
      <c r="E31" s="149"/>
      <c r="G31" s="867" t="str">
        <f>CONCATENATE("Projected Carryover Into ",E1+1,"")</f>
        <v>Projected Carryover Into 2016</v>
      </c>
      <c r="H31" s="870"/>
      <c r="I31" s="870"/>
      <c r="J31" s="871"/>
      <c r="K31" s="578"/>
    </row>
    <row r="32" spans="2:11" ht="15.75">
      <c r="B32" s="286" t="s">
        <v>694</v>
      </c>
      <c r="C32" s="360">
        <f>IF(C33*0.1&lt;C31,"Exceed 10% Rule","")</f>
      </c>
      <c r="D32" s="360">
        <f>IF(D33*0.1&lt;D31,"Exceed 10% Rule","")</f>
      </c>
      <c r="E32" s="293">
        <f>IF(E33*0.1&lt;E31,"Exceed 10% Rule","")</f>
      </c>
      <c r="G32" s="610"/>
      <c r="H32" s="612"/>
      <c r="I32" s="612"/>
      <c r="J32" s="625"/>
      <c r="K32" s="578"/>
    </row>
    <row r="33" spans="2:11" ht="15.75">
      <c r="B33" s="79" t="s">
        <v>262</v>
      </c>
      <c r="C33" s="361">
        <f>SUM(C23:C31)</f>
        <v>0</v>
      </c>
      <c r="D33" s="361">
        <f>SUM(D23:D31)</f>
        <v>0</v>
      </c>
      <c r="E33" s="292">
        <f>SUM(E23:E31)</f>
        <v>0</v>
      </c>
      <c r="G33" s="628">
        <f>D34</f>
        <v>0</v>
      </c>
      <c r="H33" s="629" t="str">
        <f>CONCATENATE("",E1-1," Ending Cash Balance (est.)")</f>
        <v>2014 Ending Cash Balance (est.)</v>
      </c>
      <c r="I33" s="630"/>
      <c r="J33" s="625"/>
      <c r="K33" s="578"/>
    </row>
    <row r="34" spans="2:11" ht="15.75">
      <c r="B34" s="61" t="s">
        <v>61</v>
      </c>
      <c r="C34" s="362">
        <f>C21-C33</f>
        <v>0</v>
      </c>
      <c r="D34" s="362">
        <f>D21-D33</f>
        <v>0</v>
      </c>
      <c r="E34" s="285" t="s">
        <v>231</v>
      </c>
      <c r="G34" s="628">
        <f>E20</f>
        <v>0</v>
      </c>
      <c r="H34" s="612" t="str">
        <f>CONCATENATE("",E1," Non-AV Receipts (est.)")</f>
        <v>2015 Non-AV Receipts (est.)</v>
      </c>
      <c r="I34" s="630"/>
      <c r="J34" s="625"/>
      <c r="K34" s="578"/>
    </row>
    <row r="35" spans="2:11" ht="15.75">
      <c r="B35" s="96" t="str">
        <f>CONCATENATE("",E1-2,"/",E1-1,"/",E1," Budget Authority Amount:")</f>
        <v>2013/2014/2015 Budget Authority Amount:</v>
      </c>
      <c r="C35" s="715">
        <f>inputOth!$B89</f>
        <v>0</v>
      </c>
      <c r="D35" s="715">
        <f>inputPrYr!$D26</f>
        <v>0</v>
      </c>
      <c r="E35" s="236">
        <f>E33</f>
        <v>0</v>
      </c>
      <c r="F35" s="294"/>
      <c r="G35" s="635">
        <f>IF(E39&gt;0,E38,E40)</f>
        <v>0</v>
      </c>
      <c r="H35" s="612" t="str">
        <f>CONCATENATE("",E1," Ad Valorem Tax (est.)")</f>
        <v>2015 Ad Valorem Tax (est.)</v>
      </c>
      <c r="I35" s="630"/>
      <c r="J35" s="625"/>
      <c r="K35" s="636">
        <f>IF(G35=E40,"","Note: Does not include Delinquent Taxes")</f>
      </c>
    </row>
    <row r="36" spans="2:11" ht="15.75">
      <c r="B36" s="97"/>
      <c r="C36" s="855" t="s">
        <v>691</v>
      </c>
      <c r="D36" s="856"/>
      <c r="E36" s="149"/>
      <c r="F36" s="695">
        <f>IF(E33/0.95-E33&lt;E36,"Exceeds 5%","")</f>
      </c>
      <c r="G36" s="628">
        <f>SUM(G33:G35)</f>
        <v>0</v>
      </c>
      <c r="H36" s="612" t="str">
        <f>CONCATENATE("Total ",E1," Resources Available")</f>
        <v>Total 2015 Resources Available</v>
      </c>
      <c r="I36" s="630"/>
      <c r="J36" s="625"/>
      <c r="K36" s="578"/>
    </row>
    <row r="37" spans="2:11" ht="15.75">
      <c r="B37" s="467" t="str">
        <f>CONCATENATE(C85,"     ",D85)</f>
        <v>     </v>
      </c>
      <c r="C37" s="857" t="s">
        <v>692</v>
      </c>
      <c r="D37" s="858"/>
      <c r="E37" s="236">
        <f>E33+E36</f>
        <v>0</v>
      </c>
      <c r="G37" s="639"/>
      <c r="H37" s="612"/>
      <c r="I37" s="612"/>
      <c r="J37" s="625"/>
      <c r="K37" s="578"/>
    </row>
    <row r="38" spans="2:11" ht="15.75">
      <c r="B38" s="467" t="str">
        <f>CONCATENATE(C86,"     ",D86)</f>
        <v>     </v>
      </c>
      <c r="C38" s="470"/>
      <c r="D38" s="469" t="s">
        <v>264</v>
      </c>
      <c r="E38" s="160">
        <f>IF(E37-E21&gt;0,E37-E21,0)</f>
        <v>0</v>
      </c>
      <c r="G38" s="635">
        <f>C33*0.05+C33</f>
        <v>0</v>
      </c>
      <c r="H38" s="612" t="str">
        <f>CONCATENATE("Less ",E1-2," Expenditures + 5%")</f>
        <v>Less 2013 Expenditures + 5%</v>
      </c>
      <c r="I38" s="612"/>
      <c r="J38" s="625"/>
      <c r="K38" s="578"/>
    </row>
    <row r="39" spans="2:11" ht="15.75">
      <c r="B39" s="187"/>
      <c r="C39" s="468" t="s">
        <v>693</v>
      </c>
      <c r="D39" s="679">
        <f>inputOth!$E$77</f>
        <v>0</v>
      </c>
      <c r="E39" s="236">
        <f>ROUND(IF(D39&gt;0,(E38*D39),0),0)</f>
        <v>0</v>
      </c>
      <c r="G39" s="643">
        <f>G36-G38</f>
        <v>0</v>
      </c>
      <c r="H39" s="644" t="str">
        <f>CONCATENATE("Projected ",E1+1," carryover (est.)")</f>
        <v>Projected 2016 carryover (est.)</v>
      </c>
      <c r="I39" s="645"/>
      <c r="J39" s="646"/>
      <c r="K39" s="578"/>
    </row>
    <row r="40" spans="2:11" ht="15.75">
      <c r="B40" s="46"/>
      <c r="C40" s="859" t="str">
        <f>CONCATENATE("Amount of  ",$E$1-1," Ad Valorem Tax")</f>
        <v>Amount of  2014 Ad Valorem Tax</v>
      </c>
      <c r="D40" s="860"/>
      <c r="E40" s="160">
        <f>E38+E39</f>
        <v>0</v>
      </c>
      <c r="G40" s="578"/>
      <c r="H40" s="578"/>
      <c r="I40" s="578"/>
      <c r="J40" s="578"/>
      <c r="K40" s="578"/>
    </row>
    <row r="41" spans="2:11" ht="15.75">
      <c r="B41" s="46"/>
      <c r="C41" s="526"/>
      <c r="D41" s="46"/>
      <c r="E41" s="46"/>
      <c r="G41" s="874" t="s">
        <v>828</v>
      </c>
      <c r="H41" s="875"/>
      <c r="I41" s="875"/>
      <c r="J41" s="876"/>
      <c r="K41" s="578"/>
    </row>
    <row r="42" spans="2:11" ht="15.75">
      <c r="B42" s="46"/>
      <c r="C42" s="526"/>
      <c r="D42" s="46"/>
      <c r="E42" s="46"/>
      <c r="G42" s="650"/>
      <c r="H42" s="629"/>
      <c r="I42" s="651"/>
      <c r="J42" s="652"/>
      <c r="K42" s="578"/>
    </row>
    <row r="43" spans="2:11" ht="15.75">
      <c r="B43" s="53" t="s">
        <v>246</v>
      </c>
      <c r="C43" s="51"/>
      <c r="D43" s="51"/>
      <c r="E43" s="51"/>
      <c r="G43" s="653" t="str">
        <f>summ!H24</f>
        <v> </v>
      </c>
      <c r="H43" s="629" t="str">
        <f>CONCATENATE("",E1," Fund Mill Rate")</f>
        <v>2015 Fund Mill Rate</v>
      </c>
      <c r="I43" s="651"/>
      <c r="J43" s="652"/>
      <c r="K43" s="578"/>
    </row>
    <row r="44" spans="2:11" ht="15.75">
      <c r="B44" s="46"/>
      <c r="C44" s="356" t="s">
        <v>247</v>
      </c>
      <c r="D44" s="359" t="s">
        <v>248</v>
      </c>
      <c r="E44" s="55" t="s">
        <v>249</v>
      </c>
      <c r="G44" s="654" t="str">
        <f>summ!E24</f>
        <v>  </v>
      </c>
      <c r="H44" s="629" t="str">
        <f>CONCATENATE("",E1-1," Fund Mill Rate")</f>
        <v>2014 Fund Mill Rate</v>
      </c>
      <c r="I44" s="651"/>
      <c r="J44" s="652"/>
      <c r="K44" s="578"/>
    </row>
    <row r="45" spans="2:11" ht="15.75">
      <c r="B45" s="453" t="str">
        <f>inputPrYr!B27</f>
        <v>Cemetery</v>
      </c>
      <c r="C45" s="357" t="str">
        <f>C5</f>
        <v>Actual for 2013</v>
      </c>
      <c r="D45" s="357" t="str">
        <f>D5</f>
        <v>Estimate for 2014</v>
      </c>
      <c r="E45" s="60" t="str">
        <f>E5</f>
        <v>Year for 2015</v>
      </c>
      <c r="G45" s="656">
        <f>summ!H36</f>
        <v>15.561</v>
      </c>
      <c r="H45" s="629" t="str">
        <f>CONCATENATE("Total ",E1," Mill Rate")</f>
        <v>Total 2015 Mill Rate</v>
      </c>
      <c r="I45" s="651"/>
      <c r="J45" s="652"/>
      <c r="K45" s="578"/>
    </row>
    <row r="46" spans="2:11" ht="15.75">
      <c r="B46" s="61" t="s">
        <v>60</v>
      </c>
      <c r="C46" s="283">
        <v>0</v>
      </c>
      <c r="D46" s="358">
        <f>C74</f>
        <v>0</v>
      </c>
      <c r="E46" s="236">
        <f>D74</f>
        <v>0</v>
      </c>
      <c r="G46" s="654">
        <f>summ!E36</f>
        <v>16.355</v>
      </c>
      <c r="H46" s="657" t="str">
        <f>CONCATENATE("Total ",E1-1," Mill Rate")</f>
        <v>Total 2014 Mill Rate</v>
      </c>
      <c r="I46" s="658"/>
      <c r="J46" s="659"/>
      <c r="K46" s="578"/>
    </row>
    <row r="47" spans="2:11" ht="15.75">
      <c r="B47" s="61" t="s">
        <v>62</v>
      </c>
      <c r="C47" s="358"/>
      <c r="D47" s="358"/>
      <c r="E47" s="285"/>
      <c r="G47" s="578"/>
      <c r="H47" s="578"/>
      <c r="I47" s="578"/>
      <c r="J47" s="578"/>
      <c r="K47" s="578"/>
    </row>
    <row r="48" spans="2:11" ht="15.75">
      <c r="B48" s="61" t="s">
        <v>252</v>
      </c>
      <c r="C48" s="283">
        <f>39.82+1344.82+135.77</f>
        <v>1520.4099999999999</v>
      </c>
      <c r="D48" s="358">
        <f>IF(inputPrYr!H19&gt;0,inputPrYr!G27,inputPrYr!E27)</f>
        <v>1523</v>
      </c>
      <c r="E48" s="285" t="s">
        <v>231</v>
      </c>
      <c r="G48" s="750" t="s">
        <v>927</v>
      </c>
      <c r="H48" s="706"/>
      <c r="I48" s="705" t="str">
        <f>cert!E41</f>
        <v>No</v>
      </c>
      <c r="J48" s="578"/>
      <c r="K48" s="578"/>
    </row>
    <row r="49" spans="2:11" ht="15.75">
      <c r="B49" s="61" t="s">
        <v>253</v>
      </c>
      <c r="C49" s="283">
        <v>11.07</v>
      </c>
      <c r="D49" s="283">
        <v>0</v>
      </c>
      <c r="E49" s="149">
        <v>0</v>
      </c>
      <c r="G49" s="578"/>
      <c r="H49" s="578"/>
      <c r="I49" s="578"/>
      <c r="J49" s="578"/>
      <c r="K49" s="578"/>
    </row>
    <row r="50" spans="2:11" ht="15.75">
      <c r="B50" s="61" t="s">
        <v>254</v>
      </c>
      <c r="C50" s="283">
        <v>214.07</v>
      </c>
      <c r="D50" s="283">
        <v>222</v>
      </c>
      <c r="E50" s="236">
        <f>mvalloc!G18</f>
        <v>238</v>
      </c>
      <c r="G50" s="578"/>
      <c r="H50" s="578"/>
      <c r="I50" s="578"/>
      <c r="J50" s="578"/>
      <c r="K50" s="578"/>
    </row>
    <row r="51" spans="2:11" ht="15.75">
      <c r="B51" s="61" t="s">
        <v>255</v>
      </c>
      <c r="C51" s="283">
        <v>2.02</v>
      </c>
      <c r="D51" s="283">
        <v>3</v>
      </c>
      <c r="E51" s="236">
        <f>mvalloc!I18</f>
        <v>3</v>
      </c>
      <c r="G51" s="578"/>
      <c r="H51" s="578"/>
      <c r="I51" s="578"/>
      <c r="J51" s="578"/>
      <c r="K51" s="578"/>
    </row>
    <row r="52" spans="2:11" ht="15.75">
      <c r="B52" s="61" t="s">
        <v>51</v>
      </c>
      <c r="C52" s="283">
        <v>12.22</v>
      </c>
      <c r="D52" s="283">
        <v>12</v>
      </c>
      <c r="E52" s="236">
        <f>mvalloc!J18</f>
        <v>9</v>
      </c>
      <c r="G52" s="578"/>
      <c r="H52" s="578"/>
      <c r="I52" s="578"/>
      <c r="J52" s="578"/>
      <c r="K52" s="578"/>
    </row>
    <row r="53" spans="2:11" ht="15.75">
      <c r="B53" s="288"/>
      <c r="C53" s="283"/>
      <c r="D53" s="283"/>
      <c r="E53" s="149"/>
      <c r="G53" s="578"/>
      <c r="H53" s="578"/>
      <c r="I53" s="578"/>
      <c r="J53" s="578"/>
      <c r="K53" s="578"/>
    </row>
    <row r="54" spans="2:11" ht="15.75">
      <c r="B54" s="288"/>
      <c r="C54" s="283"/>
      <c r="D54" s="283"/>
      <c r="E54" s="149"/>
      <c r="G54" s="578"/>
      <c r="H54" s="578"/>
      <c r="I54" s="578"/>
      <c r="J54" s="578"/>
      <c r="K54" s="578"/>
    </row>
    <row r="55" spans="2:11" ht="15.75">
      <c r="B55" s="288"/>
      <c r="C55" s="283"/>
      <c r="D55" s="283"/>
      <c r="E55" s="149"/>
      <c r="G55" s="578"/>
      <c r="H55" s="578"/>
      <c r="I55" s="578"/>
      <c r="J55" s="578"/>
      <c r="K55" s="578"/>
    </row>
    <row r="56" spans="2:11" ht="15.75">
      <c r="B56" s="288"/>
      <c r="C56" s="283"/>
      <c r="D56" s="283"/>
      <c r="E56" s="149"/>
      <c r="G56" s="578"/>
      <c r="H56" s="578"/>
      <c r="I56" s="578"/>
      <c r="J56" s="578"/>
      <c r="K56" s="578"/>
    </row>
    <row r="57" spans="2:11" ht="15.75">
      <c r="B57" s="288" t="s">
        <v>258</v>
      </c>
      <c r="C57" s="283"/>
      <c r="D57" s="283"/>
      <c r="E57" s="149"/>
      <c r="G57" s="578"/>
      <c r="H57" s="578"/>
      <c r="I57" s="578"/>
      <c r="J57" s="578"/>
      <c r="K57" s="578"/>
    </row>
    <row r="58" spans="2:11" ht="15.75">
      <c r="B58" s="289" t="s">
        <v>204</v>
      </c>
      <c r="C58" s="283"/>
      <c r="D58" s="283"/>
      <c r="E58" s="149"/>
      <c r="G58" s="578"/>
      <c r="H58" s="578"/>
      <c r="I58" s="578"/>
      <c r="J58" s="578"/>
      <c r="K58" s="578"/>
    </row>
    <row r="59" spans="2:11" ht="15.75">
      <c r="B59" s="289" t="s">
        <v>205</v>
      </c>
      <c r="C59" s="360">
        <f>IF(C60*0.1&lt;C58,"Exceed 10% Rule","")</f>
      </c>
      <c r="D59" s="360">
        <f>IF(D60*0.1&lt;D58,"Exceed 10% Rule","")</f>
      </c>
      <c r="E59" s="293">
        <f>IF(E60*0.1+E80&lt;E58,"Exceed 10% Rule","")</f>
      </c>
      <c r="G59" s="578"/>
      <c r="H59" s="578"/>
      <c r="I59" s="578"/>
      <c r="J59" s="578"/>
      <c r="K59" s="578"/>
    </row>
    <row r="60" spans="2:11" ht="15.75">
      <c r="B60" s="291" t="s">
        <v>259</v>
      </c>
      <c r="C60" s="361">
        <f>SUM(C48:C58)</f>
        <v>1759.7899999999997</v>
      </c>
      <c r="D60" s="361">
        <f>SUM(D48:D58)</f>
        <v>1760</v>
      </c>
      <c r="E60" s="292">
        <f>SUM(E48:E58)</f>
        <v>250</v>
      </c>
      <c r="G60" s="578"/>
      <c r="H60" s="578"/>
      <c r="I60" s="578"/>
      <c r="J60" s="578"/>
      <c r="K60" s="578"/>
    </row>
    <row r="61" spans="2:11" ht="15.75">
      <c r="B61" s="79" t="s">
        <v>260</v>
      </c>
      <c r="C61" s="361">
        <f>C60+C46</f>
        <v>1759.7899999999997</v>
      </c>
      <c r="D61" s="361">
        <f>D60+D46</f>
        <v>1760</v>
      </c>
      <c r="E61" s="292">
        <f>E60+E46</f>
        <v>250</v>
      </c>
      <c r="G61" s="578"/>
      <c r="H61" s="578"/>
      <c r="I61" s="578"/>
      <c r="J61" s="578"/>
      <c r="K61" s="578"/>
    </row>
    <row r="62" spans="2:11" ht="15.75">
      <c r="B62" s="61" t="s">
        <v>261</v>
      </c>
      <c r="C62" s="358"/>
      <c r="D62" s="358"/>
      <c r="E62" s="236"/>
      <c r="G62" s="578"/>
      <c r="H62" s="578"/>
      <c r="I62" s="578"/>
      <c r="J62" s="578"/>
      <c r="K62" s="578"/>
    </row>
    <row r="63" spans="2:11" ht="15.75">
      <c r="B63" s="288"/>
      <c r="C63" s="283"/>
      <c r="D63" s="283"/>
      <c r="E63" s="149"/>
      <c r="G63" s="578"/>
      <c r="H63" s="578"/>
      <c r="I63" s="578"/>
      <c r="J63" s="578"/>
      <c r="K63" s="578"/>
    </row>
    <row r="64" spans="2:11" ht="15.75">
      <c r="B64" s="288" t="s">
        <v>966</v>
      </c>
      <c r="C64" s="283">
        <f>879.9+879.89</f>
        <v>1759.79</v>
      </c>
      <c r="D64" s="283">
        <v>1760</v>
      </c>
      <c r="E64" s="149">
        <v>0</v>
      </c>
      <c r="G64" s="867" t="str">
        <f>CONCATENATE("Desired Carryover Into ",E1+1,"")</f>
        <v>Desired Carryover Into 2016</v>
      </c>
      <c r="H64" s="868"/>
      <c r="I64" s="868"/>
      <c r="J64" s="869"/>
      <c r="K64" s="578"/>
    </row>
    <row r="65" spans="2:11" ht="15.75">
      <c r="B65" s="288"/>
      <c r="C65" s="283"/>
      <c r="D65" s="283"/>
      <c r="E65" s="149"/>
      <c r="G65" s="610"/>
      <c r="H65" s="611"/>
      <c r="I65" s="612"/>
      <c r="J65" s="613"/>
      <c r="K65" s="578"/>
    </row>
    <row r="66" spans="2:11" ht="15.75">
      <c r="B66" s="288"/>
      <c r="C66" s="283"/>
      <c r="D66" s="283"/>
      <c r="E66" s="149"/>
      <c r="G66" s="614" t="s">
        <v>697</v>
      </c>
      <c r="H66" s="612"/>
      <c r="I66" s="612"/>
      <c r="J66" s="615">
        <v>0</v>
      </c>
      <c r="K66" s="578"/>
    </row>
    <row r="67" spans="2:11" ht="15.75">
      <c r="B67" s="288"/>
      <c r="C67" s="283"/>
      <c r="D67" s="283"/>
      <c r="E67" s="149"/>
      <c r="G67" s="610" t="s">
        <v>698</v>
      </c>
      <c r="H67" s="611"/>
      <c r="I67" s="611"/>
      <c r="J67" s="616">
        <f>IF(J66=0,"",ROUND((J66+E80-G79)/inputOth!E11*1000,3)-G84)</f>
      </c>
      <c r="K67" s="578"/>
    </row>
    <row r="68" spans="2:11" ht="15.75">
      <c r="B68" s="288"/>
      <c r="C68" s="283"/>
      <c r="D68" s="283"/>
      <c r="E68" s="149"/>
      <c r="G68" s="617" t="str">
        <f>CONCATENATE("",E1," Tot Exp/Non-Appr Must Be:")</f>
        <v>2015 Tot Exp/Non-Appr Must Be:</v>
      </c>
      <c r="H68" s="618"/>
      <c r="I68" s="619"/>
      <c r="J68" s="620">
        <f>IF(J66&gt;0,IF(E77&lt;E61,IF(J66=G79,E77,((J66-G79)*(1-D79))+E61),E77+(J66-G79)),0)</f>
        <v>0</v>
      </c>
      <c r="K68" s="578"/>
    </row>
    <row r="69" spans="2:11" ht="15.75">
      <c r="B69" s="288"/>
      <c r="C69" s="283"/>
      <c r="D69" s="283"/>
      <c r="E69" s="149"/>
      <c r="G69" s="621" t="s">
        <v>827</v>
      </c>
      <c r="H69" s="622"/>
      <c r="I69" s="622"/>
      <c r="J69" s="623">
        <f>IF(J66&gt;0,J68-E77,0)</f>
        <v>0</v>
      </c>
      <c r="K69" s="578"/>
    </row>
    <row r="70" spans="2:11" ht="15.75">
      <c r="B70" s="286" t="s">
        <v>206</v>
      </c>
      <c r="C70" s="283"/>
      <c r="D70" s="283"/>
      <c r="E70" s="160">
        <f>nhood!E13</f>
      </c>
      <c r="G70" s="578"/>
      <c r="H70" s="578"/>
      <c r="I70" s="578"/>
      <c r="J70" s="578"/>
      <c r="K70" s="578"/>
    </row>
    <row r="71" spans="2:11" ht="15.75">
      <c r="B71" s="286" t="s">
        <v>204</v>
      </c>
      <c r="C71" s="283"/>
      <c r="D71" s="283"/>
      <c r="E71" s="149"/>
      <c r="G71" s="867" t="str">
        <f>CONCATENATE("Projected Carryover Into ",E1+1,"")</f>
        <v>Projected Carryover Into 2016</v>
      </c>
      <c r="H71" s="877"/>
      <c r="I71" s="877"/>
      <c r="J71" s="871"/>
      <c r="K71" s="578"/>
    </row>
    <row r="72" spans="2:11" ht="15.75">
      <c r="B72" s="286" t="s">
        <v>694</v>
      </c>
      <c r="C72" s="360">
        <f>IF(C73*0.1&lt;C71,"Exceed 10% Rule","")</f>
      </c>
      <c r="D72" s="360">
        <f>IF(D73*0.1&lt;D71,"Exceed 10% Rule","")</f>
      </c>
      <c r="E72" s="293">
        <f>IF(E73*0.1&lt;E71,"Exceed 10% Rule","")</f>
      </c>
      <c r="G72" s="662"/>
      <c r="H72" s="611"/>
      <c r="I72" s="611"/>
      <c r="J72" s="663"/>
      <c r="K72" s="578"/>
    </row>
    <row r="73" spans="2:11" ht="15.75">
      <c r="B73" s="79" t="s">
        <v>262</v>
      </c>
      <c r="C73" s="361">
        <f>SUM(C63:C71)</f>
        <v>1759.79</v>
      </c>
      <c r="D73" s="361">
        <f>SUM(D63:D71)</f>
        <v>1760</v>
      </c>
      <c r="E73" s="292">
        <f>SUM(E63:E71)</f>
        <v>0</v>
      </c>
      <c r="G73" s="628">
        <f>D74</f>
        <v>0</v>
      </c>
      <c r="H73" s="629" t="str">
        <f>CONCATENATE("",E1-1," Ending Cash Balance (est.)")</f>
        <v>2014 Ending Cash Balance (est.)</v>
      </c>
      <c r="I73" s="630"/>
      <c r="J73" s="663"/>
      <c r="K73" s="578"/>
    </row>
    <row r="74" spans="2:11" ht="15.75">
      <c r="B74" s="61" t="s">
        <v>61</v>
      </c>
      <c r="C74" s="362">
        <f>C61-C73</f>
        <v>0</v>
      </c>
      <c r="D74" s="362">
        <f>D61-D73</f>
        <v>0</v>
      </c>
      <c r="E74" s="285" t="s">
        <v>231</v>
      </c>
      <c r="G74" s="628">
        <f>E60</f>
        <v>250</v>
      </c>
      <c r="H74" s="612" t="str">
        <f>CONCATENATE("",E1," Non-AV Receipts (est.)")</f>
        <v>2015 Non-AV Receipts (est.)</v>
      </c>
      <c r="I74" s="630"/>
      <c r="J74" s="663"/>
      <c r="K74" s="578"/>
    </row>
    <row r="75" spans="2:11" ht="15.75">
      <c r="B75" s="96" t="str">
        <f>CONCATENATE("",E1-2,"/",E1-1,"/",E1," Budget Authority Amount:")</f>
        <v>2013/2014/2015 Budget Authority Amount:</v>
      </c>
      <c r="C75" s="715">
        <f>inputOth!$B90</f>
        <v>1760</v>
      </c>
      <c r="D75" s="541">
        <f>inputPrYr!$D27</f>
        <v>1760</v>
      </c>
      <c r="E75" s="236">
        <f>E73</f>
        <v>0</v>
      </c>
      <c r="F75" s="294"/>
      <c r="G75" s="635">
        <f>IF(E79&gt;0,E78,E80)</f>
        <v>0</v>
      </c>
      <c r="H75" s="612" t="str">
        <f>CONCATENATE("",E1," Ad Valorem Tax (est.)")</f>
        <v>2015 Ad Valorem Tax (est.)</v>
      </c>
      <c r="I75" s="630"/>
      <c r="J75" s="663"/>
      <c r="K75" s="636">
        <f>IF(G75=E80,"","Note: Does not include Delinquent Taxes")</f>
      </c>
    </row>
    <row r="76" spans="2:11" ht="15.75">
      <c r="B76" s="97"/>
      <c r="C76" s="855" t="s">
        <v>691</v>
      </c>
      <c r="D76" s="856"/>
      <c r="E76" s="149"/>
      <c r="F76" s="695">
        <f>IF(E73/0.95-E73&lt;E76,"Exceeds 5%","")</f>
      </c>
      <c r="G76" s="628">
        <f>SUM(G73:G75)</f>
        <v>250</v>
      </c>
      <c r="H76" s="612" t="str">
        <f>CONCATENATE("Total ",E1," Resources Available")</f>
        <v>Total 2015 Resources Available</v>
      </c>
      <c r="I76" s="666"/>
      <c r="J76" s="663"/>
      <c r="K76" s="578"/>
    </row>
    <row r="77" spans="2:11" ht="15.75">
      <c r="B77" s="467" t="str">
        <f>CONCATENATE(C87,"     ",D87)</f>
        <v>     </v>
      </c>
      <c r="C77" s="857" t="s">
        <v>692</v>
      </c>
      <c r="D77" s="858"/>
      <c r="E77" s="236">
        <f>E73+E76</f>
        <v>0</v>
      </c>
      <c r="G77" s="667"/>
      <c r="H77" s="668"/>
      <c r="I77" s="611"/>
      <c r="J77" s="663"/>
      <c r="K77" s="578"/>
    </row>
    <row r="78" spans="2:11" ht="15.75">
      <c r="B78" s="467" t="str">
        <f>CONCATENATE(C88,"     ",D88)</f>
        <v>     </v>
      </c>
      <c r="C78" s="470"/>
      <c r="D78" s="469" t="s">
        <v>264</v>
      </c>
      <c r="E78" s="160">
        <f>IF(E77-E61&gt;0,E77-E61,0)</f>
        <v>0</v>
      </c>
      <c r="G78" s="635">
        <f>ROUND(C73*0.05+C73,0)</f>
        <v>1848</v>
      </c>
      <c r="H78" s="612" t="str">
        <f>CONCATENATE("Less ",E1-2," Expenditures + 5%")</f>
        <v>Less 2013 Expenditures + 5%</v>
      </c>
      <c r="I78" s="666"/>
      <c r="J78" s="663"/>
      <c r="K78" s="578"/>
    </row>
    <row r="79" spans="2:11" ht="15.75">
      <c r="B79" s="187"/>
      <c r="C79" s="468" t="s">
        <v>693</v>
      </c>
      <c r="D79" s="679">
        <f>inputOth!$E$77</f>
        <v>0</v>
      </c>
      <c r="E79" s="236">
        <f>ROUND(IF(D79&gt;0,(E78*D79),0),0)</f>
        <v>0</v>
      </c>
      <c r="G79" s="643">
        <f>G76-G78</f>
        <v>-1598</v>
      </c>
      <c r="H79" s="644" t="str">
        <f>CONCATENATE("Projected ",E1+1," carryover (est.)")</f>
        <v>Projected 2016 carryover (est.)</v>
      </c>
      <c r="I79" s="669"/>
      <c r="J79" s="670"/>
      <c r="K79" s="578"/>
    </row>
    <row r="80" spans="2:11" ht="15.75">
      <c r="B80" s="46"/>
      <c r="C80" s="859" t="str">
        <f>CONCATENATE("Amount of  ",$E$1-1," Ad Valorem Tax")</f>
        <v>Amount of  2014 Ad Valorem Tax</v>
      </c>
      <c r="D80" s="860"/>
      <c r="E80" s="160">
        <f>E78+E79</f>
        <v>0</v>
      </c>
      <c r="G80" s="578"/>
      <c r="H80" s="578"/>
      <c r="I80" s="578"/>
      <c r="J80" s="578"/>
      <c r="K80" s="578"/>
    </row>
    <row r="81" spans="2:11" ht="15.75">
      <c r="B81" s="187" t="s">
        <v>245</v>
      </c>
      <c r="C81" s="298">
        <v>10</v>
      </c>
      <c r="D81" s="46"/>
      <c r="E81" s="46"/>
      <c r="G81" s="874" t="s">
        <v>828</v>
      </c>
      <c r="H81" s="875"/>
      <c r="I81" s="875"/>
      <c r="J81" s="876"/>
      <c r="K81" s="578"/>
    </row>
    <row r="82" spans="2:11" ht="15.75">
      <c r="B82" s="93"/>
      <c r="G82" s="650"/>
      <c r="H82" s="629"/>
      <c r="I82" s="651"/>
      <c r="J82" s="652"/>
      <c r="K82" s="578"/>
    </row>
    <row r="83" spans="7:11" ht="15.75">
      <c r="G83" s="653" t="str">
        <f>summ!H25</f>
        <v> </v>
      </c>
      <c r="H83" s="629" t="str">
        <f>CONCATENATE("",E1," Fund Mill Rate")</f>
        <v>2015 Fund Mill Rate</v>
      </c>
      <c r="I83" s="651"/>
      <c r="J83" s="652"/>
      <c r="K83" s="578"/>
    </row>
    <row r="84" spans="7:11" ht="15.75">
      <c r="G84" s="654">
        <f>summ!E25</f>
        <v>0.372</v>
      </c>
      <c r="H84" s="629" t="str">
        <f>CONCATENATE("",E1-1," Fund Mill Rate")</f>
        <v>2014 Fund Mill Rate</v>
      </c>
      <c r="I84" s="651"/>
      <c r="J84" s="652"/>
      <c r="K84" s="578"/>
    </row>
    <row r="85" spans="3:11" ht="15.75" hidden="1">
      <c r="C85" s="135">
        <f>IF(C33&gt;C35,"See Tab A","")</f>
      </c>
      <c r="D85" s="135">
        <f>IF(D33&gt;D35,"See Tab C","")</f>
      </c>
      <c r="G85" s="656">
        <f>'[1]summ'!I36</f>
        <v>0</v>
      </c>
      <c r="H85" s="629" t="str">
        <f>CONCATENATE("Total ",E1," Mill Rate")</f>
        <v>Total 2015 Mill Rate</v>
      </c>
      <c r="I85" s="651"/>
      <c r="J85" s="652"/>
      <c r="K85" s="578"/>
    </row>
    <row r="86" spans="3:11" ht="15.75" hidden="1">
      <c r="C86" s="135">
        <f>IF(C34&lt;0,"See Tab B","")</f>
      </c>
      <c r="D86" s="135">
        <f>IF(D34&lt;0,"See Tab D","")</f>
      </c>
      <c r="G86" s="654">
        <f>'[1]summ'!F36</f>
        <v>0</v>
      </c>
      <c r="H86" s="657" t="str">
        <f>CONCATENATE("Total ",E1-1," Mill Rate")</f>
        <v>Total 2014 Mill Rate</v>
      </c>
      <c r="I86" s="658"/>
      <c r="J86" s="659"/>
      <c r="K86" s="578"/>
    </row>
    <row r="87" spans="3:4" ht="15.75" hidden="1">
      <c r="C87" s="135">
        <f>IF(C73&gt;C75,"See Tab A","")</f>
      </c>
      <c r="D87" s="135">
        <f>IF(D73&gt;D75,"See Tab C","")</f>
      </c>
    </row>
    <row r="88" spans="3:4" ht="15.75" hidden="1">
      <c r="C88" s="135">
        <f>IF(C74&lt;0,"See Tab B","")</f>
      </c>
      <c r="D88" s="135">
        <f>IF(D74&lt;0,"See Tab D","")</f>
      </c>
    </row>
    <row r="89" spans="7:10" ht="15.75">
      <c r="G89" s="656">
        <f>summ!H36</f>
        <v>15.561</v>
      </c>
      <c r="H89" s="629" t="str">
        <f>CONCATENATE("Total ",E1," Mill Rate")</f>
        <v>Total 2015 Mill Rate</v>
      </c>
      <c r="I89" s="651"/>
      <c r="J89" s="652"/>
    </row>
    <row r="90" spans="7:10" ht="15.75">
      <c r="G90" s="654">
        <f>summ!E36</f>
        <v>16.355</v>
      </c>
      <c r="H90" s="657" t="str">
        <f>CONCATENATE("Total ",E1-1," Mill Rate")</f>
        <v>Total 2014 Mill Rate</v>
      </c>
      <c r="I90" s="658"/>
      <c r="J90" s="659"/>
    </row>
    <row r="92" spans="7:9" ht="15.75">
      <c r="G92" s="751" t="s">
        <v>927</v>
      </c>
      <c r="H92" s="706"/>
      <c r="I92" s="705"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E13" sqref="E13"/>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75">
      <c r="B1" s="200" t="str">
        <f>inputPrYr!D3</f>
        <v>VIOLA TOWNSHIP</v>
      </c>
      <c r="C1" s="46"/>
      <c r="D1" s="46"/>
      <c r="E1" s="201">
        <f>inputPrYr!D9</f>
        <v>2015</v>
      </c>
    </row>
    <row r="2" spans="2:5" ht="15.75">
      <c r="B2" s="510" t="s">
        <v>733</v>
      </c>
      <c r="C2" s="46"/>
      <c r="D2" s="184"/>
      <c r="E2" s="48"/>
    </row>
    <row r="3" spans="2:5" ht="15.75">
      <c r="B3" s="46"/>
      <c r="C3" s="51"/>
      <c r="D3" s="51"/>
      <c r="E3" s="51"/>
    </row>
    <row r="4" spans="2:5" ht="15.75">
      <c r="B4" s="53" t="s">
        <v>246</v>
      </c>
      <c r="C4" s="356" t="s">
        <v>247</v>
      </c>
      <c r="D4" s="359" t="s">
        <v>248</v>
      </c>
      <c r="E4" s="55" t="s">
        <v>249</v>
      </c>
    </row>
    <row r="5" spans="2:5" ht="15.75">
      <c r="B5" s="452" t="str">
        <f>inputPrYr!B28</f>
        <v>Township Hall</v>
      </c>
      <c r="C5" s="357" t="str">
        <f>gen!C5</f>
        <v>Actual for 2013</v>
      </c>
      <c r="D5" s="357" t="str">
        <f>gen!D5</f>
        <v>Estimate for 2014</v>
      </c>
      <c r="E5" s="60" t="str">
        <f>gen!E5</f>
        <v>Year for 2015</v>
      </c>
    </row>
    <row r="6" spans="2:5" ht="15.75">
      <c r="B6" s="61" t="s">
        <v>60</v>
      </c>
      <c r="C6" s="283">
        <v>0</v>
      </c>
      <c r="D6" s="358">
        <f>C34</f>
        <v>0</v>
      </c>
      <c r="E6" s="236">
        <f>D34</f>
        <v>0</v>
      </c>
    </row>
    <row r="7" spans="2:5" ht="15.75">
      <c r="B7" s="61" t="s">
        <v>62</v>
      </c>
      <c r="C7" s="358"/>
      <c r="D7" s="358"/>
      <c r="E7" s="285"/>
    </row>
    <row r="8" spans="2:5" ht="15.75">
      <c r="B8" s="61" t="s">
        <v>252</v>
      </c>
      <c r="C8" s="283">
        <f>138.23+4670.61+471.59</f>
        <v>5280.429999999999</v>
      </c>
      <c r="D8" s="358">
        <f>IF(inputPrYr!H19&gt;0,inputPrYr!G28,inputPrYr!E28)</f>
        <v>5304</v>
      </c>
      <c r="E8" s="285" t="s">
        <v>231</v>
      </c>
    </row>
    <row r="9" spans="2:5" ht="15.75">
      <c r="B9" s="61" t="s">
        <v>253</v>
      </c>
      <c r="C9" s="283">
        <v>38.91</v>
      </c>
      <c r="D9" s="283">
        <v>0</v>
      </c>
      <c r="E9" s="149">
        <v>0</v>
      </c>
    </row>
    <row r="10" spans="2:5" ht="15.75">
      <c r="B10" s="61" t="s">
        <v>254</v>
      </c>
      <c r="C10" s="283">
        <v>758.4</v>
      </c>
      <c r="D10" s="283">
        <v>771</v>
      </c>
      <c r="E10" s="236">
        <f>mvalloc!G19</f>
        <v>829</v>
      </c>
    </row>
    <row r="11" spans="2:5" ht="15.75">
      <c r="B11" s="61" t="s">
        <v>255</v>
      </c>
      <c r="C11" s="283">
        <v>7.14</v>
      </c>
      <c r="D11" s="283">
        <v>10</v>
      </c>
      <c r="E11" s="236">
        <f>mvalloc!I19</f>
        <v>9</v>
      </c>
    </row>
    <row r="12" spans="2:5" ht="15.75">
      <c r="B12" s="61" t="s">
        <v>51</v>
      </c>
      <c r="C12" s="283">
        <v>42.89</v>
      </c>
      <c r="D12" s="283">
        <v>40</v>
      </c>
      <c r="E12" s="236">
        <f>mvalloc!J19</f>
        <v>31</v>
      </c>
    </row>
    <row r="13" spans="2:5" ht="15.75">
      <c r="B13" s="288"/>
      <c r="C13" s="283"/>
      <c r="D13" s="283"/>
      <c r="E13" s="149"/>
    </row>
    <row r="14" spans="2:5" ht="15.75">
      <c r="B14" s="288"/>
      <c r="C14" s="283"/>
      <c r="D14" s="283"/>
      <c r="E14" s="149"/>
    </row>
    <row r="15" spans="2:5" ht="15.75">
      <c r="B15" s="288"/>
      <c r="C15" s="283"/>
      <c r="D15" s="283"/>
      <c r="E15" s="149"/>
    </row>
    <row r="16" spans="2:5" ht="15.75">
      <c r="B16" s="288"/>
      <c r="C16" s="283"/>
      <c r="D16" s="283"/>
      <c r="E16" s="149"/>
    </row>
    <row r="17" spans="2:5" ht="15.75">
      <c r="B17" s="288" t="s">
        <v>258</v>
      </c>
      <c r="C17" s="283"/>
      <c r="D17" s="283"/>
      <c r="E17" s="149"/>
    </row>
    <row r="18" spans="2:5" ht="15.75">
      <c r="B18" s="289" t="s">
        <v>204</v>
      </c>
      <c r="C18" s="283"/>
      <c r="D18" s="283"/>
      <c r="E18" s="149"/>
    </row>
    <row r="19" spans="2:5" ht="15.75">
      <c r="B19" s="289" t="s">
        <v>205</v>
      </c>
      <c r="C19" s="360">
        <f>IF(C20*0.1&lt;C18,"Exceed 10% Rule","")</f>
      </c>
      <c r="D19" s="360">
        <f>IF(D20*0.1&lt;D18,"Exceed 10% Rule","")</f>
      </c>
      <c r="E19" s="293">
        <f>IF(E20*0.1+E40&lt;E18,"Exceed 10% Rule","")</f>
      </c>
    </row>
    <row r="20" spans="2:5" ht="15.75">
      <c r="B20" s="291" t="s">
        <v>259</v>
      </c>
      <c r="C20" s="361">
        <f>SUM(C8:C18)</f>
        <v>6127.7699999999995</v>
      </c>
      <c r="D20" s="361">
        <f>SUM(D8:D18)</f>
        <v>6125</v>
      </c>
      <c r="E20" s="292">
        <f>SUM(E8:E18)</f>
        <v>869</v>
      </c>
    </row>
    <row r="21" spans="2:5" ht="15.75">
      <c r="B21" s="79" t="s">
        <v>260</v>
      </c>
      <c r="C21" s="361">
        <f>C20+C6</f>
        <v>6127.7699999999995</v>
      </c>
      <c r="D21" s="361">
        <f>D20+D6</f>
        <v>6125</v>
      </c>
      <c r="E21" s="292">
        <f>E20+E6</f>
        <v>869</v>
      </c>
    </row>
    <row r="22" spans="2:5" ht="15.75">
      <c r="B22" s="61" t="s">
        <v>261</v>
      </c>
      <c r="C22" s="358"/>
      <c r="D22" s="358"/>
      <c r="E22" s="236"/>
    </row>
    <row r="23" spans="2:5" ht="15.75">
      <c r="B23" s="288"/>
      <c r="C23" s="283"/>
      <c r="D23" s="283"/>
      <c r="E23" s="149"/>
    </row>
    <row r="24" spans="2:11" ht="15.75">
      <c r="B24" s="288" t="s">
        <v>963</v>
      </c>
      <c r="C24" s="283">
        <f>75+75+75+75+5827.77</f>
        <v>6127.77</v>
      </c>
      <c r="D24" s="283">
        <v>6125</v>
      </c>
      <c r="E24" s="149">
        <v>0</v>
      </c>
      <c r="G24" s="867" t="str">
        <f>CONCATENATE("Desired Carryover Into ",E1+1,"")</f>
        <v>Desired Carryover Into 2016</v>
      </c>
      <c r="H24" s="868"/>
      <c r="I24" s="868"/>
      <c r="J24" s="869"/>
      <c r="K24" s="578"/>
    </row>
    <row r="25" spans="2:11" ht="15.75">
      <c r="B25" s="288"/>
      <c r="C25" s="283"/>
      <c r="D25" s="283"/>
      <c r="E25" s="149"/>
      <c r="G25" s="610"/>
      <c r="H25" s="611"/>
      <c r="I25" s="612"/>
      <c r="J25" s="613"/>
      <c r="K25" s="578"/>
    </row>
    <row r="26" spans="2:11" ht="15.75">
      <c r="B26" s="288"/>
      <c r="C26" s="283"/>
      <c r="D26" s="283"/>
      <c r="E26" s="149"/>
      <c r="G26" s="614" t="s">
        <v>697</v>
      </c>
      <c r="H26" s="612"/>
      <c r="I26" s="612"/>
      <c r="J26" s="615">
        <v>0</v>
      </c>
      <c r="K26" s="578"/>
    </row>
    <row r="27" spans="2:11" ht="15.75">
      <c r="B27" s="283"/>
      <c r="C27" s="283"/>
      <c r="D27" s="283"/>
      <c r="E27" s="149"/>
      <c r="G27" s="610" t="s">
        <v>698</v>
      </c>
      <c r="H27" s="611"/>
      <c r="I27" s="611"/>
      <c r="J27" s="616">
        <f>IF(J26=0,"",ROUND((J26+E40-G39)/inputOth!E11*1000,3)-G44)</f>
      </c>
      <c r="K27" s="578"/>
    </row>
    <row r="28" spans="2:11" ht="15.75">
      <c r="B28" s="288"/>
      <c r="C28" s="283"/>
      <c r="D28" s="283"/>
      <c r="E28" s="149"/>
      <c r="G28" s="617" t="str">
        <f>CONCATENATE("",E1," Tot Exp/Non-Appr Must Be:")</f>
        <v>2015 Tot Exp/Non-Appr Must Be:</v>
      </c>
      <c r="H28" s="618"/>
      <c r="I28" s="619"/>
      <c r="J28" s="620">
        <f>IF(J26&gt;0,IF(E37&lt;E21,IF(J26=G39,E37,((J26-G39)*(1-D39))+E21),E37+(J26-G39)),0)</f>
        <v>0</v>
      </c>
      <c r="K28" s="578"/>
    </row>
    <row r="29" spans="2:11" ht="15.75">
      <c r="B29" s="288"/>
      <c r="C29" s="283"/>
      <c r="D29" s="283"/>
      <c r="E29" s="149"/>
      <c r="G29" s="621" t="s">
        <v>827</v>
      </c>
      <c r="H29" s="622"/>
      <c r="I29" s="622"/>
      <c r="J29" s="623">
        <f>IF(J26&gt;0,J28-E37,0)</f>
        <v>0</v>
      </c>
      <c r="K29" s="578"/>
    </row>
    <row r="30" spans="2:11" ht="15.75">
      <c r="B30" s="286" t="s">
        <v>206</v>
      </c>
      <c r="C30" s="283"/>
      <c r="D30" s="283"/>
      <c r="E30" s="160">
        <f>nhood!E14</f>
      </c>
      <c r="G30" s="578"/>
      <c r="H30" s="578"/>
      <c r="I30" s="578"/>
      <c r="J30" s="578"/>
      <c r="K30" s="578"/>
    </row>
    <row r="31" spans="2:11" ht="15.75">
      <c r="B31" s="286" t="s">
        <v>204</v>
      </c>
      <c r="C31" s="283"/>
      <c r="D31" s="283"/>
      <c r="E31" s="149"/>
      <c r="G31" s="867" t="str">
        <f>CONCATENATE("Projected Carryover Into ",E1+1,"")</f>
        <v>Projected Carryover Into 2016</v>
      </c>
      <c r="H31" s="870"/>
      <c r="I31" s="870"/>
      <c r="J31" s="871"/>
      <c r="K31" s="578"/>
    </row>
    <row r="32" spans="2:11" ht="15.75">
      <c r="B32" s="286" t="s">
        <v>694</v>
      </c>
      <c r="C32" s="360">
        <f>IF(C33*0.1&lt;C31,"Exceed 10% Rule","")</f>
      </c>
      <c r="D32" s="360">
        <f>IF(D33*0.1&lt;D31,"Exceed 10% Rule","")</f>
      </c>
      <c r="E32" s="293">
        <f>IF(E33*0.1&lt;E31,"Exceed 10% Rule","")</f>
      </c>
      <c r="G32" s="610"/>
      <c r="H32" s="612"/>
      <c r="I32" s="612"/>
      <c r="J32" s="625"/>
      <c r="K32" s="578"/>
    </row>
    <row r="33" spans="2:11" ht="15.75">
      <c r="B33" s="79" t="s">
        <v>262</v>
      </c>
      <c r="C33" s="361">
        <f>SUM(C23:C31)</f>
        <v>6127.77</v>
      </c>
      <c r="D33" s="361">
        <f>SUM(D23:D31)</f>
        <v>6125</v>
      </c>
      <c r="E33" s="292">
        <f>SUM(E23:E31)</f>
        <v>0</v>
      </c>
      <c r="G33" s="628">
        <f>D34</f>
        <v>0</v>
      </c>
      <c r="H33" s="629" t="str">
        <f>CONCATENATE("",E1-1," Ending Cash Balance (est.)")</f>
        <v>2014 Ending Cash Balance (est.)</v>
      </c>
      <c r="I33" s="630"/>
      <c r="J33" s="625"/>
      <c r="K33" s="578"/>
    </row>
    <row r="34" spans="2:11" ht="15.75">
      <c r="B34" s="61" t="s">
        <v>61</v>
      </c>
      <c r="C34" s="362">
        <f>C21-C33</f>
        <v>0</v>
      </c>
      <c r="D34" s="362">
        <f>D21-D33</f>
        <v>0</v>
      </c>
      <c r="E34" s="285" t="s">
        <v>231</v>
      </c>
      <c r="G34" s="628">
        <f>E20</f>
        <v>869</v>
      </c>
      <c r="H34" s="612" t="str">
        <f>CONCATENATE("",E1," Non-AV Receipts (est.)")</f>
        <v>2015 Non-AV Receipts (est.)</v>
      </c>
      <c r="I34" s="630"/>
      <c r="J34" s="625"/>
      <c r="K34" s="578"/>
    </row>
    <row r="35" spans="2:11" ht="15.75">
      <c r="B35" s="96" t="str">
        <f>CONCATENATE("",E1-2,"/",E1-1,"/",E1," Budget Authority Amount:")</f>
        <v>2013/2014/2015 Budget Authority Amount:</v>
      </c>
      <c r="C35" s="715">
        <f>inputOth!$B91</f>
        <v>6125</v>
      </c>
      <c r="D35" s="715">
        <f>inputPrYr!$D28</f>
        <v>6125</v>
      </c>
      <c r="E35" s="236">
        <f>E33</f>
        <v>0</v>
      </c>
      <c r="F35" s="294"/>
      <c r="G35" s="635">
        <f>IF(E39&gt;0,E38,E40)</f>
        <v>0</v>
      </c>
      <c r="H35" s="612" t="str">
        <f>CONCATENATE("",E1," Ad Valorem Tax (est.)")</f>
        <v>2015 Ad Valorem Tax (est.)</v>
      </c>
      <c r="I35" s="630"/>
      <c r="J35" s="625"/>
      <c r="K35" s="636">
        <f>IF(G35=E40,"","Note: Does not include Delinquent Taxes")</f>
      </c>
    </row>
    <row r="36" spans="2:11" ht="15.75">
      <c r="B36" s="97"/>
      <c r="C36" s="855" t="s">
        <v>691</v>
      </c>
      <c r="D36" s="856"/>
      <c r="E36" s="149"/>
      <c r="F36" s="695">
        <f>IF(E33/0.95-E33&lt;E36,"Exceeds 5%","")</f>
      </c>
      <c r="G36" s="628">
        <f>SUM(G33:G35)</f>
        <v>869</v>
      </c>
      <c r="H36" s="612" t="str">
        <f>CONCATENATE("Total ",E1," Resources Available")</f>
        <v>Total 2015 Resources Available</v>
      </c>
      <c r="I36" s="630"/>
      <c r="J36" s="625"/>
      <c r="K36" s="578"/>
    </row>
    <row r="37" spans="2:11" ht="15.75">
      <c r="B37" s="467" t="str">
        <f>CONCATENATE(C85,"     ",D85)</f>
        <v>See Tab A     </v>
      </c>
      <c r="C37" s="857" t="s">
        <v>692</v>
      </c>
      <c r="D37" s="858"/>
      <c r="E37" s="236">
        <f>E33+E36</f>
        <v>0</v>
      </c>
      <c r="G37" s="639"/>
      <c r="H37" s="612"/>
      <c r="I37" s="612"/>
      <c r="J37" s="625"/>
      <c r="K37" s="578"/>
    </row>
    <row r="38" spans="2:11" ht="15.75">
      <c r="B38" s="467" t="str">
        <f>CONCATENATE(C86,"     ",D86)</f>
        <v>     </v>
      </c>
      <c r="C38" s="470"/>
      <c r="D38" s="469" t="s">
        <v>264</v>
      </c>
      <c r="E38" s="160">
        <f>IF(E37-E21&gt;0,E37-E21,0)</f>
        <v>0</v>
      </c>
      <c r="G38" s="635">
        <f>C33*0.05+C33</f>
        <v>6434.1585000000005</v>
      </c>
      <c r="H38" s="612" t="str">
        <f>CONCATENATE("Less ",E1-2," Expenditures + 5%")</f>
        <v>Less 2013 Expenditures + 5%</v>
      </c>
      <c r="I38" s="612"/>
      <c r="J38" s="625"/>
      <c r="K38" s="578"/>
    </row>
    <row r="39" spans="2:11" ht="15.75">
      <c r="B39" s="187"/>
      <c r="C39" s="468" t="s">
        <v>693</v>
      </c>
      <c r="D39" s="679">
        <f>inputOth!$E$77</f>
        <v>0</v>
      </c>
      <c r="E39" s="236">
        <f>ROUND(IF(D39&gt;0,(E38*D39),0),0)</f>
        <v>0</v>
      </c>
      <c r="G39" s="643">
        <f>G36-G38</f>
        <v>-5565.1585000000005</v>
      </c>
      <c r="H39" s="644" t="str">
        <f>CONCATENATE("Projected ",E1+1," carryover (est.)")</f>
        <v>Projected 2016 carryover (est.)</v>
      </c>
      <c r="I39" s="645"/>
      <c r="J39" s="646"/>
      <c r="K39" s="578"/>
    </row>
    <row r="40" spans="2:11" ht="15.75">
      <c r="B40" s="46"/>
      <c r="C40" s="859" t="str">
        <f>CONCATENATE("Amount of  ",$E$1-1," Ad Valorem Tax")</f>
        <v>Amount of  2014 Ad Valorem Tax</v>
      </c>
      <c r="D40" s="860"/>
      <c r="E40" s="160">
        <f>E38+E39</f>
        <v>0</v>
      </c>
      <c r="G40" s="578"/>
      <c r="H40" s="578"/>
      <c r="I40" s="578"/>
      <c r="J40" s="578"/>
      <c r="K40" s="578"/>
    </row>
    <row r="41" spans="2:11" ht="15.75">
      <c r="B41" s="46"/>
      <c r="C41" s="526"/>
      <c r="D41" s="46"/>
      <c r="E41" s="46"/>
      <c r="G41" s="874" t="s">
        <v>828</v>
      </c>
      <c r="H41" s="875"/>
      <c r="I41" s="875"/>
      <c r="J41" s="876"/>
      <c r="K41" s="578"/>
    </row>
    <row r="42" spans="2:11" ht="15.75">
      <c r="B42" s="46"/>
      <c r="C42" s="526"/>
      <c r="D42" s="46"/>
      <c r="E42" s="46"/>
      <c r="G42" s="650"/>
      <c r="H42" s="629"/>
      <c r="I42" s="651"/>
      <c r="J42" s="652"/>
      <c r="K42" s="578"/>
    </row>
    <row r="43" spans="2:11" ht="15.75">
      <c r="B43" s="53" t="s">
        <v>246</v>
      </c>
      <c r="C43" s="51"/>
      <c r="D43" s="51"/>
      <c r="E43" s="51"/>
      <c r="G43" s="653" t="str">
        <f>summ!H26</f>
        <v> </v>
      </c>
      <c r="H43" s="629" t="str">
        <f>CONCATENATE("",E1," Fund Mill Rate")</f>
        <v>2015 Fund Mill Rate</v>
      </c>
      <c r="I43" s="651"/>
      <c r="J43" s="652"/>
      <c r="K43" s="578"/>
    </row>
    <row r="44" spans="2:11" ht="15.75">
      <c r="B44" s="46"/>
      <c r="C44" s="356" t="s">
        <v>247</v>
      </c>
      <c r="D44" s="359" t="s">
        <v>248</v>
      </c>
      <c r="E44" s="55" t="s">
        <v>249</v>
      </c>
      <c r="G44" s="654">
        <f>summ!E26</f>
        <v>1.295</v>
      </c>
      <c r="H44" s="629" t="str">
        <f>CONCATENATE("",E1-1," Fund Mill Rate")</f>
        <v>2014 Fund Mill Rate</v>
      </c>
      <c r="I44" s="651"/>
      <c r="J44" s="652"/>
      <c r="K44" s="578"/>
    </row>
    <row r="45" spans="2:11" ht="15.75">
      <c r="B45" s="453">
        <f>inputPrYr!B29</f>
        <v>0</v>
      </c>
      <c r="C45" s="357" t="str">
        <f>C5</f>
        <v>Actual for 2013</v>
      </c>
      <c r="D45" s="357" t="str">
        <f>D5</f>
        <v>Estimate for 2014</v>
      </c>
      <c r="E45" s="60" t="str">
        <f>E5</f>
        <v>Year for 2015</v>
      </c>
      <c r="G45" s="656">
        <f>summ!H36</f>
        <v>15.561</v>
      </c>
      <c r="H45" s="629" t="str">
        <f>CONCATENATE("Total ",E1," Mill Rate")</f>
        <v>Total 2015 Mill Rate</v>
      </c>
      <c r="I45" s="651"/>
      <c r="J45" s="652"/>
      <c r="K45" s="578"/>
    </row>
    <row r="46" spans="2:11" ht="15.75">
      <c r="B46" s="61" t="s">
        <v>60</v>
      </c>
      <c r="C46" s="283"/>
      <c r="D46" s="358">
        <f>C74</f>
        <v>0</v>
      </c>
      <c r="E46" s="236">
        <f>D74</f>
        <v>0</v>
      </c>
      <c r="G46" s="654">
        <f>summ!E36</f>
        <v>16.355</v>
      </c>
      <c r="H46" s="657" t="str">
        <f>CONCATENATE("Total ",E1-1," Mill Rate")</f>
        <v>Total 2014 Mill Rate</v>
      </c>
      <c r="I46" s="658"/>
      <c r="J46" s="659"/>
      <c r="K46" s="578"/>
    </row>
    <row r="47" spans="2:11" ht="15.75">
      <c r="B47" s="61" t="s">
        <v>62</v>
      </c>
      <c r="C47" s="358"/>
      <c r="D47" s="358"/>
      <c r="E47" s="285"/>
      <c r="G47" s="578"/>
      <c r="H47" s="578"/>
      <c r="I47" s="578"/>
      <c r="J47" s="578"/>
      <c r="K47" s="578"/>
    </row>
    <row r="48" spans="2:11" ht="15.75">
      <c r="B48" s="61" t="s">
        <v>252</v>
      </c>
      <c r="C48" s="283"/>
      <c r="D48" s="358">
        <f>IF(inputPrYr!H19&gt;0,inputPrYr!G29,inputPrYr!E29)</f>
        <v>0</v>
      </c>
      <c r="E48" s="285" t="s">
        <v>231</v>
      </c>
      <c r="G48" s="752" t="s">
        <v>927</v>
      </c>
      <c r="H48" s="706"/>
      <c r="I48" s="705" t="str">
        <f>cert!E41</f>
        <v>No</v>
      </c>
      <c r="J48" s="578"/>
      <c r="K48" s="578"/>
    </row>
    <row r="49" spans="2:11" ht="15.75">
      <c r="B49" s="61" t="s">
        <v>253</v>
      </c>
      <c r="C49" s="283"/>
      <c r="D49" s="283"/>
      <c r="E49" s="149"/>
      <c r="G49" s="578"/>
      <c r="H49" s="578"/>
      <c r="I49" s="578"/>
      <c r="J49" s="578"/>
      <c r="K49" s="578"/>
    </row>
    <row r="50" spans="2:11" ht="15.75">
      <c r="B50" s="61" t="s">
        <v>254</v>
      </c>
      <c r="C50" s="283"/>
      <c r="D50" s="283"/>
      <c r="E50" s="236">
        <f>mvalloc!G20</f>
        <v>0</v>
      </c>
      <c r="G50" s="578"/>
      <c r="H50" s="578"/>
      <c r="I50" s="578"/>
      <c r="J50" s="578"/>
      <c r="K50" s="578"/>
    </row>
    <row r="51" spans="2:11" ht="15.75">
      <c r="B51" s="61" t="s">
        <v>255</v>
      </c>
      <c r="C51" s="283"/>
      <c r="D51" s="283"/>
      <c r="E51" s="236">
        <f>mvalloc!I20</f>
        <v>0</v>
      </c>
      <c r="G51" s="578"/>
      <c r="H51" s="578"/>
      <c r="I51" s="578"/>
      <c r="J51" s="578"/>
      <c r="K51" s="578"/>
    </row>
    <row r="52" spans="2:11" ht="15.75">
      <c r="B52" s="61" t="s">
        <v>51</v>
      </c>
      <c r="C52" s="283"/>
      <c r="D52" s="283"/>
      <c r="E52" s="236">
        <f>mvalloc!J20</f>
        <v>0</v>
      </c>
      <c r="G52" s="578"/>
      <c r="H52" s="578"/>
      <c r="I52" s="578"/>
      <c r="J52" s="578"/>
      <c r="K52" s="578"/>
    </row>
    <row r="53" spans="2:11" ht="15.75">
      <c r="B53" s="287"/>
      <c r="C53" s="283"/>
      <c r="D53" s="283"/>
      <c r="E53" s="149"/>
      <c r="G53" s="578"/>
      <c r="H53" s="578"/>
      <c r="I53" s="578"/>
      <c r="J53" s="578"/>
      <c r="K53" s="578"/>
    </row>
    <row r="54" spans="2:11" ht="15.75">
      <c r="B54" s="287"/>
      <c r="C54" s="283"/>
      <c r="D54" s="283"/>
      <c r="E54" s="149"/>
      <c r="G54" s="578"/>
      <c r="H54" s="578"/>
      <c r="I54" s="578"/>
      <c r="J54" s="578"/>
      <c r="K54" s="578"/>
    </row>
    <row r="55" spans="2:11" ht="15.75">
      <c r="B55" s="287"/>
      <c r="C55" s="283"/>
      <c r="D55" s="283"/>
      <c r="E55" s="149"/>
      <c r="G55" s="578"/>
      <c r="H55" s="578"/>
      <c r="I55" s="578"/>
      <c r="J55" s="578"/>
      <c r="K55" s="578"/>
    </row>
    <row r="56" spans="2:11" ht="15.75">
      <c r="B56" s="288"/>
      <c r="C56" s="283"/>
      <c r="D56" s="283"/>
      <c r="E56" s="149"/>
      <c r="G56" s="578"/>
      <c r="H56" s="578"/>
      <c r="I56" s="578"/>
      <c r="J56" s="578"/>
      <c r="K56" s="578"/>
    </row>
    <row r="57" spans="2:11" ht="15.75">
      <c r="B57" s="288" t="s">
        <v>258</v>
      </c>
      <c r="C57" s="283"/>
      <c r="D57" s="283"/>
      <c r="E57" s="149"/>
      <c r="G57" s="578"/>
      <c r="H57" s="578"/>
      <c r="I57" s="578"/>
      <c r="J57" s="578"/>
      <c r="K57" s="578"/>
    </row>
    <row r="58" spans="2:11" ht="15.75">
      <c r="B58" s="289" t="s">
        <v>204</v>
      </c>
      <c r="C58" s="283"/>
      <c r="D58" s="283"/>
      <c r="E58" s="149"/>
      <c r="G58" s="578"/>
      <c r="H58" s="578"/>
      <c r="I58" s="578"/>
      <c r="J58" s="578"/>
      <c r="K58" s="578"/>
    </row>
    <row r="59" spans="2:11" ht="15.75">
      <c r="B59" s="289" t="s">
        <v>205</v>
      </c>
      <c r="C59" s="360">
        <f>IF(C60*0.1&lt;C58,"Exceed 10% Rule","")</f>
      </c>
      <c r="D59" s="360">
        <f>IF(D60*0.1&lt;D58,"Exceed 10% Rule","")</f>
      </c>
      <c r="E59" s="293">
        <f>IF(E60*0.1+E80&lt;E58,"Exceed 10% Rule","")</f>
      </c>
      <c r="G59" s="578"/>
      <c r="H59" s="578"/>
      <c r="I59" s="578"/>
      <c r="J59" s="578"/>
      <c r="K59" s="578"/>
    </row>
    <row r="60" spans="2:11" ht="15.75">
      <c r="B60" s="291" t="s">
        <v>259</v>
      </c>
      <c r="C60" s="361">
        <f>SUM(C48:C58)</f>
        <v>0</v>
      </c>
      <c r="D60" s="361">
        <f>SUM(D48:D58)</f>
        <v>0</v>
      </c>
      <c r="E60" s="292">
        <f>SUM(E48:E58)</f>
        <v>0</v>
      </c>
      <c r="G60" s="578"/>
      <c r="H60" s="578"/>
      <c r="I60" s="578"/>
      <c r="J60" s="578"/>
      <c r="K60" s="578"/>
    </row>
    <row r="61" spans="2:11" ht="15.75">
      <c r="B61" s="79" t="s">
        <v>260</v>
      </c>
      <c r="C61" s="361">
        <f>C60+C46</f>
        <v>0</v>
      </c>
      <c r="D61" s="361">
        <f>D60+D46</f>
        <v>0</v>
      </c>
      <c r="E61" s="292">
        <f>E60+E46</f>
        <v>0</v>
      </c>
      <c r="G61" s="578"/>
      <c r="H61" s="578"/>
      <c r="I61" s="578"/>
      <c r="J61" s="578"/>
      <c r="K61" s="578"/>
    </row>
    <row r="62" spans="2:11" ht="15.75">
      <c r="B62" s="61" t="s">
        <v>261</v>
      </c>
      <c r="C62" s="358"/>
      <c r="D62" s="358"/>
      <c r="E62" s="236"/>
      <c r="G62" s="578"/>
      <c r="H62" s="578"/>
      <c r="I62" s="578"/>
      <c r="J62" s="578"/>
      <c r="K62" s="578"/>
    </row>
    <row r="63" spans="2:11" ht="15.75">
      <c r="B63" s="288"/>
      <c r="C63" s="283"/>
      <c r="D63" s="283"/>
      <c r="E63" s="149"/>
      <c r="G63" s="578"/>
      <c r="H63" s="578"/>
      <c r="I63" s="578"/>
      <c r="J63" s="578"/>
      <c r="K63" s="578"/>
    </row>
    <row r="64" spans="2:11" ht="15.75">
      <c r="B64" s="288"/>
      <c r="C64" s="283"/>
      <c r="D64" s="283"/>
      <c r="E64" s="149"/>
      <c r="G64" s="867" t="str">
        <f>CONCATENATE("Desired Carryover Into ",E1+1,"")</f>
        <v>Desired Carryover Into 2016</v>
      </c>
      <c r="H64" s="868"/>
      <c r="I64" s="868"/>
      <c r="J64" s="869"/>
      <c r="K64" s="578"/>
    </row>
    <row r="65" spans="2:11" ht="15.75">
      <c r="B65" s="288"/>
      <c r="C65" s="283"/>
      <c r="D65" s="283"/>
      <c r="E65" s="149"/>
      <c r="G65" s="610"/>
      <c r="H65" s="611"/>
      <c r="I65" s="612"/>
      <c r="J65" s="613"/>
      <c r="K65" s="578"/>
    </row>
    <row r="66" spans="2:11" ht="15.75">
      <c r="B66" s="288"/>
      <c r="C66" s="283"/>
      <c r="D66" s="283"/>
      <c r="E66" s="149"/>
      <c r="G66" s="614" t="s">
        <v>697</v>
      </c>
      <c r="H66" s="612"/>
      <c r="I66" s="612"/>
      <c r="J66" s="615">
        <v>0</v>
      </c>
      <c r="K66" s="578"/>
    </row>
    <row r="67" spans="2:11" ht="15.75">
      <c r="B67" s="288"/>
      <c r="C67" s="283"/>
      <c r="D67" s="283"/>
      <c r="E67" s="149"/>
      <c r="G67" s="610" t="s">
        <v>698</v>
      </c>
      <c r="H67" s="611"/>
      <c r="I67" s="611"/>
      <c r="J67" s="616">
        <f>IF(J66=0,"",ROUND((J66+E80-G79)/inputOth!E11*1000,3)-G84)</f>
      </c>
      <c r="K67" s="578"/>
    </row>
    <row r="68" spans="2:11" ht="15.75">
      <c r="B68" s="288"/>
      <c r="C68" s="283"/>
      <c r="D68" s="283"/>
      <c r="E68" s="149"/>
      <c r="G68" s="617" t="str">
        <f>CONCATENATE("",E1," Tot Exp/Non-Appr Must Be:")</f>
        <v>2015 Tot Exp/Non-Appr Must Be:</v>
      </c>
      <c r="H68" s="618"/>
      <c r="I68" s="619"/>
      <c r="J68" s="620">
        <f>IF(J66&gt;0,IF(E77&lt;E61,IF(J66=G79,E77,((J66-G79)*(1-D79))+E61),E77+(J66-G79)),0)</f>
        <v>0</v>
      </c>
      <c r="K68" s="578"/>
    </row>
    <row r="69" spans="2:11" ht="15.75">
      <c r="B69" s="288"/>
      <c r="C69" s="283"/>
      <c r="D69" s="283"/>
      <c r="E69" s="149"/>
      <c r="G69" s="621" t="s">
        <v>827</v>
      </c>
      <c r="H69" s="622"/>
      <c r="I69" s="622"/>
      <c r="J69" s="623">
        <f>IF(J66&gt;0,J68-E77,0)</f>
        <v>0</v>
      </c>
      <c r="K69" s="578"/>
    </row>
    <row r="70" spans="2:11" ht="15.75">
      <c r="B70" s="286" t="s">
        <v>206</v>
      </c>
      <c r="C70" s="283"/>
      <c r="D70" s="283"/>
      <c r="E70" s="160">
        <f>nhood!E15</f>
      </c>
      <c r="G70" s="578"/>
      <c r="H70" s="578"/>
      <c r="I70" s="578"/>
      <c r="J70" s="578"/>
      <c r="K70" s="578"/>
    </row>
    <row r="71" spans="2:11" ht="15.75">
      <c r="B71" s="286" t="s">
        <v>204</v>
      </c>
      <c r="C71" s="283"/>
      <c r="D71" s="283"/>
      <c r="E71" s="149"/>
      <c r="G71" s="867" t="str">
        <f>CONCATENATE("Projected Carryover Into ",E1+1,"")</f>
        <v>Projected Carryover Into 2016</v>
      </c>
      <c r="H71" s="877"/>
      <c r="I71" s="877"/>
      <c r="J71" s="871"/>
      <c r="K71" s="578"/>
    </row>
    <row r="72" spans="2:11" ht="15.75">
      <c r="B72" s="286" t="s">
        <v>694</v>
      </c>
      <c r="C72" s="360">
        <f>IF(C73*0.1&lt;C71,"Exceed 10% Rule","")</f>
      </c>
      <c r="D72" s="360">
        <f>IF(D73*0.1&lt;D71,"Exceed 10% Rule","")</f>
      </c>
      <c r="E72" s="293">
        <f>IF(E73*0.1&lt;E71,"Exceed 10% Rule","")</f>
      </c>
      <c r="G72" s="662"/>
      <c r="H72" s="611"/>
      <c r="I72" s="611"/>
      <c r="J72" s="663"/>
      <c r="K72" s="578"/>
    </row>
    <row r="73" spans="2:11" ht="15.75">
      <c r="B73" s="79" t="s">
        <v>262</v>
      </c>
      <c r="C73" s="361">
        <f>SUM(C63:C71)</f>
        <v>0</v>
      </c>
      <c r="D73" s="361">
        <f>SUM(D63:D71)</f>
        <v>0</v>
      </c>
      <c r="E73" s="292">
        <f>SUM(E63:E71)</f>
        <v>0</v>
      </c>
      <c r="G73" s="628">
        <f>D74</f>
        <v>0</v>
      </c>
      <c r="H73" s="629" t="str">
        <f>CONCATENATE("",E1-1," Ending Cash Balance (est.)")</f>
        <v>2014 Ending Cash Balance (est.)</v>
      </c>
      <c r="I73" s="630"/>
      <c r="J73" s="663"/>
      <c r="K73" s="578"/>
    </row>
    <row r="74" spans="2:11" ht="15.75">
      <c r="B74" s="61" t="s">
        <v>61</v>
      </c>
      <c r="C74" s="362">
        <f>C61-C73</f>
        <v>0</v>
      </c>
      <c r="D74" s="362">
        <f>D61-D73</f>
        <v>0</v>
      </c>
      <c r="E74" s="285" t="s">
        <v>231</v>
      </c>
      <c r="G74" s="628">
        <f>E60</f>
        <v>0</v>
      </c>
      <c r="H74" s="612" t="str">
        <f>CONCATENATE("",E1," Non-AV Receipts (est.)")</f>
        <v>2015 Non-AV Receipts (est.)</v>
      </c>
      <c r="I74" s="630"/>
      <c r="J74" s="663"/>
      <c r="K74" s="578"/>
    </row>
    <row r="75" spans="2:11" ht="15.75">
      <c r="B75" s="96" t="str">
        <f>CONCATENATE("",E1-2,"/",E1-1,"/",E1," Budget Authority Amount:")</f>
        <v>2013/2014/2015 Budget Authority Amount:</v>
      </c>
      <c r="C75" s="715">
        <f>inputOth!$B92</f>
        <v>0</v>
      </c>
      <c r="D75" s="715">
        <f>inputPrYr!$D29</f>
        <v>0</v>
      </c>
      <c r="E75" s="236">
        <f>E73</f>
        <v>0</v>
      </c>
      <c r="F75" s="294"/>
      <c r="G75" s="635">
        <f>IF(E79&gt;0,E78,E80)</f>
        <v>0</v>
      </c>
      <c r="H75" s="612" t="str">
        <f>CONCATENATE("",E1," Ad Valorem Tax (est.)")</f>
        <v>2015 Ad Valorem Tax (est.)</v>
      </c>
      <c r="I75" s="630"/>
      <c r="J75" s="663"/>
      <c r="K75" s="636">
        <f>IF(G75=E80,"","Note: Does not include Delinquent Taxes")</f>
      </c>
    </row>
    <row r="76" spans="2:11" ht="15.75">
      <c r="B76" s="97"/>
      <c r="C76" s="855" t="s">
        <v>691</v>
      </c>
      <c r="D76" s="856"/>
      <c r="E76" s="149"/>
      <c r="F76" s="695">
        <f>IF(E73/0.95-E73&lt;E76,"Exceeds 5%","")</f>
      </c>
      <c r="G76" s="665">
        <f>SUM(G73:G75)</f>
        <v>0</v>
      </c>
      <c r="H76" s="612" t="str">
        <f>CONCATENATE("Total ",E1," Resources Available")</f>
        <v>Total 2015 Resources Available</v>
      </c>
      <c r="I76" s="666"/>
      <c r="J76" s="663"/>
      <c r="K76" s="578"/>
    </row>
    <row r="77" spans="2:11" ht="15.75">
      <c r="B77" s="467" t="str">
        <f>CONCATENATE(C87,"     ",D87)</f>
        <v>     </v>
      </c>
      <c r="C77" s="857" t="s">
        <v>692</v>
      </c>
      <c r="D77" s="858"/>
      <c r="E77" s="236">
        <f>E73+E76</f>
        <v>0</v>
      </c>
      <c r="G77" s="667"/>
      <c r="H77" s="668"/>
      <c r="I77" s="611"/>
      <c r="J77" s="663"/>
      <c r="K77" s="578"/>
    </row>
    <row r="78" spans="2:11" ht="15.75">
      <c r="B78" s="467" t="str">
        <f>CONCATENATE(C88,"     ",D88)</f>
        <v>     </v>
      </c>
      <c r="C78" s="470"/>
      <c r="D78" s="469" t="s">
        <v>264</v>
      </c>
      <c r="E78" s="160">
        <f>IF(E77-E61&gt;0,E77-E61,0)</f>
        <v>0</v>
      </c>
      <c r="G78" s="635">
        <f>ROUND(C73*0.05+C73,0)</f>
        <v>0</v>
      </c>
      <c r="H78" s="612" t="str">
        <f>CONCATENATE("Less ",E1-2," Expenditures + 5%")</f>
        <v>Less 2013 Expenditures + 5%</v>
      </c>
      <c r="I78" s="666"/>
      <c r="J78" s="663"/>
      <c r="K78" s="578"/>
    </row>
    <row r="79" spans="2:11" ht="15.75">
      <c r="B79" s="187"/>
      <c r="C79" s="468" t="s">
        <v>693</v>
      </c>
      <c r="D79" s="679">
        <f>inputOth!$E$77</f>
        <v>0</v>
      </c>
      <c r="E79" s="236">
        <f>ROUND(IF(D79&gt;0,(E78*D79),0),0)</f>
        <v>0</v>
      </c>
      <c r="G79" s="643">
        <f>G76-G78</f>
        <v>0</v>
      </c>
      <c r="H79" s="644" t="str">
        <f>CONCATENATE("Projected ",E1+1," carryover (est.)")</f>
        <v>Projected 2016 carryover (est.)</v>
      </c>
      <c r="I79" s="669"/>
      <c r="J79" s="670"/>
      <c r="K79" s="578"/>
    </row>
    <row r="80" spans="2:11" ht="15.75">
      <c r="B80" s="46"/>
      <c r="C80" s="859" t="str">
        <f>CONCATENATE("Amount of  ",$E$1-1," Ad Valorem Tax")</f>
        <v>Amount of  2014 Ad Valorem Tax</v>
      </c>
      <c r="D80" s="860"/>
      <c r="E80" s="160">
        <f>E78+E79</f>
        <v>0</v>
      </c>
      <c r="G80" s="578"/>
      <c r="H80" s="578"/>
      <c r="I80" s="578"/>
      <c r="J80" s="578"/>
      <c r="K80" s="578"/>
    </row>
    <row r="81" spans="2:11" ht="15.75">
      <c r="B81" s="187" t="s">
        <v>245</v>
      </c>
      <c r="C81" s="188">
        <v>11</v>
      </c>
      <c r="D81" s="46"/>
      <c r="E81" s="46"/>
      <c r="G81" s="874" t="s">
        <v>828</v>
      </c>
      <c r="H81" s="875"/>
      <c r="I81" s="875"/>
      <c r="J81" s="876"/>
      <c r="K81" s="578"/>
    </row>
    <row r="82" spans="2:11" ht="15.75">
      <c r="B82" s="93"/>
      <c r="G82" s="650"/>
      <c r="H82" s="629"/>
      <c r="I82" s="651"/>
      <c r="J82" s="652"/>
      <c r="K82" s="578"/>
    </row>
    <row r="83" spans="7:11" ht="15.75">
      <c r="G83" s="653" t="str">
        <f>summ!H27</f>
        <v> </v>
      </c>
      <c r="H83" s="629" t="str">
        <f>CONCATENATE("",E1," Fund Mill Rate")</f>
        <v>2015 Fund Mill Rate</v>
      </c>
      <c r="I83" s="651"/>
      <c r="J83" s="652"/>
      <c r="K83" s="578"/>
    </row>
    <row r="84" spans="7:11" ht="15.75">
      <c r="G84" s="654" t="str">
        <f>summ!E27</f>
        <v>  </v>
      </c>
      <c r="H84" s="629" t="str">
        <f>CONCATENATE("",E1-1," Fund Mill Rate")</f>
        <v>2014 Fund Mill Rate</v>
      </c>
      <c r="I84" s="651"/>
      <c r="J84" s="652"/>
      <c r="K84" s="578"/>
    </row>
    <row r="85" spans="3:11" ht="15.75" hidden="1">
      <c r="C85" s="135" t="str">
        <f>IF(C33&gt;C35,"See Tab A","")</f>
        <v>See Tab A</v>
      </c>
      <c r="D85" s="135">
        <f>IF(D33&gt;D35,"See Tab C","")</f>
      </c>
      <c r="G85" s="656">
        <f>'[1]summ'!I36</f>
        <v>0</v>
      </c>
      <c r="H85" s="629" t="str">
        <f>CONCATENATE("Total ",E1," Mill Rate")</f>
        <v>Total 2015 Mill Rate</v>
      </c>
      <c r="I85" s="651"/>
      <c r="J85" s="652"/>
      <c r="K85" s="578"/>
    </row>
    <row r="86" spans="3:11" ht="15.75" hidden="1">
      <c r="C86" s="135">
        <f>IF(C34&lt;0,"See Tab B","")</f>
      </c>
      <c r="D86" s="135">
        <f>IF(D34&lt;0,"See Tab D","")</f>
      </c>
      <c r="G86" s="654">
        <f>'[1]summ'!F36</f>
        <v>0</v>
      </c>
      <c r="H86" s="657" t="str">
        <f>CONCATENATE("Total ",E1-1," Mill Rate")</f>
        <v>Total 2014 Mill Rate</v>
      </c>
      <c r="I86" s="658"/>
      <c r="J86" s="659"/>
      <c r="K86" s="578"/>
    </row>
    <row r="87" spans="3:4" ht="15.75" hidden="1">
      <c r="C87" s="135">
        <f>IF(C73&gt;C75,"See Tab A","")</f>
      </c>
      <c r="D87" s="135">
        <f>IF(D73&gt;D75,"See Tab C","")</f>
      </c>
    </row>
    <row r="88" spans="3:4" ht="15.75" hidden="1">
      <c r="C88" s="135">
        <f>IF(C74&lt;0,"See Tab B","")</f>
      </c>
      <c r="D88" s="135">
        <f>IF(D74&lt;0,"See Tab D","")</f>
      </c>
    </row>
    <row r="89" spans="7:10" ht="15.75">
      <c r="G89" s="656">
        <f>summ!H36</f>
        <v>15.561</v>
      </c>
      <c r="H89" s="629" t="str">
        <f>CONCATENATE("Total ",E1," Mill Rate")</f>
        <v>Total 2015 Mill Rate</v>
      </c>
      <c r="I89" s="651"/>
      <c r="J89" s="652"/>
    </row>
    <row r="90" spans="7:10" ht="15.75">
      <c r="G90" s="654">
        <f>summ!E36</f>
        <v>16.355</v>
      </c>
      <c r="H90" s="657" t="str">
        <f>CONCATENATE("Total ",E1-1," Mill Rate")</f>
        <v>Total 2014 Mill Rate</v>
      </c>
      <c r="I90" s="658"/>
      <c r="J90" s="659"/>
    </row>
    <row r="92" spans="7:9" ht="15.75">
      <c r="G92" s="753" t="s">
        <v>927</v>
      </c>
      <c r="H92" s="706"/>
      <c r="I92" s="705"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3">
      <selection activeCell="D47" sqref="D47"/>
    </sheetView>
  </sheetViews>
  <sheetFormatPr defaultColWidth="8.796875" defaultRowHeight="15.75"/>
  <cols>
    <col min="1" max="1" width="20.69921875" style="135" customWidth="1"/>
    <col min="2" max="2" width="12.69921875" style="135" customWidth="1"/>
    <col min="3" max="3" width="9.69921875" style="135" customWidth="1"/>
    <col min="4" max="4" width="12.69921875" style="135" customWidth="1"/>
    <col min="5" max="5" width="9.69921875" style="135" customWidth="1"/>
    <col min="6" max="6" width="12.69921875" style="135" customWidth="1"/>
    <col min="7" max="7" width="10.69921875" style="135" customWidth="1"/>
    <col min="8" max="8" width="9.69921875" style="135" customWidth="1"/>
    <col min="9" max="11" width="8.796875" style="135" customWidth="1"/>
    <col min="12" max="12" width="10.69921875" style="135" customWidth="1"/>
    <col min="13" max="13" width="8.5" style="135" customWidth="1"/>
    <col min="14" max="16384" width="8.796875" style="135" customWidth="1"/>
  </cols>
  <sheetData>
    <row r="1" spans="1:8" ht="15.75">
      <c r="A1" s="46"/>
      <c r="B1" s="46"/>
      <c r="C1" s="46"/>
      <c r="D1" s="46"/>
      <c r="E1" s="46"/>
      <c r="F1" s="46"/>
      <c r="G1" s="46"/>
      <c r="H1" s="47">
        <f>inputPrYr!D9</f>
        <v>2015</v>
      </c>
    </row>
    <row r="2" spans="1:8" ht="15.75">
      <c r="A2" s="839" t="s">
        <v>23</v>
      </c>
      <c r="B2" s="815"/>
      <c r="C2" s="815"/>
      <c r="D2" s="815"/>
      <c r="E2" s="815"/>
      <c r="F2" s="815"/>
      <c r="G2" s="815"/>
      <c r="H2" s="815"/>
    </row>
    <row r="3" spans="1:8" ht="15.75">
      <c r="A3" s="46"/>
      <c r="B3" s="46"/>
      <c r="C3" s="46"/>
      <c r="D3" s="46"/>
      <c r="E3" s="46"/>
      <c r="F3" s="53" t="s">
        <v>272</v>
      </c>
      <c r="G3" s="53" t="s">
        <v>273</v>
      </c>
      <c r="H3" s="46"/>
    </row>
    <row r="4" spans="1:8" ht="15.75">
      <c r="A4" s="826" t="s">
        <v>274</v>
      </c>
      <c r="B4" s="826"/>
      <c r="C4" s="826"/>
      <c r="D4" s="826"/>
      <c r="E4" s="826"/>
      <c r="F4" s="826"/>
      <c r="G4" s="826"/>
      <c r="H4" s="826"/>
    </row>
    <row r="5" spans="1:8" ht="15.75">
      <c r="A5" s="828" t="str">
        <f>inputPrYr!D3</f>
        <v>VIOLA TOWNSHIP</v>
      </c>
      <c r="B5" s="828"/>
      <c r="C5" s="828"/>
      <c r="D5" s="828"/>
      <c r="E5" s="828"/>
      <c r="F5" s="828"/>
      <c r="G5" s="828"/>
      <c r="H5" s="828"/>
    </row>
    <row r="6" spans="1:8" ht="15.75">
      <c r="A6" s="828" t="str">
        <f>inputPrYr!D4</f>
        <v>SEDGWICK COUNTY</v>
      </c>
      <c r="B6" s="828"/>
      <c r="C6" s="828"/>
      <c r="D6" s="828"/>
      <c r="E6" s="828"/>
      <c r="F6" s="828"/>
      <c r="G6" s="828"/>
      <c r="H6" s="828"/>
    </row>
    <row r="7" spans="1:8" ht="15.75">
      <c r="A7" s="890" t="str">
        <f>CONCATENATE("will meet on ",inputBudSum!B8," at ",inputBudSum!B10," at ",inputBudSum!B12," for the purpose of hearing and")</f>
        <v>will meet on August 4, 2014 at 7:30 pm at Viola Community Hall, Viola, KS for the purpose of hearing and</v>
      </c>
      <c r="B7" s="890"/>
      <c r="C7" s="890"/>
      <c r="D7" s="890"/>
      <c r="E7" s="890"/>
      <c r="F7" s="890"/>
      <c r="G7" s="890"/>
      <c r="H7" s="890"/>
    </row>
    <row r="8" spans="1:8" ht="15.75">
      <c r="A8" s="826" t="s">
        <v>376</v>
      </c>
      <c r="B8" s="827"/>
      <c r="C8" s="827"/>
      <c r="D8" s="827"/>
      <c r="E8" s="827"/>
      <c r="F8" s="827"/>
      <c r="G8" s="827"/>
      <c r="H8" s="827"/>
    </row>
    <row r="9" spans="1:8" ht="15.75">
      <c r="A9" s="836" t="str">
        <f>CONCATENATE("Detailed budget information is available at ",inputBudSum!B15," and will be available at this hearing.")</f>
        <v>Detailed budget information is available at Sedgwick County Clerk's Office, 525 N Main, Room 211, Wichita, KS and will be available at this hearing.</v>
      </c>
      <c r="B9" s="815"/>
      <c r="C9" s="815"/>
      <c r="D9" s="815"/>
      <c r="E9" s="815"/>
      <c r="F9" s="815"/>
      <c r="G9" s="815"/>
      <c r="H9" s="815"/>
    </row>
    <row r="10" spans="1:8" ht="15.75">
      <c r="A10" s="839" t="s">
        <v>24</v>
      </c>
      <c r="B10" s="827"/>
      <c r="C10" s="827"/>
      <c r="D10" s="827"/>
      <c r="E10" s="827"/>
      <c r="F10" s="827"/>
      <c r="G10" s="827"/>
      <c r="H10" s="827"/>
    </row>
    <row r="11" spans="1:8" ht="15.75">
      <c r="A11" s="826" t="str">
        <f>CONCATENATE("Proposed Budget ",H1," Expenditures and Amount of ",H1-1," Ad Valorem Tax establish the maximum limits")</f>
        <v>Proposed Budget 2015 Expenditures and Amount of 2014 Ad Valorem Tax establish the maximum limits</v>
      </c>
      <c r="B11" s="827"/>
      <c r="C11" s="827"/>
      <c r="D11" s="827"/>
      <c r="E11" s="827"/>
      <c r="F11" s="827"/>
      <c r="G11" s="827"/>
      <c r="H11" s="827"/>
    </row>
    <row r="12" spans="1:8" ht="15.75">
      <c r="A12" s="826" t="str">
        <f>CONCATENATE("of the ",H1," budget.  Estimated Tax Rate is subject to change depending on the final assessed valuation.")</f>
        <v>of the 2015 budget.  Estimated Tax Rate is subject to change depending on the final assessed valuation.</v>
      </c>
      <c r="B12" s="827"/>
      <c r="C12" s="827"/>
      <c r="D12" s="827"/>
      <c r="E12" s="827"/>
      <c r="F12" s="827"/>
      <c r="G12" s="827"/>
      <c r="H12" s="827"/>
    </row>
    <row r="13" spans="1:9" ht="15.75">
      <c r="A13" s="53"/>
      <c r="B13" s="52"/>
      <c r="C13" s="52"/>
      <c r="D13" s="52"/>
      <c r="E13" s="52"/>
      <c r="F13" s="52"/>
      <c r="G13" s="52"/>
      <c r="H13" s="52"/>
      <c r="I13" s="175"/>
    </row>
    <row r="14" spans="1:9" ht="15.75">
      <c r="A14" s="182"/>
      <c r="B14" s="176" t="str">
        <f>CONCATENATE("Prior Year Actual ",H1-2,"")</f>
        <v>Prior Year Actual 2013</v>
      </c>
      <c r="C14" s="177"/>
      <c r="D14" s="176" t="str">
        <f>CONCATENATE("Current Year Estimate ",H1-1,"")</f>
        <v>Current Year Estimate 2014</v>
      </c>
      <c r="E14" s="178"/>
      <c r="F14" s="179" t="str">
        <f>CONCATENATE("Proposed Budget ",H1,"")</f>
        <v>Proposed Budget 2015</v>
      </c>
      <c r="G14" s="180"/>
      <c r="H14" s="178"/>
      <c r="I14" s="175"/>
    </row>
    <row r="15" spans="1:9" ht="22.5" customHeight="1">
      <c r="A15" s="56"/>
      <c r="B15" s="181"/>
      <c r="C15" s="55" t="s">
        <v>268</v>
      </c>
      <c r="D15" s="55"/>
      <c r="E15" s="55" t="s">
        <v>268</v>
      </c>
      <c r="F15" s="182"/>
      <c r="G15" s="830" t="str">
        <f>CONCATENATE("Amount of ",H1-1," Ad Valorem Tax")</f>
        <v>Amount of 2014 Ad Valorem Tax</v>
      </c>
      <c r="H15" s="55" t="s">
        <v>275</v>
      </c>
      <c r="I15" s="175"/>
    </row>
    <row r="16" spans="1:9" ht="15.75">
      <c r="A16" s="56"/>
      <c r="B16" s="57"/>
      <c r="C16" s="57" t="s">
        <v>276</v>
      </c>
      <c r="D16" s="57"/>
      <c r="E16" s="57" t="s">
        <v>276</v>
      </c>
      <c r="F16" s="463" t="s">
        <v>149</v>
      </c>
      <c r="G16" s="888"/>
      <c r="H16" s="57" t="s">
        <v>276</v>
      </c>
      <c r="I16" s="175"/>
    </row>
    <row r="17" spans="1:10" ht="15.75">
      <c r="A17" s="60" t="s">
        <v>227</v>
      </c>
      <c r="B17" s="60" t="s">
        <v>277</v>
      </c>
      <c r="C17" s="60" t="s">
        <v>278</v>
      </c>
      <c r="D17" s="60" t="s">
        <v>277</v>
      </c>
      <c r="E17" s="60" t="s">
        <v>278</v>
      </c>
      <c r="F17" s="462" t="s">
        <v>690</v>
      </c>
      <c r="G17" s="889"/>
      <c r="H17" s="60" t="s">
        <v>278</v>
      </c>
      <c r="I17" s="175"/>
      <c r="J17" s="490"/>
    </row>
    <row r="18" spans="1:10" ht="15.75">
      <c r="A18" s="71" t="str">
        <f>inputPrYr!B20</f>
        <v>General</v>
      </c>
      <c r="B18" s="71">
        <f>IF(gen!$C$50&lt;&gt;0,gen!$C$50,"  ")</f>
        <v>11565.94</v>
      </c>
      <c r="C18" s="74">
        <f>IF(inputPrYr!D49&gt;0,inputPrYr!D49,"  ")</f>
        <v>2.518</v>
      </c>
      <c r="D18" s="71">
        <f>IF(gen!$D$50&lt;&gt;0,gen!$D$50,"  ")</f>
        <v>14030</v>
      </c>
      <c r="E18" s="74">
        <f>IF(inputOth!D37&gt;0,inputOth!D37,"  ")</f>
        <v>3.053</v>
      </c>
      <c r="F18" s="71">
        <f>IF(gen!$E$50&lt;&gt;0,gen!$E$50,"  ")</f>
        <v>22385</v>
      </c>
      <c r="G18" s="71">
        <f>IF(gen!$E$57&lt;&gt;0,gen!$E$57,"")</f>
        <v>20308.7</v>
      </c>
      <c r="H18" s="74">
        <f>IF(gen!E57&gt;0,ROUND(G18/F40*1000,3)," ")</f>
        <v>4.615</v>
      </c>
      <c r="I18" s="175"/>
      <c r="J18" s="490"/>
    </row>
    <row r="19" spans="1:9" ht="15.75">
      <c r="A19" s="71" t="s">
        <v>285</v>
      </c>
      <c r="B19" s="71" t="str">
        <f>IF('DebtSvs-Library'!C33&lt;&gt;0,'DebtSvs-Library'!C33,"  ")</f>
        <v>  </v>
      </c>
      <c r="C19" s="74" t="str">
        <f>IF(inputPrYr!D50&gt;0,inputPrYr!D50,"  ")</f>
        <v>  </v>
      </c>
      <c r="D19" s="71" t="str">
        <f>IF('DebtSvs-Library'!D33&lt;&gt;0,'DebtSvs-Library'!D33,"  ")</f>
        <v>  </v>
      </c>
      <c r="E19" s="74" t="str">
        <f>IF(inputOth!D38&gt;0,inputOth!D38,"  ")</f>
        <v>  </v>
      </c>
      <c r="F19" s="71" t="str">
        <f>IF('DebtSvs-Library'!E33&lt;&gt;0,'DebtSvs-Library'!E33,"  ")</f>
        <v>  </v>
      </c>
      <c r="G19" s="71" t="str">
        <f>IF('DebtSvs-Library'!E40&lt;&gt;0,'DebtSvs-Library'!E40," ")</f>
        <v> </v>
      </c>
      <c r="H19" s="74" t="str">
        <f>IF('DebtSvs-Library'!E40&gt;0,ROUND(G19/F40*1000,3)," ")</f>
        <v> </v>
      </c>
      <c r="I19" s="175"/>
    </row>
    <row r="20" spans="1:9" ht="15.75">
      <c r="A20" s="71" t="str">
        <f>IF(inputPrYr!$B22&gt;"  ",inputPrYr!$B22,"  ")</f>
        <v>Library</v>
      </c>
      <c r="B20" s="71">
        <f>IF('DebtSvs-Library'!C73&lt;&gt;0,'DebtSvs-Library'!C73,"  ")</f>
        <v>2550.6400000000003</v>
      </c>
      <c r="C20" s="74">
        <f>IF(inputPrYr!D51&gt;0,inputPrYr!D51,"  ")</f>
        <v>0.66</v>
      </c>
      <c r="D20" s="71">
        <f>IF('DebtSvs-Library'!D73&lt;&gt;0,'DebtSvs-Library'!D73,"  ")</f>
        <v>2780</v>
      </c>
      <c r="E20" s="74">
        <f>IF(inputOth!D39&gt;0,inputOth!D39,"  ")</f>
        <v>0.597</v>
      </c>
      <c r="F20" s="71">
        <f>IF('DebtSvs-Library'!E73&lt;&gt;0,'DebtSvs-Library'!E73,"  ")</f>
        <v>2562</v>
      </c>
      <c r="G20" s="71">
        <f>IF('DebtSvs-Library'!E80&lt;&gt;0,'DebtSvs-Library'!E80," ")</f>
        <v>1919.9</v>
      </c>
      <c r="H20" s="74">
        <f>IF('DebtSvs-Library'!E80&gt;0,ROUND(G20/F41*1000,3)," ")</f>
        <v>0.508</v>
      </c>
      <c r="I20" s="175"/>
    </row>
    <row r="21" spans="1:8" ht="15.75">
      <c r="A21" s="71" t="str">
        <f>IF(inputPrYr!$B23&gt;"  ",inputPrYr!$B23,"  ")</f>
        <v>Road</v>
      </c>
      <c r="B21" s="71">
        <f>IF(road!$C$43&lt;&gt;0,road!$C$43,"  ")</f>
        <v>74832.84</v>
      </c>
      <c r="C21" s="74">
        <f>IF(inputPrYr!D52&gt;0,inputPrYr!D52,"  ")</f>
        <v>10.558</v>
      </c>
      <c r="D21" s="71">
        <f>IF(road!$D$43&lt;&gt;0,road!$D$43,"  ")</f>
        <v>79100</v>
      </c>
      <c r="E21" s="74">
        <f>IF(inputOth!D40&gt;0,inputOth!D40,"  ")</f>
        <v>11.038</v>
      </c>
      <c r="F21" s="71">
        <f>IF(road!$E$43&lt;&gt;0,road!$E$43,"  ")</f>
        <v>80776</v>
      </c>
      <c r="G21" s="71">
        <f>IF(road!$E$50&lt;&gt;0,road!$E$50,"  ")</f>
        <v>39421.99000000001</v>
      </c>
      <c r="H21" s="74">
        <f>IF(road!E50&gt;0,ROUND(G21/F41*1000,3)," ")</f>
        <v>10.438</v>
      </c>
    </row>
    <row r="22" spans="1:8" ht="15.75">
      <c r="A22" s="71" t="str">
        <f>IF(inputPrYr!$B24&gt;"  ",inputPrYr!$B24,"  ")</f>
        <v>Special Road</v>
      </c>
      <c r="B22" s="71" t="str">
        <f>IF('SpecRoad&amp;Noxious'!$C$33&lt;&gt;0,'SpecRoad&amp;Noxious'!$C$33,"  ")</f>
        <v>  </v>
      </c>
      <c r="C22" s="74" t="str">
        <f>IF(inputPrYr!D53&gt;0,inputPrYr!D53,"  ")</f>
        <v>  </v>
      </c>
      <c r="D22" s="71" t="str">
        <f>IF('SpecRoad&amp;Noxious'!$D$33&lt;&gt;0,'SpecRoad&amp;Noxious'!$D$33,"  ")</f>
        <v>  </v>
      </c>
      <c r="E22" s="74" t="str">
        <f>IF(inputOth!D41&gt;0,inputOth!D41,"  ")</f>
        <v>  </v>
      </c>
      <c r="F22" s="71" t="str">
        <f>IF('SpecRoad&amp;Noxious'!$E$33&lt;&gt;0,'SpecRoad&amp;Noxious'!$E$33,"  ")</f>
        <v>  </v>
      </c>
      <c r="G22" s="71" t="str">
        <f>IF('SpecRoad&amp;Noxious'!$E$40&lt;&gt;0,'SpecRoad&amp;Noxious'!$E$40,"  ")</f>
        <v>  </v>
      </c>
      <c r="H22" s="74" t="str">
        <f>IF('SpecRoad&amp;Noxious'!E40&gt;0,ROUND(G22/F41*1000,3)," ")</f>
        <v> </v>
      </c>
    </row>
    <row r="23" spans="1:8" ht="15.75">
      <c r="A23" s="71" t="str">
        <f>IF(inputPrYr!$B25&gt;"  ",inputPrYr!$B25,"  ")</f>
        <v>Noxious Weed</v>
      </c>
      <c r="B23" s="71" t="str">
        <f>IF('SpecRoad&amp;Noxious'!$C$73&lt;&gt;0,'SpecRoad&amp;Noxious'!$C$73,"  ")</f>
        <v>  </v>
      </c>
      <c r="C23" s="74" t="str">
        <f>IF(inputPrYr!D54&gt;0,inputPrYr!D54,"  ")</f>
        <v>  </v>
      </c>
      <c r="D23" s="71" t="str">
        <f>IF('SpecRoad&amp;Noxious'!$D$73&lt;&gt;0,'SpecRoad&amp;Noxious'!$D$73,"  ")</f>
        <v>  </v>
      </c>
      <c r="E23" s="74" t="str">
        <f>IF(inputOth!D42&gt;0,inputOth!D42,"  ")</f>
        <v>  </v>
      </c>
      <c r="F23" s="71" t="str">
        <f>IF('SpecRoad&amp;Noxious'!$E$73&lt;&gt;0,'SpecRoad&amp;Noxious'!$E$73,"  ")</f>
        <v>  </v>
      </c>
      <c r="G23" s="71" t="str">
        <f>IF('SpecRoad&amp;Noxious'!$E$80&lt;&gt;0,'SpecRoad&amp;Noxious'!$E$80,"  ")</f>
        <v>  </v>
      </c>
      <c r="H23" s="74" t="str">
        <f>IF('SpecRoad&amp;Noxious'!E80&gt;0,ROUND(G23/F41*1000,3)," ")</f>
        <v> </v>
      </c>
    </row>
    <row r="24" spans="1:13" ht="15.75">
      <c r="A24" s="71" t="str">
        <f>IF(inputPrYr!$B26&gt;"  ",inputPrYr!$B26,"  ")</f>
        <v>Fire Protection</v>
      </c>
      <c r="B24" s="71" t="str">
        <f>IF(Cem!$C$33&lt;&gt;0,Cem!$C$33,"  ")</f>
        <v>  </v>
      </c>
      <c r="C24" s="74" t="str">
        <f>IF(inputPrYr!D55&gt;0,inputPrYr!D55,"  ")</f>
        <v>  </v>
      </c>
      <c r="D24" s="71" t="str">
        <f>IF(Cem!$D$33&lt;&gt;0,Cem!$D$33,"  ")</f>
        <v>  </v>
      </c>
      <c r="E24" s="74" t="str">
        <f>IF(inputOth!D43&gt;0,inputOth!D43,"  ")</f>
        <v>  </v>
      </c>
      <c r="F24" s="71" t="str">
        <f>IF(Cem!$E$33&lt;&gt;0,Cem!$E$33,"  ")</f>
        <v>  </v>
      </c>
      <c r="G24" s="71" t="str">
        <f>IF(Cem!$E$40&lt;&gt;0,Cem!$E$40,"  ")</f>
        <v>  </v>
      </c>
      <c r="H24" s="74" t="str">
        <f>IF(Cem!E40&gt;0,ROUND(G24/F41*1000,3)," ")</f>
        <v> </v>
      </c>
      <c r="J24" s="880" t="str">
        <f>CONCATENATE("Estimated Value Of One Mill For ",H1,"")</f>
        <v>Estimated Value Of One Mill For 2015</v>
      </c>
      <c r="K24" s="885"/>
      <c r="L24" s="885"/>
      <c r="M24" s="886"/>
    </row>
    <row r="25" spans="1:13" ht="15.75">
      <c r="A25" s="71" t="str">
        <f>IF(inputPrYr!$B27&gt;"  ",inputPrYr!$B27,"  ")</f>
        <v>Cemetery</v>
      </c>
      <c r="B25" s="71">
        <f>IF(Cem!$C$73&lt;&gt;0,Cem!$C$73,"  ")</f>
        <v>1759.79</v>
      </c>
      <c r="C25" s="74">
        <f>IF(inputPrYr!D56&gt;0,inputPrYr!D56,"  ")</f>
        <v>0.465</v>
      </c>
      <c r="D25" s="71">
        <f>IF(Cem!$D$73&lt;&gt;0,Cem!$D$73,"  ")</f>
        <v>1760</v>
      </c>
      <c r="E25" s="74">
        <f>IF(inputOth!D44&gt;0,inputOth!D44,"  ")</f>
        <v>0.372</v>
      </c>
      <c r="F25" s="71" t="str">
        <f>IF(Cem!$E$73&lt;&gt;0,Cem!$E$73,"  ")</f>
        <v>  </v>
      </c>
      <c r="G25" s="71" t="str">
        <f>IF(Cem!$E$80&lt;&gt;0,Cem!$E$80,"  ")</f>
        <v>  </v>
      </c>
      <c r="H25" s="74" t="str">
        <f>IF(Cem!E80&gt;0,ROUND(G25/F41*1000,3)," ")</f>
        <v> </v>
      </c>
      <c r="J25" s="489"/>
      <c r="K25" s="8"/>
      <c r="L25" s="8"/>
      <c r="M25" s="488"/>
    </row>
    <row r="26" spans="1:13" ht="15.75">
      <c r="A26" s="71" t="str">
        <f>IF(inputPrYr!$B28&gt;"  ",inputPrYr!$B28,"  ")</f>
        <v>Township Hall</v>
      </c>
      <c r="B26" s="71">
        <f>IF(TSHall!$C$33&lt;&gt;0,TSHall!$C$33,"  ")</f>
        <v>6127.77</v>
      </c>
      <c r="C26" s="74">
        <f>IF(inputPrYr!D57&gt;0,inputPrYr!D57,"  ")</f>
        <v>1.614</v>
      </c>
      <c r="D26" s="71">
        <f>IF(TSHall!$D$33&lt;&gt;0,TSHall!$D$33,"  ")</f>
        <v>6125</v>
      </c>
      <c r="E26" s="74">
        <f>IF(inputOth!D45&gt;0,inputOth!D45,"  ")</f>
        <v>1.295</v>
      </c>
      <c r="F26" s="71" t="str">
        <f>IF(TSHall!$E$33&lt;&gt;0,TSHall!$E$33,"  ")</f>
        <v>  </v>
      </c>
      <c r="G26" s="71" t="str">
        <f>IF(TSHall!$E$40&lt;&gt;0,TSHall!$E$40,"  ")</f>
        <v>  </v>
      </c>
      <c r="H26" s="74" t="str">
        <f>IF(TSHall!E40&gt;0,ROUND(G26/F41*1000,3)," ")</f>
        <v> </v>
      </c>
      <c r="J26" s="471" t="s">
        <v>702</v>
      </c>
      <c r="K26" s="52"/>
      <c r="L26" s="52"/>
      <c r="M26" s="486">
        <f>ROUND(F40/1000,0)</f>
        <v>4401</v>
      </c>
    </row>
    <row r="27" spans="1:13" ht="15.75">
      <c r="A27" s="71" t="str">
        <f>IF(inputPrYr!$B29&gt;"  ",inputPrYr!$B29,"  ")</f>
        <v>  </v>
      </c>
      <c r="B27" s="71" t="str">
        <f>IF(TSHall!$C$73&lt;&gt;0,TSHall!$C$73,"  ")</f>
        <v>  </v>
      </c>
      <c r="C27" s="74" t="str">
        <f>IF(inputPrYr!D58&gt;0,inputPrYr!D58,"  ")</f>
        <v>  </v>
      </c>
      <c r="D27" s="71" t="str">
        <f>IF(TSHall!$D$73&lt;&gt;0,TSHall!$D$73,"  ")</f>
        <v>  </v>
      </c>
      <c r="E27" s="74" t="str">
        <f>IF(inputOth!D46&gt;0,inputOth!D46,"  ")</f>
        <v>  </v>
      </c>
      <c r="F27" s="71" t="str">
        <f>IF(TSHall!$E$73&lt;&gt;0,TSHall!$E$73,"  ")</f>
        <v>  </v>
      </c>
      <c r="G27" s="71" t="str">
        <f>IF(TSHall!$E$80&lt;&gt;0,TSHall!$E$80,"  ")</f>
        <v>  </v>
      </c>
      <c r="H27" s="74" t="str">
        <f>IF(TSHall!E80&gt;0,ROUND(G27/F40*1000,3)," ")</f>
        <v> </v>
      </c>
      <c r="J27" s="487" t="s">
        <v>703</v>
      </c>
      <c r="K27" s="12"/>
      <c r="L27" s="12"/>
      <c r="M27" s="486">
        <f>ROUND(F41/1000,0)</f>
        <v>3777</v>
      </c>
    </row>
    <row r="28" spans="1:8" ht="15.75">
      <c r="A28" s="71" t="str">
        <f>IF(inputPrYr!$B30&gt;"  ",inputPrYr!$B30,"  ")</f>
        <v>  </v>
      </c>
      <c r="B28" s="71" t="str">
        <f>IF(levypage12!$C$33&lt;&gt;0,levypage12!$C$33,"  ")</f>
        <v>  </v>
      </c>
      <c r="C28" s="74" t="str">
        <f>IF(inputPrYr!D59&gt;0,inputPrYr!D59,"  ")</f>
        <v>  </v>
      </c>
      <c r="D28" s="71" t="str">
        <f>IF(levypage12!$D$33&lt;&gt;0,levypage12!$D$33,"  ")</f>
        <v>  </v>
      </c>
      <c r="E28" s="74" t="str">
        <f>IF(inputOth!D47&gt;0,inputOth!D47,"  ")</f>
        <v>  </v>
      </c>
      <c r="F28" s="71" t="str">
        <f>IF(levypage12!$E$33&lt;&gt;0,levypage12!$E$33,"  ")</f>
        <v>  </v>
      </c>
      <c r="G28" s="71" t="str">
        <f>IF(levypage12!$E$40&lt;&gt;0,levypage12!$E$40,"  ")</f>
        <v>  </v>
      </c>
      <c r="H28" s="74" t="str">
        <f>IF(levypage12!E40&gt;0,ROUND(G28/F40*1000,3)," ")</f>
        <v> </v>
      </c>
    </row>
    <row r="29" spans="1:13" ht="15.75">
      <c r="A29" s="71" t="str">
        <f>IF(inputPrYr!$B31&gt;"  ",inputPrYr!$B31,"  ")</f>
        <v>  </v>
      </c>
      <c r="B29" s="71" t="str">
        <f>IF(levypage12!$C$73&lt;&gt;0,levypage12!$C$73,"  ")</f>
        <v>  </v>
      </c>
      <c r="C29" s="74" t="str">
        <f>IF(inputPrYr!D60&gt;0,inputPrYr!D60,"  ")</f>
        <v>  </v>
      </c>
      <c r="D29" s="71" t="str">
        <f>IF(levypage12!$D$73&lt;&gt;0,levypage12!$D$73,"  ")</f>
        <v>  </v>
      </c>
      <c r="E29" s="74" t="str">
        <f>IF(inputOth!D48&gt;0,inputOth!D48,"  ")</f>
        <v>  </v>
      </c>
      <c r="F29" s="71" t="str">
        <f>IF(levypage12!$E$73&lt;&gt;0,levypage12!$E$73,"  ")</f>
        <v>  </v>
      </c>
      <c r="G29" s="71" t="str">
        <f>IF(levypage12!$E$80&lt;&gt;0,levypage12!$E$80,"  ")</f>
        <v>  </v>
      </c>
      <c r="H29" s="74" t="str">
        <f>IF(levypage12!E80&gt;0,ROUND(G29/F40*1000,3)," ")</f>
        <v> </v>
      </c>
      <c r="I29" s="490"/>
      <c r="J29" s="880" t="str">
        <f>CONCATENATE("Want The Mill Rate The Same As For ",H1-1,"?")</f>
        <v>Want The Mill Rate The Same As For 2014?</v>
      </c>
      <c r="K29" s="881"/>
      <c r="L29" s="881"/>
      <c r="M29" s="882"/>
    </row>
    <row r="30" spans="1:13" ht="15.75">
      <c r="A30" s="71" t="str">
        <f>IF(inputPrYr!$B35&gt;"  ",inputPrYr!$B35,"  ")</f>
        <v>  </v>
      </c>
      <c r="B30" s="71" t="str">
        <f>IF(nolevypage13!$C$28&lt;&gt;0,nolevypage13!$C$28,"  ")</f>
        <v>  </v>
      </c>
      <c r="C30" s="74"/>
      <c r="D30" s="71" t="str">
        <f>IF(nolevypage13!$D$28&lt;&gt;0,nolevypage13!$D$28,"  ")</f>
        <v>  </v>
      </c>
      <c r="E30" s="74"/>
      <c r="F30" s="71" t="str">
        <f>IF(nolevypage13!$E$28&lt;&gt;0,nolevypage13!$E$28,"  ")</f>
        <v>  </v>
      </c>
      <c r="G30" s="71"/>
      <c r="H30" s="74"/>
      <c r="J30" s="485"/>
      <c r="K30" s="8"/>
      <c r="L30" s="8"/>
      <c r="M30" s="484"/>
    </row>
    <row r="31" spans="1:13" ht="15.75">
      <c r="A31" s="71" t="str">
        <f>IF(inputPrYr!$B36&gt;"  ",inputPrYr!$B36,"  ")</f>
        <v>  </v>
      </c>
      <c r="B31" s="71" t="str">
        <f>IF(nolevypage13!$C$59&lt;&gt;0,nolevypage13!$C$59,"  ")</f>
        <v>  </v>
      </c>
      <c r="C31" s="74"/>
      <c r="D31" s="71" t="str">
        <f>IF(nolevypage13!$D$59&lt;&gt;0,nolevypage13!$D$59,"  ")</f>
        <v>  </v>
      </c>
      <c r="E31" s="74"/>
      <c r="F31" s="71" t="str">
        <f>IF(nolevypage13!$E$59&lt;&gt;0,nolevypage13!$E$59,"  ")</f>
        <v>  </v>
      </c>
      <c r="G31" s="71"/>
      <c r="H31" s="74"/>
      <c r="J31" s="485" t="str">
        <f>CONCATENATE("",H1-1," Mill Rate Was:")</f>
        <v>2014 Mill Rate Was:</v>
      </c>
      <c r="K31" s="8"/>
      <c r="L31" s="8"/>
      <c r="M31" s="483">
        <f>E36</f>
        <v>16.355</v>
      </c>
    </row>
    <row r="32" spans="1:13" ht="15.75">
      <c r="A32" s="71" t="str">
        <f>IF(inputPrYr!$B37&gt;"  ",inputPrYr!$B37,"  ")</f>
        <v>  </v>
      </c>
      <c r="B32" s="71" t="str">
        <f>IF(nolevypage14!$C$28&lt;&gt;0,nolevypage14!$C$28,"  ")</f>
        <v>  </v>
      </c>
      <c r="C32" s="74"/>
      <c r="D32" s="71" t="str">
        <f>IF(nolevypage14!$D$28&lt;&gt;0,nolevypage14!$D$28,"  ")</f>
        <v>  </v>
      </c>
      <c r="E32" s="74"/>
      <c r="F32" s="71" t="str">
        <f>IF(nolevypage14!$E$28&lt;&gt;0,nolevypage14!$E$28,"  ")</f>
        <v>  </v>
      </c>
      <c r="G32" s="71"/>
      <c r="H32" s="74"/>
      <c r="J32" s="482" t="str">
        <f>CONCATENATE("",H1," Tax Levy Fund Expenditures Must Be")</f>
        <v>2015 Tax Levy Fund Expenditures Must Be</v>
      </c>
      <c r="K32" s="481"/>
      <c r="L32" s="481"/>
      <c r="M32" s="484"/>
    </row>
    <row r="33" spans="1:13" ht="15.75">
      <c r="A33" s="71" t="str">
        <f>IF(inputPrYr!$B38&gt;"  ",inputPrYr!$B38,"  ")</f>
        <v>  </v>
      </c>
      <c r="B33" s="71" t="str">
        <f>IF(nolevypage14!$C$59&lt;&gt;0,nolevypage14!$C$59,"  ")</f>
        <v>  </v>
      </c>
      <c r="C33" s="74"/>
      <c r="D33" s="71" t="str">
        <f>IF(nolevypage14!$D$59&lt;&gt;0,nolevypage14!$D$59,"  ")</f>
        <v>  </v>
      </c>
      <c r="E33" s="74"/>
      <c r="F33" s="71" t="str">
        <f>IF(nolevypage14!$E$59&lt;&gt;0,nolevypage14!$E$59,"  ")</f>
        <v>  </v>
      </c>
      <c r="G33" s="71"/>
      <c r="H33" s="74"/>
      <c r="J33" s="506" t="s">
        <v>709</v>
      </c>
      <c r="K33" s="481"/>
      <c r="L33" s="481"/>
      <c r="M33" s="480">
        <f>M45*-1</f>
        <v>2268.0099999999875</v>
      </c>
    </row>
    <row r="34" spans="1:13" ht="15.75">
      <c r="A34" s="71" t="str">
        <f>IF((inputPrYr!$B41&gt;"  "),(nonbud!$A3),"  ")</f>
        <v>  </v>
      </c>
      <c r="B34" s="696" t="str">
        <f>IF((nonbud!$K$28)&lt;&gt;0,(nonbud!$K$28),"  ")</f>
        <v>  </v>
      </c>
      <c r="C34" s="308"/>
      <c r="D34" s="71"/>
      <c r="E34" s="74"/>
      <c r="F34" s="71"/>
      <c r="G34" s="71"/>
      <c r="H34" s="74"/>
      <c r="J34" s="479" t="s">
        <v>710</v>
      </c>
      <c r="K34" s="476"/>
      <c r="L34" s="476"/>
      <c r="M34" s="478">
        <f>M46*-1</f>
        <v>1169.3999999999978</v>
      </c>
    </row>
    <row r="35" spans="1:13" ht="16.5" thickBot="1">
      <c r="A35" s="85" t="s">
        <v>229</v>
      </c>
      <c r="B35" s="445" t="str">
        <f>IF(road!C64&lt;&gt;0,road!C64,"  ")</f>
        <v>  </v>
      </c>
      <c r="C35" s="446"/>
      <c r="D35" s="446"/>
      <c r="E35" s="446"/>
      <c r="F35" s="446"/>
      <c r="G35" s="446"/>
      <c r="H35" s="446"/>
      <c r="J35" s="477"/>
      <c r="K35" s="477"/>
      <c r="L35" s="477"/>
      <c r="M35" s="477"/>
    </row>
    <row r="36" spans="1:13" ht="15.75">
      <c r="A36" s="85" t="s">
        <v>230</v>
      </c>
      <c r="B36" s="443">
        <f aca="true" t="shared" si="0" ref="B36:H36">SUM(B18:B35)</f>
        <v>96836.98</v>
      </c>
      <c r="C36" s="444">
        <f t="shared" si="0"/>
        <v>15.815000000000001</v>
      </c>
      <c r="D36" s="443">
        <f t="shared" si="0"/>
        <v>103795</v>
      </c>
      <c r="E36" s="444">
        <f t="shared" si="0"/>
        <v>16.355</v>
      </c>
      <c r="F36" s="443">
        <f t="shared" si="0"/>
        <v>105723</v>
      </c>
      <c r="G36" s="443">
        <f t="shared" si="0"/>
        <v>61650.59000000001</v>
      </c>
      <c r="H36" s="444">
        <f t="shared" si="0"/>
        <v>15.561</v>
      </c>
      <c r="J36" s="880" t="str">
        <f>CONCATENATE("Impact On Keeping The Same Mill Rate As For ",H1-1,"")</f>
        <v>Impact On Keeping The Same Mill Rate As For 2014</v>
      </c>
      <c r="K36" s="883"/>
      <c r="L36" s="883"/>
      <c r="M36" s="884"/>
    </row>
    <row r="37" spans="1:13" ht="15.75">
      <c r="A37" s="85" t="s">
        <v>279</v>
      </c>
      <c r="B37" s="71">
        <f>transfer!C29</f>
        <v>14546.68</v>
      </c>
      <c r="C37" s="46"/>
      <c r="D37" s="71">
        <f>transfer!D29</f>
        <v>0</v>
      </c>
      <c r="E37" s="184"/>
      <c r="F37" s="71">
        <f>transfer!E29</f>
        <v>0</v>
      </c>
      <c r="G37" s="46"/>
      <c r="H37" s="46"/>
      <c r="J37" s="485"/>
      <c r="K37" s="8"/>
      <c r="L37" s="8"/>
      <c r="M37" s="484"/>
    </row>
    <row r="38" spans="1:13" ht="16.5" thickBot="1">
      <c r="A38" s="85" t="s">
        <v>280</v>
      </c>
      <c r="B38" s="447">
        <f>B36-B37</f>
        <v>82290.29999999999</v>
      </c>
      <c r="C38" s="46"/>
      <c r="D38" s="447">
        <f>D36-D37</f>
        <v>103795</v>
      </c>
      <c r="E38" s="46"/>
      <c r="F38" s="447">
        <f>F36-F37</f>
        <v>105723</v>
      </c>
      <c r="G38" s="46"/>
      <c r="H38" s="46"/>
      <c r="J38" s="485" t="str">
        <f>CONCATENATE("",H1," Ad Valorem Tax Rev(Township Only):")</f>
        <v>2015 Ad Valorem Tax Rev(Township Only):</v>
      </c>
      <c r="K38" s="8"/>
      <c r="L38" s="8"/>
      <c r="M38" s="488">
        <f>SUM(G21:G24)</f>
        <v>39421.99000000001</v>
      </c>
    </row>
    <row r="39" spans="1:13" ht="16.5" thickTop="1">
      <c r="A39" s="85" t="s">
        <v>0</v>
      </c>
      <c r="B39" s="206">
        <f>inputPrYr!E63</f>
        <v>55246</v>
      </c>
      <c r="C39" s="184"/>
      <c r="D39" s="206">
        <f>inputPrYr!E32</f>
        <v>60278</v>
      </c>
      <c r="E39" s="46"/>
      <c r="F39" s="448" t="s">
        <v>231</v>
      </c>
      <c r="G39" s="46"/>
      <c r="H39" s="46"/>
      <c r="J39" s="485" t="str">
        <f>CONCATENATE("",H1," Ad Valorem Tax Rev(Township Tot):")</f>
        <v>2015 Ad Valorem Tax Rev(Township Tot):</v>
      </c>
      <c r="K39" s="8"/>
      <c r="L39" s="8"/>
      <c r="M39" s="501">
        <f>SUM(G18,G19,G20,G25,G26,G27,G28,G29)</f>
        <v>22228.600000000002</v>
      </c>
    </row>
    <row r="40" spans="1:13" ht="15.75">
      <c r="A40" s="85" t="s">
        <v>156</v>
      </c>
      <c r="B40" s="71">
        <f>inputPrYr!E64</f>
        <v>4031603</v>
      </c>
      <c r="C40" s="184"/>
      <c r="D40" s="71">
        <f>inputOth!E55</f>
        <v>4096533</v>
      </c>
      <c r="E40" s="184"/>
      <c r="F40" s="71">
        <f>inputOth!E11</f>
        <v>4400523</v>
      </c>
      <c r="G40" s="46"/>
      <c r="H40" s="46"/>
      <c r="J40" s="485" t="str">
        <f>CONCATENATE("Total ",H1," Ad Valorem Tax Revenue:")</f>
        <v>Total 2015 Ad Valorem Tax Revenue:</v>
      </c>
      <c r="K40" s="52"/>
      <c r="L40" s="52"/>
      <c r="M40" s="502">
        <f>M38+M39</f>
        <v>61650.59000000001</v>
      </c>
    </row>
    <row r="41" spans="1:14" ht="15.75">
      <c r="A41" s="61" t="s">
        <v>211</v>
      </c>
      <c r="B41" s="185"/>
      <c r="C41" s="46"/>
      <c r="D41" s="156"/>
      <c r="E41" s="46"/>
      <c r="F41" s="71">
        <f>inputOth!E8</f>
        <v>3776916</v>
      </c>
      <c r="G41" s="46"/>
      <c r="H41" s="46"/>
      <c r="J41" s="485" t="str">
        <f>CONCATENATE("",H1-1," Ad Valorem Tax Rev(Township Only):")</f>
        <v>2014 Ad Valorem Tax Rev(Township Only):</v>
      </c>
      <c r="K41" s="8"/>
      <c r="L41" s="8"/>
      <c r="M41" s="503">
        <f>ROUND(SUM(E21:E24)*F41/1000,0)</f>
        <v>41690</v>
      </c>
      <c r="N41" s="495"/>
    </row>
    <row r="42" spans="1:15" ht="15.75">
      <c r="A42" s="88"/>
      <c r="B42" s="156"/>
      <c r="C42" s="46"/>
      <c r="D42" s="156"/>
      <c r="E42" s="46"/>
      <c r="F42" s="156"/>
      <c r="G42" s="46"/>
      <c r="H42" s="46"/>
      <c r="J42" s="485" t="str">
        <f>CONCATENATE("",H1-1," Ad Valorem Tax Rev(Township Tot):")</f>
        <v>2014 Ad Valorem Tax Rev(Township Tot):</v>
      </c>
      <c r="K42" s="52"/>
      <c r="L42" s="52"/>
      <c r="M42" s="504">
        <f>ROUND(SUM(E18,E19,E20,(E25,E26,E27,E28,E29))*F40/1000,0)</f>
        <v>23398</v>
      </c>
      <c r="N42" s="495"/>
      <c r="O42" s="495"/>
    </row>
    <row r="43" spans="1:15" ht="15.75">
      <c r="A43" s="53" t="s">
        <v>1</v>
      </c>
      <c r="B43" s="46"/>
      <c r="C43" s="46"/>
      <c r="D43" s="46"/>
      <c r="E43" s="46"/>
      <c r="F43" s="46"/>
      <c r="G43" s="46"/>
      <c r="H43" s="46"/>
      <c r="J43" s="471" t="str">
        <f>CONCATENATE("Total ",H1-1," Ad Valorem Tax Revenue:")</f>
        <v>Total 2014 Ad Valorem Tax Revenue:</v>
      </c>
      <c r="K43" s="52"/>
      <c r="L43" s="52"/>
      <c r="M43" s="505">
        <f>M41+M42</f>
        <v>65088</v>
      </c>
      <c r="O43" s="495"/>
    </row>
    <row r="44" spans="1:13" ht="15.75">
      <c r="A44" s="53" t="s">
        <v>2</v>
      </c>
      <c r="B44" s="186">
        <f>H1-3</f>
        <v>2012</v>
      </c>
      <c r="C44" s="46"/>
      <c r="D44" s="186">
        <f>H1-2</f>
        <v>2013</v>
      </c>
      <c r="E44" s="46"/>
      <c r="F44" s="186">
        <f>H1-1</f>
        <v>2014</v>
      </c>
      <c r="G44" s="46"/>
      <c r="H44" s="46"/>
      <c r="J44" s="482" t="s">
        <v>700</v>
      </c>
      <c r="K44" s="481"/>
      <c r="L44" s="481"/>
      <c r="M44" s="480">
        <f>M40-M43</f>
        <v>-3437.409999999989</v>
      </c>
    </row>
    <row r="45" spans="1:13" ht="15.75">
      <c r="A45" s="53" t="s">
        <v>3</v>
      </c>
      <c r="B45" s="64">
        <f>inputPrYr!D67</f>
        <v>0</v>
      </c>
      <c r="C45" s="50"/>
      <c r="D45" s="64">
        <f>inputPrYr!E67</f>
        <v>0</v>
      </c>
      <c r="E45" s="50"/>
      <c r="F45" s="64">
        <f>debt!F11</f>
        <v>0</v>
      </c>
      <c r="G45" s="46"/>
      <c r="H45" s="46"/>
      <c r="J45" s="506" t="s">
        <v>705</v>
      </c>
      <c r="K45" s="507"/>
      <c r="L45" s="507"/>
      <c r="M45" s="502">
        <f>M38-M41</f>
        <v>-2268.0099999999875</v>
      </c>
    </row>
    <row r="46" spans="1:13" ht="15.75">
      <c r="A46" s="53" t="s">
        <v>257</v>
      </c>
      <c r="B46" s="64">
        <f>inputPrYr!D68</f>
        <v>0</v>
      </c>
      <c r="C46" s="50"/>
      <c r="D46" s="64">
        <f>inputPrYr!E68</f>
        <v>0</v>
      </c>
      <c r="E46" s="50"/>
      <c r="F46" s="64">
        <f>debt!F15</f>
        <v>0</v>
      </c>
      <c r="G46" s="46"/>
      <c r="H46" s="46"/>
      <c r="J46" s="479" t="s">
        <v>704</v>
      </c>
      <c r="K46" s="476"/>
      <c r="L46" s="476"/>
      <c r="M46" s="478">
        <f>M39-M42</f>
        <v>-1169.3999999999978</v>
      </c>
    </row>
    <row r="47" spans="1:8" ht="15.75">
      <c r="A47" s="53" t="s">
        <v>696</v>
      </c>
      <c r="B47" s="64">
        <f>inputPrYr!D69</f>
        <v>0</v>
      </c>
      <c r="C47" s="50"/>
      <c r="D47" s="64">
        <f>inputPrYr!E69</f>
        <v>4845</v>
      </c>
      <c r="E47" s="50"/>
      <c r="F47" s="64">
        <f>debt!G36</f>
        <v>0</v>
      </c>
      <c r="G47" s="46"/>
      <c r="H47" s="46"/>
    </row>
    <row r="48" spans="1:13" ht="16.5" thickBot="1">
      <c r="A48" s="53" t="s">
        <v>4</v>
      </c>
      <c r="B48" s="81">
        <f>SUM(B45:B47)</f>
        <v>0</v>
      </c>
      <c r="C48" s="50"/>
      <c r="D48" s="81">
        <f>SUM(D45:D47)</f>
        <v>4845</v>
      </c>
      <c r="E48" s="50"/>
      <c r="F48" s="81">
        <f>SUM(F45:F47)</f>
        <v>0</v>
      </c>
      <c r="G48" s="46"/>
      <c r="H48" s="46"/>
      <c r="J48" s="880" t="s">
        <v>701</v>
      </c>
      <c r="K48" s="881"/>
      <c r="L48" s="881"/>
      <c r="M48" s="882"/>
    </row>
    <row r="49" spans="1:13" ht="16.5" thickTop="1">
      <c r="A49" s="53" t="s">
        <v>5</v>
      </c>
      <c r="B49" s="46"/>
      <c r="C49" s="46"/>
      <c r="D49" s="46"/>
      <c r="E49" s="46"/>
      <c r="F49" s="46"/>
      <c r="G49" s="46"/>
      <c r="H49" s="46"/>
      <c r="J49" s="485"/>
      <c r="K49" s="8"/>
      <c r="L49" s="8"/>
      <c r="M49" s="484"/>
    </row>
    <row r="50" spans="1:13" ht="15.75">
      <c r="A50" s="46"/>
      <c r="B50" s="46"/>
      <c r="C50" s="46"/>
      <c r="D50" s="46"/>
      <c r="E50" s="46"/>
      <c r="F50" s="46"/>
      <c r="G50" s="46"/>
      <c r="H50" s="46"/>
      <c r="J50" s="492" t="str">
        <f>CONCATENATE("Enter Desired ",$H$1," Mill Rate:")</f>
        <v>Enter Desired 2015 Mill Rate:</v>
      </c>
      <c r="K50" s="493"/>
      <c r="L50" s="494"/>
      <c r="M50" s="491">
        <v>12</v>
      </c>
    </row>
    <row r="51" spans="1:13" ht="15.75">
      <c r="A51" s="887" t="str">
        <f>inputBudSum!B4</f>
        <v>Charles Vancuren</v>
      </c>
      <c r="B51" s="887"/>
      <c r="C51" s="46"/>
      <c r="D51" s="46"/>
      <c r="E51" s="46"/>
      <c r="F51" s="46"/>
      <c r="G51" s="46"/>
      <c r="H51" s="46"/>
      <c r="J51" s="485" t="str">
        <f>CONCATENATE("Current ",$H$1," Estimated Mill Rate:")</f>
        <v>Current 2015 Estimated Mill Rate:</v>
      </c>
      <c r="K51" s="8"/>
      <c r="L51" s="8"/>
      <c r="M51" s="498">
        <f>IF(M50=0,0,$H$36)</f>
        <v>15.561</v>
      </c>
    </row>
    <row r="52" spans="1:13" ht="15.75">
      <c r="A52" s="891" t="str">
        <f>inputBudSum!B6</f>
        <v>Viola Township Treasurer</v>
      </c>
      <c r="B52" s="892"/>
      <c r="C52" s="46"/>
      <c r="D52" s="46"/>
      <c r="E52" s="46"/>
      <c r="F52" s="46"/>
      <c r="G52" s="46"/>
      <c r="H52" s="46"/>
      <c r="J52" s="485" t="s">
        <v>706</v>
      </c>
      <c r="K52" s="8"/>
      <c r="L52" s="8"/>
      <c r="M52" s="499">
        <f>M50-M51</f>
        <v>-3.561</v>
      </c>
    </row>
    <row r="53" spans="1:13" ht="15.75">
      <c r="A53" s="46"/>
      <c r="B53" s="46"/>
      <c r="C53" s="46"/>
      <c r="D53" s="46"/>
      <c r="E53" s="46"/>
      <c r="F53" s="46"/>
      <c r="G53" s="46"/>
      <c r="H53" s="46"/>
      <c r="J53" s="471" t="s">
        <v>707</v>
      </c>
      <c r="K53" s="52"/>
      <c r="L53" s="52"/>
      <c r="M53" s="496">
        <f>IF(M50=0,0,ROUND(SUM(H21:H24)/M51,2))</f>
        <v>0.67</v>
      </c>
    </row>
    <row r="54" spans="1:13" ht="15.75">
      <c r="A54" s="46"/>
      <c r="B54" s="187" t="s">
        <v>245</v>
      </c>
      <c r="C54" s="188">
        <v>12</v>
      </c>
      <c r="D54" s="46"/>
      <c r="E54" s="46"/>
      <c r="F54" s="46"/>
      <c r="G54" s="46"/>
      <c r="H54" s="46"/>
      <c r="J54" s="471" t="s">
        <v>708</v>
      </c>
      <c r="K54" s="52"/>
      <c r="L54" s="52"/>
      <c r="M54" s="496" t="e">
        <f>IF(M50=0,0,ROUND(SUM(H18+H19+H20+H25+H26+H27+H28+H29)/M51,2))</f>
        <v>#VALUE!</v>
      </c>
    </row>
    <row r="55" spans="1:13" ht="15.75">
      <c r="A55" s="93"/>
      <c r="B55" s="93"/>
      <c r="C55" s="93"/>
      <c r="H55" s="497"/>
      <c r="J55" s="482" t="str">
        <f>CONCATENATE("",$H$1," Tax Levy Fund Total Exp. Changed By:")</f>
        <v>2015 Tax Levy Fund Total Exp. Changed By:</v>
      </c>
      <c r="K55" s="481"/>
      <c r="L55" s="481"/>
      <c r="M55" s="488"/>
    </row>
    <row r="56" spans="10:13" ht="15.75">
      <c r="J56" s="506" t="s">
        <v>709</v>
      </c>
      <c r="K56" s="507"/>
      <c r="L56" s="507"/>
      <c r="M56" s="502">
        <f>ROUND(F41*M52*M53/1000,0)</f>
        <v>-9011</v>
      </c>
    </row>
    <row r="57" spans="1:13" ht="15.75">
      <c r="A57" s="93"/>
      <c r="B57" s="93"/>
      <c r="C57" s="93"/>
      <c r="D57" s="93"/>
      <c r="E57" s="93"/>
      <c r="F57" s="93"/>
      <c r="G57" s="93"/>
      <c r="J57" s="479" t="s">
        <v>710</v>
      </c>
      <c r="K57" s="476"/>
      <c r="L57" s="476"/>
      <c r="M57" s="478" t="e">
        <f>ROUND(F40*M52*M54/1000,0)</f>
        <v>#VALUE!</v>
      </c>
    </row>
    <row r="58" spans="8:13" ht="15.75">
      <c r="H58" s="93"/>
      <c r="M58" s="500"/>
    </row>
    <row r="59" ht="15.75">
      <c r="M59" s="500"/>
    </row>
    <row r="79" spans="1:6" ht="15.75">
      <c r="A79" s="93"/>
      <c r="B79" s="93"/>
      <c r="C79" s="93"/>
      <c r="D79" s="93"/>
      <c r="E79" s="93"/>
      <c r="F79" s="93"/>
    </row>
    <row r="86" spans="1:7" ht="15.75">
      <c r="A86" s="93"/>
      <c r="B86" s="93"/>
      <c r="C86" s="93"/>
      <c r="D86" s="93"/>
      <c r="E86" s="93"/>
      <c r="F86" s="93"/>
      <c r="G86" s="93"/>
    </row>
    <row r="87" ht="15.75">
      <c r="H87" s="93"/>
    </row>
    <row r="92" spans="1:7" ht="15.75">
      <c r="A92" s="93"/>
      <c r="B92" s="93"/>
      <c r="C92" s="93"/>
      <c r="D92" s="93"/>
      <c r="E92" s="93"/>
      <c r="F92" s="93"/>
      <c r="G92" s="93"/>
    </row>
    <row r="93" ht="15.75">
      <c r="H93" s="93"/>
    </row>
    <row r="113" spans="1:7" ht="15.75">
      <c r="A113" s="93"/>
      <c r="B113" s="93"/>
      <c r="C113" s="93"/>
      <c r="D113" s="93"/>
      <c r="E113" s="93"/>
      <c r="F113" s="93"/>
      <c r="G113" s="93"/>
    </row>
  </sheetData>
  <sheetProtection/>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C25" sqref="C25"/>
    </sheetView>
  </sheetViews>
  <sheetFormatPr defaultColWidth="8.796875" defaultRowHeight="15.75"/>
  <cols>
    <col min="1" max="1" width="2.3984375" style="135" customWidth="1"/>
    <col min="2" max="2" width="31" style="135" customWidth="1"/>
    <col min="3" max="4" width="15.69921875" style="135" customWidth="1"/>
    <col min="5" max="5" width="12.69921875" style="135" customWidth="1"/>
    <col min="6" max="6" width="7.296875" style="135" customWidth="1"/>
    <col min="7" max="7" width="9.19921875" style="135" customWidth="1"/>
    <col min="8" max="8" width="8.796875" style="135" customWidth="1"/>
    <col min="9" max="9" width="4.5" style="135" customWidth="1"/>
    <col min="10" max="10" width="9" style="135" customWidth="1"/>
    <col min="11" max="16384" width="8.796875" style="135" customWidth="1"/>
  </cols>
  <sheetData>
    <row r="1" spans="2:5" ht="15.75">
      <c r="B1" s="200" t="str">
        <f>inputPrYr!D3</f>
        <v>VIOLA TOWNSHIP</v>
      </c>
      <c r="C1" s="46"/>
      <c r="D1" s="46"/>
      <c r="E1" s="201">
        <f>inputPrYr!D9</f>
        <v>2015</v>
      </c>
    </row>
    <row r="2" spans="2:5" ht="15.75">
      <c r="B2" s="510" t="s">
        <v>733</v>
      </c>
      <c r="C2" s="46"/>
      <c r="D2" s="184"/>
      <c r="E2" s="48"/>
    </row>
    <row r="3" spans="2:5" ht="15.75">
      <c r="B3" s="46"/>
      <c r="C3" s="51"/>
      <c r="D3" s="51"/>
      <c r="E3" s="51"/>
    </row>
    <row r="4" spans="2:5" ht="15.75">
      <c r="B4" s="53" t="s">
        <v>246</v>
      </c>
      <c r="C4" s="356" t="s">
        <v>247</v>
      </c>
      <c r="D4" s="359" t="s">
        <v>248</v>
      </c>
      <c r="E4" s="55" t="s">
        <v>249</v>
      </c>
    </row>
    <row r="5" spans="2:5" ht="15.75">
      <c r="B5" s="452">
        <f>inputPrYr!B30</f>
        <v>0</v>
      </c>
      <c r="C5" s="357" t="str">
        <f>gen!C5</f>
        <v>Actual for 2013</v>
      </c>
      <c r="D5" s="357" t="str">
        <f>gen!D5</f>
        <v>Estimate for 2014</v>
      </c>
      <c r="E5" s="60" t="str">
        <f>gen!E5</f>
        <v>Year for 2015</v>
      </c>
    </row>
    <row r="6" spans="2:5" ht="15.75">
      <c r="B6" s="61" t="s">
        <v>60</v>
      </c>
      <c r="C6" s="283"/>
      <c r="D6" s="358">
        <f>C34</f>
        <v>0</v>
      </c>
      <c r="E6" s="236">
        <f>D34</f>
        <v>0</v>
      </c>
    </row>
    <row r="7" spans="2:5" ht="15.75">
      <c r="B7" s="61" t="s">
        <v>62</v>
      </c>
      <c r="C7" s="358"/>
      <c r="D7" s="358"/>
      <c r="E7" s="285"/>
    </row>
    <row r="8" spans="2:5" ht="15.75">
      <c r="B8" s="61" t="s">
        <v>252</v>
      </c>
      <c r="C8" s="283"/>
      <c r="D8" s="358">
        <f>IF(inputPrYr!H19&gt;0,inputPrYr!G30,inputPrYr!E30)</f>
        <v>0</v>
      </c>
      <c r="E8" s="285" t="s">
        <v>231</v>
      </c>
    </row>
    <row r="9" spans="2:5" ht="15.75">
      <c r="B9" s="61" t="s">
        <v>253</v>
      </c>
      <c r="C9" s="283"/>
      <c r="D9" s="283"/>
      <c r="E9" s="149"/>
    </row>
    <row r="10" spans="2:5" ht="15.75">
      <c r="B10" s="61" t="s">
        <v>254</v>
      </c>
      <c r="C10" s="283"/>
      <c r="D10" s="283"/>
      <c r="E10" s="236">
        <f>mvalloc!G21</f>
        <v>0</v>
      </c>
    </row>
    <row r="11" spans="2:5" ht="15.75">
      <c r="B11" s="61" t="s">
        <v>255</v>
      </c>
      <c r="C11" s="283"/>
      <c r="D11" s="283"/>
      <c r="E11" s="236">
        <f>mvalloc!I21</f>
        <v>0</v>
      </c>
    </row>
    <row r="12" spans="2:5" ht="15.75">
      <c r="B12" s="61" t="s">
        <v>51</v>
      </c>
      <c r="C12" s="283"/>
      <c r="D12" s="283"/>
      <c r="E12" s="236">
        <f>mvalloc!J21</f>
        <v>0</v>
      </c>
    </row>
    <row r="13" spans="2:5" ht="15.75">
      <c r="B13" s="287"/>
      <c r="C13" s="283"/>
      <c r="D13" s="283"/>
      <c r="E13" s="149"/>
    </row>
    <row r="14" spans="2:5" ht="15.75">
      <c r="B14" s="287"/>
      <c r="C14" s="283"/>
      <c r="D14" s="283"/>
      <c r="E14" s="149"/>
    </row>
    <row r="15" spans="2:5" ht="15.75">
      <c r="B15" s="287"/>
      <c r="C15" s="283"/>
      <c r="D15" s="283"/>
      <c r="E15" s="149"/>
    </row>
    <row r="16" spans="2:5" ht="15.75">
      <c r="B16" s="288"/>
      <c r="C16" s="283"/>
      <c r="D16" s="283"/>
      <c r="E16" s="149"/>
    </row>
    <row r="17" spans="2:5" ht="15.75">
      <c r="B17" s="288" t="s">
        <v>258</v>
      </c>
      <c r="C17" s="283"/>
      <c r="D17" s="283"/>
      <c r="E17" s="149"/>
    </row>
    <row r="18" spans="2:5" ht="15.75">
      <c r="B18" s="289" t="s">
        <v>204</v>
      </c>
      <c r="C18" s="283"/>
      <c r="D18" s="283"/>
      <c r="E18" s="149"/>
    </row>
    <row r="19" spans="2:5" ht="15.75">
      <c r="B19" s="289" t="s">
        <v>205</v>
      </c>
      <c r="C19" s="360">
        <f>IF(C20*0.1&lt;C18,"Exceed 10% Rule","")</f>
      </c>
      <c r="D19" s="360">
        <f>IF(D20*0.1&lt;D18,"Exceed 10% Rule","")</f>
      </c>
      <c r="E19" s="293">
        <f>IF(E20*0.1+E40&lt;E18,"Exceed 10% Rule","")</f>
      </c>
    </row>
    <row r="20" spans="2:5" ht="15.75">
      <c r="B20" s="291" t="s">
        <v>259</v>
      </c>
      <c r="C20" s="361">
        <f>SUM(C8:C18)</f>
        <v>0</v>
      </c>
      <c r="D20" s="361">
        <f>SUM(D8:D18)</f>
        <v>0</v>
      </c>
      <c r="E20" s="292">
        <f>SUM(E8:E18)</f>
        <v>0</v>
      </c>
    </row>
    <row r="21" spans="2:5" ht="15.75">
      <c r="B21" s="79" t="s">
        <v>260</v>
      </c>
      <c r="C21" s="361">
        <f>C20+C6</f>
        <v>0</v>
      </c>
      <c r="D21" s="361">
        <f>D20+D6</f>
        <v>0</v>
      </c>
      <c r="E21" s="292">
        <f>E20+E6</f>
        <v>0</v>
      </c>
    </row>
    <row r="22" spans="2:5" ht="15.75">
      <c r="B22" s="61" t="s">
        <v>261</v>
      </c>
      <c r="C22" s="358"/>
      <c r="D22" s="358"/>
      <c r="E22" s="236"/>
    </row>
    <row r="23" spans="2:5" ht="15.75">
      <c r="B23" s="288"/>
      <c r="C23" s="283"/>
      <c r="D23" s="283"/>
      <c r="E23" s="149"/>
    </row>
    <row r="24" spans="2:11" ht="15.75">
      <c r="B24" s="288"/>
      <c r="C24" s="283"/>
      <c r="D24" s="283"/>
      <c r="E24" s="149"/>
      <c r="G24" s="867" t="str">
        <f>CONCATENATE("Desired Carryover Into ",E1+1,"")</f>
        <v>Desired Carryover Into 2016</v>
      </c>
      <c r="H24" s="868"/>
      <c r="I24" s="868"/>
      <c r="J24" s="869"/>
      <c r="K24" s="578"/>
    </row>
    <row r="25" spans="2:11" ht="15.75">
      <c r="B25" s="288"/>
      <c r="C25" s="283"/>
      <c r="D25" s="283"/>
      <c r="E25" s="149"/>
      <c r="G25" s="610"/>
      <c r="H25" s="611"/>
      <c r="I25" s="612"/>
      <c r="J25" s="613"/>
      <c r="K25" s="578"/>
    </row>
    <row r="26" spans="2:11" ht="15.75">
      <c r="B26" s="288"/>
      <c r="C26" s="283"/>
      <c r="D26" s="283"/>
      <c r="E26" s="149"/>
      <c r="G26" s="614" t="s">
        <v>697</v>
      </c>
      <c r="H26" s="612"/>
      <c r="I26" s="612"/>
      <c r="J26" s="615">
        <v>0</v>
      </c>
      <c r="K26" s="578"/>
    </row>
    <row r="27" spans="2:11" ht="15.75">
      <c r="B27" s="283"/>
      <c r="C27" s="283"/>
      <c r="D27" s="283"/>
      <c r="E27" s="149"/>
      <c r="G27" s="610" t="s">
        <v>698</v>
      </c>
      <c r="H27" s="611"/>
      <c r="I27" s="611"/>
      <c r="J27" s="616">
        <f>IF(J26=0,"",ROUND((J26+E40-G39)/inputOth!E11*1000,3)-G44)</f>
      </c>
      <c r="K27" s="578"/>
    </row>
    <row r="28" spans="2:11" ht="15.75">
      <c r="B28" s="288"/>
      <c r="C28" s="283"/>
      <c r="D28" s="283"/>
      <c r="E28" s="149"/>
      <c r="G28" s="617" t="str">
        <f>CONCATENATE("",E1," Tot Exp/Non-Appr Must Be:")</f>
        <v>2015 Tot Exp/Non-Appr Must Be:</v>
      </c>
      <c r="H28" s="618"/>
      <c r="I28" s="619"/>
      <c r="J28" s="620">
        <f>IF(J26&gt;0,IF(E37&lt;E21,IF(J26=G39,E37,((J26-G39)*(1-D39))+E21),E37+(J26-G39)),0)</f>
        <v>0</v>
      </c>
      <c r="K28" s="578"/>
    </row>
    <row r="29" spans="2:11" ht="15.75">
      <c r="B29" s="288"/>
      <c r="C29" s="283"/>
      <c r="D29" s="283"/>
      <c r="E29" s="149"/>
      <c r="G29" s="621" t="s">
        <v>827</v>
      </c>
      <c r="H29" s="622"/>
      <c r="I29" s="622"/>
      <c r="J29" s="623">
        <f>IF(J26&gt;0,J28-E37,0)</f>
        <v>0</v>
      </c>
      <c r="K29" s="578"/>
    </row>
    <row r="30" spans="2:11" ht="15.75">
      <c r="B30" s="286" t="s">
        <v>206</v>
      </c>
      <c r="C30" s="283"/>
      <c r="D30" s="283"/>
      <c r="E30" s="160">
        <f>nhood!E16</f>
      </c>
      <c r="G30" s="578"/>
      <c r="H30" s="578"/>
      <c r="I30" s="578"/>
      <c r="J30" s="578"/>
      <c r="K30" s="578"/>
    </row>
    <row r="31" spans="2:11" ht="15.75">
      <c r="B31" s="286" t="s">
        <v>204</v>
      </c>
      <c r="C31" s="283"/>
      <c r="D31" s="283"/>
      <c r="E31" s="149"/>
      <c r="G31" s="867" t="str">
        <f>CONCATENATE("Projected Carryover Into ",E1+1,"")</f>
        <v>Projected Carryover Into 2016</v>
      </c>
      <c r="H31" s="870"/>
      <c r="I31" s="870"/>
      <c r="J31" s="871"/>
      <c r="K31" s="578"/>
    </row>
    <row r="32" spans="2:11" ht="15.75">
      <c r="B32" s="286" t="s">
        <v>694</v>
      </c>
      <c r="C32" s="360">
        <f>IF(C33*0.1&lt;C31,"Exceed 10% Rule","")</f>
      </c>
      <c r="D32" s="360">
        <f>IF(D33*0.1&lt;D31,"Exceed 10% Rule","")</f>
      </c>
      <c r="E32" s="293">
        <f>IF(E33*0.1&lt;E31,"Exceed 10% Rule","")</f>
      </c>
      <c r="G32" s="610"/>
      <c r="H32" s="612"/>
      <c r="I32" s="612"/>
      <c r="J32" s="625"/>
      <c r="K32" s="578"/>
    </row>
    <row r="33" spans="2:11" ht="15.75">
      <c r="B33" s="79" t="s">
        <v>262</v>
      </c>
      <c r="C33" s="361">
        <f>SUM(C23:C31)</f>
        <v>0</v>
      </c>
      <c r="D33" s="361">
        <f>SUM(D23:D31)</f>
        <v>0</v>
      </c>
      <c r="E33" s="292">
        <f>SUM(E23:E31)</f>
        <v>0</v>
      </c>
      <c r="G33" s="628">
        <f>D34</f>
        <v>0</v>
      </c>
      <c r="H33" s="629" t="str">
        <f>CONCATENATE("",E1-1," Ending Cash Balance (est.)")</f>
        <v>2014 Ending Cash Balance (est.)</v>
      </c>
      <c r="I33" s="630"/>
      <c r="J33" s="625"/>
      <c r="K33" s="578"/>
    </row>
    <row r="34" spans="2:11" ht="15.75">
      <c r="B34" s="61" t="s">
        <v>61</v>
      </c>
      <c r="C34" s="362">
        <f>C21-C33</f>
        <v>0</v>
      </c>
      <c r="D34" s="362">
        <f>D21-D33</f>
        <v>0</v>
      </c>
      <c r="E34" s="285" t="s">
        <v>231</v>
      </c>
      <c r="G34" s="628">
        <f>E20</f>
        <v>0</v>
      </c>
      <c r="H34" s="612" t="str">
        <f>CONCATENATE("",E1," Non-AV Receipts (est.)")</f>
        <v>2015 Non-AV Receipts (est.)</v>
      </c>
      <c r="I34" s="630"/>
      <c r="J34" s="625"/>
      <c r="K34" s="578"/>
    </row>
    <row r="35" spans="2:11" ht="15.75">
      <c r="B35" s="96" t="str">
        <f>CONCATENATE("",E1-2,"/",E1-1,"/",E1," Budget Authority Amount:")</f>
        <v>2013/2014/2015 Budget Authority Amount:</v>
      </c>
      <c r="C35" s="715">
        <f>inputOth!$B93</f>
        <v>0</v>
      </c>
      <c r="D35" s="715">
        <f>inputPrYr!$D30</f>
        <v>0</v>
      </c>
      <c r="E35" s="236">
        <f>E33</f>
        <v>0</v>
      </c>
      <c r="F35" s="294"/>
      <c r="G35" s="635">
        <f>IF(E39&gt;0,E38,E40)</f>
        <v>0</v>
      </c>
      <c r="H35" s="612" t="str">
        <f>CONCATENATE("",E1," Ad Valorem Tax (est.)")</f>
        <v>2015 Ad Valorem Tax (est.)</v>
      </c>
      <c r="I35" s="630"/>
      <c r="J35" s="625"/>
      <c r="K35" s="636">
        <f>IF(G35=E40,"","Note: Does not include Delinquent Taxes")</f>
      </c>
    </row>
    <row r="36" spans="2:11" ht="15.75">
      <c r="B36" s="97"/>
      <c r="C36" s="855" t="s">
        <v>691</v>
      </c>
      <c r="D36" s="856"/>
      <c r="E36" s="149"/>
      <c r="F36" s="695">
        <f>IF(E33/0.95-E33&lt;E36,"Exceeds 5%","")</f>
      </c>
      <c r="G36" s="628">
        <f>SUM(G33:G35)</f>
        <v>0</v>
      </c>
      <c r="H36" s="612" t="str">
        <f>CONCATENATE("Total ",E1," Resources Available")</f>
        <v>Total 2015 Resources Available</v>
      </c>
      <c r="I36" s="630"/>
      <c r="J36" s="625"/>
      <c r="K36" s="578"/>
    </row>
    <row r="37" spans="2:11" ht="15.75">
      <c r="B37" s="467" t="str">
        <f>CONCATENATE(C85,"     ",D85)</f>
        <v>     </v>
      </c>
      <c r="C37" s="857" t="s">
        <v>692</v>
      </c>
      <c r="D37" s="858"/>
      <c r="E37" s="236">
        <f>E33+E36</f>
        <v>0</v>
      </c>
      <c r="G37" s="639"/>
      <c r="H37" s="612"/>
      <c r="I37" s="612"/>
      <c r="J37" s="625"/>
      <c r="K37" s="578"/>
    </row>
    <row r="38" spans="2:11" ht="15.75">
      <c r="B38" s="467" t="str">
        <f>CONCATENATE(C86,"     ",D86)</f>
        <v>     </v>
      </c>
      <c r="C38" s="470"/>
      <c r="D38" s="469" t="s">
        <v>264</v>
      </c>
      <c r="E38" s="160">
        <f>IF(E37-E21&gt;0,E37-E21,0)</f>
        <v>0</v>
      </c>
      <c r="G38" s="635">
        <f>ROUND(C33*0.05+C33,0)</f>
        <v>0</v>
      </c>
      <c r="H38" s="612" t="str">
        <f>CONCATENATE("Less ",E1-2," Expenditures + 5%")</f>
        <v>Less 2013 Expenditures + 5%</v>
      </c>
      <c r="I38" s="612"/>
      <c r="J38" s="625"/>
      <c r="K38" s="578"/>
    </row>
    <row r="39" spans="2:11" ht="15.75">
      <c r="B39" s="187"/>
      <c r="C39" s="468" t="s">
        <v>693</v>
      </c>
      <c r="D39" s="679">
        <f>inputOth!$E$77</f>
        <v>0</v>
      </c>
      <c r="E39" s="236">
        <f>ROUND(IF(D39&gt;0,(E38*D39),0),0)</f>
        <v>0</v>
      </c>
      <c r="G39" s="643">
        <f>G36-G38</f>
        <v>0</v>
      </c>
      <c r="H39" s="644" t="str">
        <f>CONCATENATE("Projected ",E1+1," carryover (est.)")</f>
        <v>Projected 2016 carryover (est.)</v>
      </c>
      <c r="I39" s="645"/>
      <c r="J39" s="646"/>
      <c r="K39" s="578"/>
    </row>
    <row r="40" spans="2:11" ht="15.75">
      <c r="B40" s="46"/>
      <c r="C40" s="859" t="str">
        <f>CONCATENATE("Amount of  ",$E$1-1," Ad Valorem Tax")</f>
        <v>Amount of  2014 Ad Valorem Tax</v>
      </c>
      <c r="D40" s="860"/>
      <c r="E40" s="160">
        <f>E38+E39</f>
        <v>0</v>
      </c>
      <c r="G40" s="578"/>
      <c r="H40" s="578"/>
      <c r="I40" s="578"/>
      <c r="J40" s="578"/>
      <c r="K40" s="578"/>
    </row>
    <row r="41" spans="2:11" ht="15.75">
      <c r="B41" s="46"/>
      <c r="C41" s="526"/>
      <c r="D41" s="46"/>
      <c r="E41" s="46"/>
      <c r="G41" s="874" t="s">
        <v>828</v>
      </c>
      <c r="H41" s="875"/>
      <c r="I41" s="875"/>
      <c r="J41" s="876"/>
      <c r="K41" s="578"/>
    </row>
    <row r="42" spans="2:11" ht="15.75">
      <c r="B42" s="46"/>
      <c r="C42" s="526"/>
      <c r="D42" s="46"/>
      <c r="E42" s="46"/>
      <c r="G42" s="650"/>
      <c r="H42" s="629"/>
      <c r="I42" s="651"/>
      <c r="J42" s="652"/>
      <c r="K42" s="578"/>
    </row>
    <row r="43" spans="2:11" ht="15.75">
      <c r="B43" s="53" t="s">
        <v>246</v>
      </c>
      <c r="C43" s="51"/>
      <c r="D43" s="51"/>
      <c r="E43" s="51"/>
      <c r="G43" s="653" t="str">
        <f>summ!H28</f>
        <v> </v>
      </c>
      <c r="H43" s="629" t="str">
        <f>CONCATENATE("",E1," Fund Mill Rate")</f>
        <v>2015 Fund Mill Rate</v>
      </c>
      <c r="I43" s="651"/>
      <c r="J43" s="652"/>
      <c r="K43" s="578"/>
    </row>
    <row r="44" spans="2:11" ht="15.75">
      <c r="B44" s="46"/>
      <c r="C44" s="356" t="s">
        <v>247</v>
      </c>
      <c r="D44" s="359" t="s">
        <v>248</v>
      </c>
      <c r="E44" s="55" t="s">
        <v>249</v>
      </c>
      <c r="G44" s="654" t="str">
        <f>summ!E28</f>
        <v>  </v>
      </c>
      <c r="H44" s="629" t="str">
        <f>CONCATENATE("",E1-1," Fund Mill Rate")</f>
        <v>2014 Fund Mill Rate</v>
      </c>
      <c r="I44" s="651"/>
      <c r="J44" s="652"/>
      <c r="K44" s="578"/>
    </row>
    <row r="45" spans="2:11" ht="15.75">
      <c r="B45" s="453">
        <f>inputPrYr!B31</f>
        <v>0</v>
      </c>
      <c r="C45" s="357" t="str">
        <f>C5</f>
        <v>Actual for 2013</v>
      </c>
      <c r="D45" s="357" t="str">
        <f>D5</f>
        <v>Estimate for 2014</v>
      </c>
      <c r="E45" s="60" t="str">
        <f>E5</f>
        <v>Year for 2015</v>
      </c>
      <c r="G45" s="656">
        <f>summ!H36</f>
        <v>15.561</v>
      </c>
      <c r="H45" s="629" t="str">
        <f>CONCATENATE("Total ",E1," Mill Rate")</f>
        <v>Total 2015 Mill Rate</v>
      </c>
      <c r="I45" s="651"/>
      <c r="J45" s="652"/>
      <c r="K45" s="578"/>
    </row>
    <row r="46" spans="2:11" ht="15.75">
      <c r="B46" s="61" t="s">
        <v>60</v>
      </c>
      <c r="C46" s="283"/>
      <c r="D46" s="358">
        <f>C74</f>
        <v>0</v>
      </c>
      <c r="E46" s="236">
        <f>D74</f>
        <v>0</v>
      </c>
      <c r="G46" s="654">
        <f>summ!E36</f>
        <v>16.355</v>
      </c>
      <c r="H46" s="657" t="str">
        <f>CONCATENATE("Total ",E1-1," Mill Rate")</f>
        <v>Total 2014 Mill Rate</v>
      </c>
      <c r="I46" s="658"/>
      <c r="J46" s="659"/>
      <c r="K46" s="578"/>
    </row>
    <row r="47" spans="2:11" ht="15.75">
      <c r="B47" s="61" t="s">
        <v>62</v>
      </c>
      <c r="C47" s="358"/>
      <c r="D47" s="358"/>
      <c r="E47" s="285"/>
      <c r="G47" s="578"/>
      <c r="H47" s="578"/>
      <c r="I47" s="578"/>
      <c r="J47" s="578"/>
      <c r="K47" s="578"/>
    </row>
    <row r="48" spans="2:11" ht="15.75">
      <c r="B48" s="61" t="s">
        <v>252</v>
      </c>
      <c r="C48" s="283"/>
      <c r="D48" s="358">
        <f>IF(inputPrYr!H19&gt;0,inputPrYr!G31,inputPrYr!E31)</f>
        <v>0</v>
      </c>
      <c r="E48" s="285" t="s">
        <v>231</v>
      </c>
      <c r="G48" s="754" t="s">
        <v>927</v>
      </c>
      <c r="H48" s="706"/>
      <c r="I48" s="705" t="str">
        <f>cert!E41</f>
        <v>No</v>
      </c>
      <c r="J48" s="578"/>
      <c r="K48" s="578"/>
    </row>
    <row r="49" spans="2:11" ht="15.75">
      <c r="B49" s="61" t="s">
        <v>253</v>
      </c>
      <c r="C49" s="283"/>
      <c r="D49" s="283"/>
      <c r="E49" s="149"/>
      <c r="G49" s="578"/>
      <c r="H49" s="578"/>
      <c r="I49" s="578"/>
      <c r="J49" s="578"/>
      <c r="K49" s="578"/>
    </row>
    <row r="50" spans="2:11" ht="15.75">
      <c r="B50" s="61" t="s">
        <v>254</v>
      </c>
      <c r="C50" s="283"/>
      <c r="D50" s="283"/>
      <c r="E50" s="236">
        <f>mvalloc!G22</f>
        <v>0</v>
      </c>
      <c r="G50" s="578"/>
      <c r="H50" s="578"/>
      <c r="I50" s="578"/>
      <c r="J50" s="578"/>
      <c r="K50" s="578"/>
    </row>
    <row r="51" spans="2:11" ht="15.75">
      <c r="B51" s="61" t="s">
        <v>255</v>
      </c>
      <c r="C51" s="283"/>
      <c r="D51" s="283"/>
      <c r="E51" s="236">
        <f>mvalloc!I22</f>
        <v>0</v>
      </c>
      <c r="G51" s="578"/>
      <c r="H51" s="578"/>
      <c r="I51" s="578"/>
      <c r="J51" s="578"/>
      <c r="K51" s="578"/>
    </row>
    <row r="52" spans="2:11" ht="15.75">
      <c r="B52" s="61" t="s">
        <v>51</v>
      </c>
      <c r="C52" s="283"/>
      <c r="D52" s="283"/>
      <c r="E52" s="236">
        <f>mvalloc!J22</f>
        <v>0</v>
      </c>
      <c r="G52" s="578"/>
      <c r="H52" s="578"/>
      <c r="I52" s="578"/>
      <c r="J52" s="578"/>
      <c r="K52" s="578"/>
    </row>
    <row r="53" spans="2:11" ht="15.75">
      <c r="B53" s="287"/>
      <c r="C53" s="283"/>
      <c r="D53" s="283"/>
      <c r="E53" s="149"/>
      <c r="G53" s="578"/>
      <c r="H53" s="578"/>
      <c r="I53" s="578"/>
      <c r="J53" s="578"/>
      <c r="K53" s="578"/>
    </row>
    <row r="54" spans="2:11" ht="15.75">
      <c r="B54" s="287"/>
      <c r="C54" s="283"/>
      <c r="D54" s="283"/>
      <c r="E54" s="149"/>
      <c r="G54" s="578"/>
      <c r="H54" s="578"/>
      <c r="I54" s="578"/>
      <c r="J54" s="578"/>
      <c r="K54" s="578"/>
    </row>
    <row r="55" spans="2:11" ht="15.75">
      <c r="B55" s="287"/>
      <c r="C55" s="283"/>
      <c r="D55" s="283"/>
      <c r="E55" s="149"/>
      <c r="G55" s="578"/>
      <c r="H55" s="578"/>
      <c r="I55" s="578"/>
      <c r="J55" s="578"/>
      <c r="K55" s="578"/>
    </row>
    <row r="56" spans="2:11" ht="15.75">
      <c r="B56" s="288"/>
      <c r="C56" s="283"/>
      <c r="D56" s="283"/>
      <c r="E56" s="149"/>
      <c r="G56" s="578"/>
      <c r="H56" s="578"/>
      <c r="I56" s="578"/>
      <c r="J56" s="578"/>
      <c r="K56" s="578"/>
    </row>
    <row r="57" spans="2:11" ht="15.75">
      <c r="B57" s="288" t="s">
        <v>258</v>
      </c>
      <c r="C57" s="283"/>
      <c r="D57" s="283"/>
      <c r="E57" s="149"/>
      <c r="G57" s="578"/>
      <c r="H57" s="578"/>
      <c r="I57" s="578"/>
      <c r="J57" s="578"/>
      <c r="K57" s="578"/>
    </row>
    <row r="58" spans="2:11" ht="15.75">
      <c r="B58" s="289" t="s">
        <v>204</v>
      </c>
      <c r="C58" s="283"/>
      <c r="D58" s="283"/>
      <c r="E58" s="149"/>
      <c r="G58" s="578"/>
      <c r="H58" s="578"/>
      <c r="I58" s="578"/>
      <c r="J58" s="578"/>
      <c r="K58" s="578"/>
    </row>
    <row r="59" spans="2:11" ht="15.75">
      <c r="B59" s="289" t="s">
        <v>205</v>
      </c>
      <c r="C59" s="360">
        <f>IF(C60*0.1&lt;C58,"Exceed 10% Rule","")</f>
      </c>
      <c r="D59" s="360">
        <f>IF(D60*0.1&lt;D58,"Exceed 10% Rule","")</f>
      </c>
      <c r="E59" s="293">
        <f>IF(E60*0.1+E80&lt;E58,"Exceed 10% Rule","")</f>
      </c>
      <c r="G59" s="578"/>
      <c r="H59" s="578"/>
      <c r="I59" s="578"/>
      <c r="J59" s="578"/>
      <c r="K59" s="578"/>
    </row>
    <row r="60" spans="2:11" ht="15.75">
      <c r="B60" s="291" t="s">
        <v>259</v>
      </c>
      <c r="C60" s="361">
        <f>SUM(C48:C58)</f>
        <v>0</v>
      </c>
      <c r="D60" s="361">
        <f>SUM(D48:D58)</f>
        <v>0</v>
      </c>
      <c r="E60" s="292">
        <f>SUM(E48:E58)</f>
        <v>0</v>
      </c>
      <c r="G60" s="578"/>
      <c r="H60" s="578"/>
      <c r="I60" s="578"/>
      <c r="J60" s="578"/>
      <c r="K60" s="578"/>
    </row>
    <row r="61" spans="2:11" ht="15.75">
      <c r="B61" s="79" t="s">
        <v>260</v>
      </c>
      <c r="C61" s="361">
        <f>C60+C46</f>
        <v>0</v>
      </c>
      <c r="D61" s="361">
        <f>D60+D46</f>
        <v>0</v>
      </c>
      <c r="E61" s="292">
        <f>E60+E46</f>
        <v>0</v>
      </c>
      <c r="G61" s="578"/>
      <c r="H61" s="578"/>
      <c r="I61" s="578"/>
      <c r="J61" s="578"/>
      <c r="K61" s="578"/>
    </row>
    <row r="62" spans="2:11" ht="15.75">
      <c r="B62" s="61" t="s">
        <v>261</v>
      </c>
      <c r="C62" s="358"/>
      <c r="D62" s="358"/>
      <c r="E62" s="236"/>
      <c r="G62" s="578"/>
      <c r="H62" s="578"/>
      <c r="I62" s="578"/>
      <c r="J62" s="578"/>
      <c r="K62" s="578"/>
    </row>
    <row r="63" spans="2:11" ht="15.75">
      <c r="B63" s="288"/>
      <c r="C63" s="283"/>
      <c r="D63" s="283"/>
      <c r="E63" s="149"/>
      <c r="G63" s="578"/>
      <c r="H63" s="578"/>
      <c r="I63" s="578"/>
      <c r="J63" s="578"/>
      <c r="K63" s="578"/>
    </row>
    <row r="64" spans="2:11" ht="15.75">
      <c r="B64" s="288"/>
      <c r="C64" s="283"/>
      <c r="D64" s="283"/>
      <c r="E64" s="149"/>
      <c r="G64" s="867" t="str">
        <f>CONCATENATE("Desired Carryover Into ",E1+1,"")</f>
        <v>Desired Carryover Into 2016</v>
      </c>
      <c r="H64" s="868"/>
      <c r="I64" s="868"/>
      <c r="J64" s="869"/>
      <c r="K64" s="578"/>
    </row>
    <row r="65" spans="2:11" ht="15.75">
      <c r="B65" s="288"/>
      <c r="C65" s="283"/>
      <c r="D65" s="283"/>
      <c r="E65" s="149"/>
      <c r="G65" s="610"/>
      <c r="H65" s="611"/>
      <c r="I65" s="612"/>
      <c r="J65" s="613"/>
      <c r="K65" s="578"/>
    </row>
    <row r="66" spans="2:11" ht="15.75">
      <c r="B66" s="288"/>
      <c r="C66" s="283"/>
      <c r="D66" s="283"/>
      <c r="E66" s="149"/>
      <c r="G66" s="614" t="s">
        <v>697</v>
      </c>
      <c r="H66" s="612"/>
      <c r="I66" s="612"/>
      <c r="J66" s="615">
        <v>0</v>
      </c>
      <c r="K66" s="578"/>
    </row>
    <row r="67" spans="2:11" ht="15.75">
      <c r="B67" s="288"/>
      <c r="C67" s="283"/>
      <c r="D67" s="283"/>
      <c r="E67" s="149"/>
      <c r="G67" s="610" t="s">
        <v>698</v>
      </c>
      <c r="H67" s="611"/>
      <c r="I67" s="611"/>
      <c r="J67" s="616">
        <f>IF(J66=0,"",ROUND((J66+E80-G79)/inputOth!E11*1000,3)-G84)</f>
      </c>
      <c r="K67" s="578"/>
    </row>
    <row r="68" spans="2:11" ht="15.75">
      <c r="B68" s="288"/>
      <c r="C68" s="283"/>
      <c r="D68" s="283"/>
      <c r="E68" s="149"/>
      <c r="G68" s="617" t="str">
        <f>CONCATENATE("",E1," Tot Exp/Non-Appr Must Be:")</f>
        <v>2015 Tot Exp/Non-Appr Must Be:</v>
      </c>
      <c r="H68" s="618"/>
      <c r="I68" s="619"/>
      <c r="J68" s="620">
        <f>IF(J66&gt;0,IF(E77&lt;E61,IF(J66=G79,E77,((J66-G79)*(1-D79))+E61),E77+(J66-G79)),0)</f>
        <v>0</v>
      </c>
      <c r="K68" s="578"/>
    </row>
    <row r="69" spans="2:11" ht="15.75">
      <c r="B69" s="288"/>
      <c r="C69" s="283"/>
      <c r="D69" s="283"/>
      <c r="E69" s="149"/>
      <c r="G69" s="621" t="s">
        <v>827</v>
      </c>
      <c r="H69" s="622"/>
      <c r="I69" s="622"/>
      <c r="J69" s="623">
        <f>IF(J66&gt;0,J68-E77,0)</f>
        <v>0</v>
      </c>
      <c r="K69" s="578"/>
    </row>
    <row r="70" spans="2:11" ht="15.75">
      <c r="B70" s="286" t="s">
        <v>206</v>
      </c>
      <c r="C70" s="283"/>
      <c r="D70" s="283"/>
      <c r="E70" s="160">
        <f>nhood!E17</f>
      </c>
      <c r="G70" s="578"/>
      <c r="H70" s="578"/>
      <c r="I70" s="578"/>
      <c r="J70" s="578"/>
      <c r="K70" s="578"/>
    </row>
    <row r="71" spans="2:11" ht="15.75">
      <c r="B71" s="286" t="s">
        <v>204</v>
      </c>
      <c r="C71" s="283"/>
      <c r="D71" s="283"/>
      <c r="E71" s="149"/>
      <c r="G71" s="867" t="str">
        <f>CONCATENATE("Projected Carryover Into ",E1+1,"")</f>
        <v>Projected Carryover Into 2016</v>
      </c>
      <c r="H71" s="877"/>
      <c r="I71" s="877"/>
      <c r="J71" s="871"/>
      <c r="K71" s="578"/>
    </row>
    <row r="72" spans="2:11" ht="15.75">
      <c r="B72" s="286" t="s">
        <v>694</v>
      </c>
      <c r="C72" s="360">
        <f>IF(C73*0.1&lt;C71,"Exceed 10% Rule","")</f>
      </c>
      <c r="D72" s="360">
        <f>IF(D73*0.1&lt;D71,"Exceed 10% Rule","")</f>
      </c>
      <c r="E72" s="293">
        <f>IF(E73*0.1&lt;E71,"Exceed 10% Rule","")</f>
      </c>
      <c r="G72" s="662"/>
      <c r="H72" s="611"/>
      <c r="I72" s="611"/>
      <c r="J72" s="663"/>
      <c r="K72" s="578"/>
    </row>
    <row r="73" spans="2:11" ht="15.75">
      <c r="B73" s="79" t="s">
        <v>262</v>
      </c>
      <c r="C73" s="361">
        <f>SUM(C63:C71)</f>
        <v>0</v>
      </c>
      <c r="D73" s="361">
        <f>SUM(D63:D71)</f>
        <v>0</v>
      </c>
      <c r="E73" s="292">
        <f>SUM(E63:E71)</f>
        <v>0</v>
      </c>
      <c r="G73" s="628">
        <f>D74</f>
        <v>0</v>
      </c>
      <c r="H73" s="629" t="str">
        <f>CONCATENATE("",E1-1," Ending Cash Balance (est.)")</f>
        <v>2014 Ending Cash Balance (est.)</v>
      </c>
      <c r="I73" s="630"/>
      <c r="J73" s="663"/>
      <c r="K73" s="578"/>
    </row>
    <row r="74" spans="2:11" ht="15.75">
      <c r="B74" s="61" t="s">
        <v>61</v>
      </c>
      <c r="C74" s="362">
        <f>C61-C73</f>
        <v>0</v>
      </c>
      <c r="D74" s="362">
        <f>D61-D73</f>
        <v>0</v>
      </c>
      <c r="E74" s="285" t="s">
        <v>231</v>
      </c>
      <c r="G74" s="628">
        <f>E60</f>
        <v>0</v>
      </c>
      <c r="H74" s="612" t="str">
        <f>CONCATENATE("",E1," Non-AV Receipts (est.)")</f>
        <v>2015 Non-AV Receipts (est.)</v>
      </c>
      <c r="I74" s="630"/>
      <c r="J74" s="663"/>
      <c r="K74" s="578"/>
    </row>
    <row r="75" spans="2:11" ht="15.75">
      <c r="B75" s="96" t="str">
        <f>CONCATENATE("",E1-2,"/",E1-1,"/",E1," Budget Authority Amount:")</f>
        <v>2013/2014/2015 Budget Authority Amount:</v>
      </c>
      <c r="C75" s="715">
        <f>inputOth!$B94</f>
        <v>0</v>
      </c>
      <c r="D75" s="715">
        <f>inputPrYr!$D31</f>
        <v>0</v>
      </c>
      <c r="E75" s="236">
        <f>E73</f>
        <v>0</v>
      </c>
      <c r="F75" s="294"/>
      <c r="G75" s="635">
        <f>IF(E79&gt;0,E78,E80)</f>
        <v>0</v>
      </c>
      <c r="H75" s="612" t="str">
        <f>CONCATENATE("",E1," Ad Valorem Tax (est.)")</f>
        <v>2015 Ad Valorem Tax (est.)</v>
      </c>
      <c r="I75" s="630"/>
      <c r="J75" s="663"/>
      <c r="K75" s="636">
        <f>IF(G75=E80,"","Note: Does not include Delinquent Taxes")</f>
      </c>
    </row>
    <row r="76" spans="2:11" ht="15.75">
      <c r="B76" s="97"/>
      <c r="C76" s="855" t="s">
        <v>691</v>
      </c>
      <c r="D76" s="856"/>
      <c r="E76" s="149"/>
      <c r="F76" s="695">
        <f>IF(E73/0.95-E73&lt;E76,"Exceeds 5%","")</f>
      </c>
      <c r="G76" s="665">
        <f>SUM(G73:G75)</f>
        <v>0</v>
      </c>
      <c r="H76" s="612" t="str">
        <f>CONCATENATE("Total ",E1," Resources Available")</f>
        <v>Total 2015 Resources Available</v>
      </c>
      <c r="I76" s="666"/>
      <c r="J76" s="663"/>
      <c r="K76" s="578"/>
    </row>
    <row r="77" spans="2:11" ht="15.75">
      <c r="B77" s="467" t="str">
        <f>CONCATENATE(C87,"     ",D87)</f>
        <v>     </v>
      </c>
      <c r="C77" s="857" t="s">
        <v>692</v>
      </c>
      <c r="D77" s="858"/>
      <c r="E77" s="236">
        <f>E73+E76</f>
        <v>0</v>
      </c>
      <c r="G77" s="667"/>
      <c r="H77" s="668"/>
      <c r="I77" s="611"/>
      <c r="J77" s="663"/>
      <c r="K77" s="578"/>
    </row>
    <row r="78" spans="2:11" ht="15.75">
      <c r="B78" s="467" t="str">
        <f>CONCATENATE(C88,"     ",D88)</f>
        <v>     </v>
      </c>
      <c r="C78" s="470"/>
      <c r="D78" s="469" t="s">
        <v>264</v>
      </c>
      <c r="E78" s="160">
        <f>IF(E77-E61&gt;0,E77-E61,0)</f>
        <v>0</v>
      </c>
      <c r="G78" s="635">
        <f>ROUND(C73*0.05+C73,0)</f>
        <v>0</v>
      </c>
      <c r="H78" s="612" t="str">
        <f>CONCATENATE("Less ",E1-2," Expenditures + 5%")</f>
        <v>Less 2013 Expenditures + 5%</v>
      </c>
      <c r="I78" s="666"/>
      <c r="J78" s="663"/>
      <c r="K78" s="578"/>
    </row>
    <row r="79" spans="2:11" ht="15.75">
      <c r="B79" s="187"/>
      <c r="C79" s="468" t="s">
        <v>693</v>
      </c>
      <c r="D79" s="679">
        <f>inputOth!$E$77</f>
        <v>0</v>
      </c>
      <c r="E79" s="236">
        <f>ROUND(IF(D79&gt;0,(E78*D79),0),0)</f>
        <v>0</v>
      </c>
      <c r="G79" s="643">
        <f>G76-G78</f>
        <v>0</v>
      </c>
      <c r="H79" s="644" t="str">
        <f>CONCATENATE("Projected ",E1+1," carryover (est.)")</f>
        <v>Projected 2016 carryover (est.)</v>
      </c>
      <c r="I79" s="669"/>
      <c r="J79" s="670"/>
      <c r="K79" s="578"/>
    </row>
    <row r="80" spans="2:11" ht="15.75">
      <c r="B80" s="46"/>
      <c r="C80" s="859" t="str">
        <f>CONCATENATE("Amount of  ",$E$1-1," Ad Valorem Tax")</f>
        <v>Amount of  2014 Ad Valorem Tax</v>
      </c>
      <c r="D80" s="860"/>
      <c r="E80" s="160">
        <f>E78+E79</f>
        <v>0</v>
      </c>
      <c r="G80" s="578"/>
      <c r="H80" s="578"/>
      <c r="I80" s="578"/>
      <c r="J80" s="578"/>
      <c r="K80" s="578"/>
    </row>
    <row r="81" spans="2:11" ht="15.75">
      <c r="B81" s="187" t="s">
        <v>245</v>
      </c>
      <c r="C81" s="188"/>
      <c r="D81" s="46"/>
      <c r="E81" s="46"/>
      <c r="G81" s="874" t="s">
        <v>828</v>
      </c>
      <c r="H81" s="875"/>
      <c r="I81" s="875"/>
      <c r="J81" s="876"/>
      <c r="K81" s="578"/>
    </row>
    <row r="82" spans="2:11" ht="15.75">
      <c r="B82" s="93"/>
      <c r="G82" s="650"/>
      <c r="H82" s="629"/>
      <c r="I82" s="651"/>
      <c r="J82" s="652"/>
      <c r="K82" s="578"/>
    </row>
    <row r="83" spans="7:11" ht="15.75">
      <c r="G83" s="653" t="str">
        <f>summ!H29</f>
        <v> </v>
      </c>
      <c r="H83" s="629" t="str">
        <f>CONCATENATE("",E1," Fund Mill Rate")</f>
        <v>2015 Fund Mill Rate</v>
      </c>
      <c r="I83" s="651"/>
      <c r="J83" s="652"/>
      <c r="K83" s="578"/>
    </row>
    <row r="84" spans="7:11" ht="15.75">
      <c r="G84" s="654" t="str">
        <f>summ!E29</f>
        <v>  </v>
      </c>
      <c r="H84" s="629" t="str">
        <f>CONCATENATE("",E1-1," Fund Mill Rate")</f>
        <v>2014 Fund Mill Rate</v>
      </c>
      <c r="I84" s="651"/>
      <c r="J84" s="652"/>
      <c r="K84" s="578"/>
    </row>
    <row r="85" spans="3:11" ht="15.75" hidden="1">
      <c r="C85" s="135">
        <f>IF(C33&gt;C35,"See Tab A","")</f>
      </c>
      <c r="D85" s="135">
        <f>IF(D33&gt;D35,"See Tab C","")</f>
      </c>
      <c r="G85" s="656">
        <f>'[1]summ'!I36</f>
        <v>0</v>
      </c>
      <c r="H85" s="629" t="str">
        <f>CONCATENATE("Total ",E1," Mill Rate")</f>
        <v>Total 2015 Mill Rate</v>
      </c>
      <c r="I85" s="651"/>
      <c r="J85" s="652"/>
      <c r="K85" s="578"/>
    </row>
    <row r="86" spans="3:11" ht="15.75" hidden="1">
      <c r="C86" s="135">
        <f>IF(C34&lt;0,"See Tab B","")</f>
      </c>
      <c r="D86" s="135">
        <f>IF(D34&lt;0,"See Tab D","")</f>
      </c>
      <c r="G86" s="654">
        <f>'[1]summ'!F36</f>
        <v>0</v>
      </c>
      <c r="H86" s="657" t="str">
        <f>CONCATENATE("Total ",E1-1," Mill Rate")</f>
        <v>Total 2014 Mill Rate</v>
      </c>
      <c r="I86" s="658"/>
      <c r="J86" s="659"/>
      <c r="K86" s="578"/>
    </row>
    <row r="87" spans="3:4" ht="15.75" hidden="1">
      <c r="C87" s="135">
        <f>IF(C73&gt;C75,"See Tab A","")</f>
      </c>
      <c r="D87" s="135">
        <f>IF(D73&gt;D75,"See Tab C","")</f>
      </c>
    </row>
    <row r="88" spans="3:4" ht="15.75" hidden="1">
      <c r="C88" s="135">
        <f>IF(C74&lt;0,"See Tab B","")</f>
      </c>
      <c r="D88" s="135">
        <f>IF(D74&lt;0,"See Tab D","")</f>
      </c>
    </row>
    <row r="89" spans="7:10" ht="15.75">
      <c r="G89" s="656">
        <f>summ!H36</f>
        <v>15.561</v>
      </c>
      <c r="H89" s="629" t="str">
        <f>CONCATENATE("Total ",E1," Mill Rate")</f>
        <v>Total 2015 Mill Rate</v>
      </c>
      <c r="I89" s="651"/>
      <c r="J89" s="652"/>
    </row>
    <row r="90" spans="7:10" ht="15.75">
      <c r="G90" s="654">
        <f>summ!E36</f>
        <v>16.355</v>
      </c>
      <c r="H90" s="657" t="str">
        <f>CONCATENATE("Total ",E1-1," Mill Rate")</f>
        <v>Total 2014 Mill Rate</v>
      </c>
      <c r="I90" s="658"/>
      <c r="J90" s="659"/>
    </row>
    <row r="92" spans="7:9" ht="15.75">
      <c r="G92" s="755" t="s">
        <v>927</v>
      </c>
      <c r="H92" s="706"/>
      <c r="I92" s="705"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37">
      <selection activeCell="D69" sqref="D69"/>
    </sheetView>
  </sheetViews>
  <sheetFormatPr defaultColWidth="8.796875" defaultRowHeight="15.75"/>
  <cols>
    <col min="1" max="1" width="10.69921875" style="135" customWidth="1"/>
    <col min="2" max="2" width="20.69921875" style="135" customWidth="1"/>
    <col min="3" max="3" width="11.69921875" style="135" customWidth="1"/>
    <col min="4" max="4" width="15" style="135" customWidth="1"/>
    <col min="5" max="5" width="14.09765625" style="135" customWidth="1"/>
    <col min="6" max="6" width="2.69921875" style="135" customWidth="1"/>
    <col min="7" max="7" width="18.59765625" style="135" customWidth="1"/>
    <col min="8" max="16384" width="8.796875" style="135" customWidth="1"/>
  </cols>
  <sheetData>
    <row r="1" spans="1:5" ht="15.75">
      <c r="A1" s="134" t="s">
        <v>121</v>
      </c>
      <c r="B1" s="46"/>
      <c r="C1" s="46"/>
      <c r="D1" s="46"/>
      <c r="E1" s="46"/>
    </row>
    <row r="2" spans="1:5" ht="15.75">
      <c r="A2" s="136" t="s">
        <v>201</v>
      </c>
      <c r="B2" s="46"/>
      <c r="C2" s="46"/>
      <c r="D2" s="46"/>
      <c r="E2" s="46"/>
    </row>
    <row r="3" spans="1:5" ht="15.75">
      <c r="A3" s="136" t="s">
        <v>199</v>
      </c>
      <c r="B3" s="46"/>
      <c r="C3" s="46"/>
      <c r="D3" s="774" t="s">
        <v>954</v>
      </c>
      <c r="E3" s="52"/>
    </row>
    <row r="4" spans="1:5" ht="15.75">
      <c r="A4" s="136" t="s">
        <v>200</v>
      </c>
      <c r="B4" s="46"/>
      <c r="C4" s="46"/>
      <c r="D4" s="775" t="s">
        <v>955</v>
      </c>
      <c r="E4" s="52"/>
    </row>
    <row r="5" spans="1:5" ht="15.75">
      <c r="A5" s="46"/>
      <c r="B5" s="46"/>
      <c r="C5" s="46"/>
      <c r="D5" s="46"/>
      <c r="E5" s="46"/>
    </row>
    <row r="6" spans="1:5" ht="15.75">
      <c r="A6" s="137" t="s">
        <v>122</v>
      </c>
      <c r="B6" s="46"/>
      <c r="C6" s="46"/>
      <c r="D6" s="158" t="s">
        <v>956</v>
      </c>
      <c r="E6" s="46"/>
    </row>
    <row r="7" spans="1:5" ht="15.75">
      <c r="A7" s="137" t="s">
        <v>123</v>
      </c>
      <c r="B7" s="46"/>
      <c r="C7" s="46"/>
      <c r="D7" s="158"/>
      <c r="E7" s="46"/>
    </row>
    <row r="8" spans="1:5" ht="15.75">
      <c r="A8" s="46"/>
      <c r="B8" s="46"/>
      <c r="C8" s="46"/>
      <c r="D8" s="46"/>
      <c r="E8" s="46"/>
    </row>
    <row r="9" spans="1:5" ht="15.75">
      <c r="A9" s="137" t="s">
        <v>73</v>
      </c>
      <c r="B9" s="46"/>
      <c r="C9" s="46"/>
      <c r="D9" s="138">
        <v>2015</v>
      </c>
      <c r="E9" s="46"/>
    </row>
    <row r="10" spans="1:5" ht="15.75">
      <c r="A10" s="46"/>
      <c r="B10" s="46"/>
      <c r="C10" s="46"/>
      <c r="D10" s="46"/>
      <c r="E10" s="46"/>
    </row>
    <row r="11" spans="1:8" ht="15.75">
      <c r="A11" s="139" t="s">
        <v>75</v>
      </c>
      <c r="B11" s="140"/>
      <c r="C11" s="140"/>
      <c r="D11" s="140"/>
      <c r="E11" s="140"/>
      <c r="F11" s="46"/>
      <c r="G11" s="794" t="s">
        <v>769</v>
      </c>
      <c r="H11" s="795"/>
    </row>
    <row r="12" spans="1:8" ht="15.75">
      <c r="A12" s="139" t="s">
        <v>139</v>
      </c>
      <c r="B12" s="140"/>
      <c r="C12" s="140"/>
      <c r="D12" s="140"/>
      <c r="E12" s="140"/>
      <c r="F12" s="46"/>
      <c r="G12" s="796"/>
      <c r="H12" s="795"/>
    </row>
    <row r="13" spans="1:8" ht="15.75">
      <c r="A13" s="46"/>
      <c r="B13" s="46"/>
      <c r="C13" s="46"/>
      <c r="D13" s="46"/>
      <c r="E13" s="46"/>
      <c r="F13" s="46"/>
      <c r="G13" s="796"/>
      <c r="H13" s="795"/>
    </row>
    <row r="14" spans="1:8" ht="15.75">
      <c r="A14" s="792" t="s">
        <v>83</v>
      </c>
      <c r="B14" s="793"/>
      <c r="C14" s="793"/>
      <c r="D14" s="793"/>
      <c r="E14" s="793"/>
      <c r="F14" s="46"/>
      <c r="G14" s="796"/>
      <c r="H14" s="795"/>
    </row>
    <row r="15" spans="1:8" ht="15.75">
      <c r="A15" s="136"/>
      <c r="B15" s="46"/>
      <c r="C15" s="46"/>
      <c r="D15" s="46"/>
      <c r="E15" s="46"/>
      <c r="F15" s="46"/>
      <c r="G15" s="796"/>
      <c r="H15" s="795"/>
    </row>
    <row r="16" spans="1:8" ht="15.75">
      <c r="A16" s="141" t="s">
        <v>74</v>
      </c>
      <c r="B16" s="142"/>
      <c r="C16" s="46"/>
      <c r="D16" s="49"/>
      <c r="E16" s="143"/>
      <c r="F16" s="46"/>
      <c r="G16" s="796"/>
      <c r="H16" s="795"/>
    </row>
    <row r="17" spans="1:8" ht="15.75">
      <c r="A17" s="144" t="str">
        <f>CONCATENATE("the ",D9-1," Budget, Certificate Page:")</f>
        <v>the 2014 Budget, Certificate Page:</v>
      </c>
      <c r="B17" s="145"/>
      <c r="C17" s="49"/>
      <c r="D17" s="46"/>
      <c r="E17" s="46"/>
      <c r="F17" s="46"/>
      <c r="G17" s="52"/>
      <c r="H17" s="168"/>
    </row>
    <row r="18" spans="1:8" ht="15.75">
      <c r="A18" s="144" t="s">
        <v>294</v>
      </c>
      <c r="B18" s="145"/>
      <c r="C18" s="49"/>
      <c r="D18" s="146">
        <f>D9-1</f>
        <v>2014</v>
      </c>
      <c r="E18" s="146">
        <f>D9-2</f>
        <v>2013</v>
      </c>
      <c r="G18" s="205" t="s">
        <v>770</v>
      </c>
      <c r="H18" s="69" t="s">
        <v>265</v>
      </c>
    </row>
    <row r="19" spans="1:8" ht="15.75">
      <c r="A19" s="53" t="s">
        <v>213</v>
      </c>
      <c r="B19" s="46"/>
      <c r="C19" s="147" t="s">
        <v>212</v>
      </c>
      <c r="D19" s="148" t="s">
        <v>324</v>
      </c>
      <c r="E19" s="148" t="s">
        <v>252</v>
      </c>
      <c r="G19" s="207" t="str">
        <f>CONCATENATE("",E18," Ad Valorem Tax")</f>
        <v>2013 Ad Valorem Tax</v>
      </c>
      <c r="H19" s="549">
        <v>0</v>
      </c>
    </row>
    <row r="20" spans="1:7" ht="15.75">
      <c r="A20" s="46"/>
      <c r="B20" s="85" t="s">
        <v>214</v>
      </c>
      <c r="C20" s="64" t="s">
        <v>215</v>
      </c>
      <c r="D20" s="149">
        <v>14030</v>
      </c>
      <c r="E20" s="149">
        <v>12507</v>
      </c>
      <c r="G20" s="236">
        <f>IF(H19&gt;0,ROUND(E20-(E20*H19),0),0)</f>
        <v>0</v>
      </c>
    </row>
    <row r="21" spans="1:7" ht="15.75">
      <c r="A21" s="46"/>
      <c r="B21" s="85" t="s">
        <v>285</v>
      </c>
      <c r="C21" s="64" t="s">
        <v>80</v>
      </c>
      <c r="D21" s="149">
        <v>0</v>
      </c>
      <c r="E21" s="149">
        <v>0</v>
      </c>
      <c r="G21" s="236">
        <f>IF(H19&gt;0,ROUND(E21-(E21*H19),0),0)</f>
        <v>0</v>
      </c>
    </row>
    <row r="22" spans="1:7" ht="15.75">
      <c r="A22" s="46"/>
      <c r="B22" s="85" t="s">
        <v>742</v>
      </c>
      <c r="C22" s="64" t="s">
        <v>743</v>
      </c>
      <c r="D22" s="149">
        <v>2780</v>
      </c>
      <c r="E22" s="149">
        <v>2444</v>
      </c>
      <c r="G22" s="236">
        <f>IF(H19&gt;0,ROUND(E22-(E22*H19),0),0)</f>
        <v>0</v>
      </c>
    </row>
    <row r="23" spans="1:7" ht="15.75">
      <c r="A23" s="46"/>
      <c r="B23" s="85" t="s">
        <v>216</v>
      </c>
      <c r="C23" s="150" t="s">
        <v>202</v>
      </c>
      <c r="D23" s="149">
        <v>79100</v>
      </c>
      <c r="E23" s="149">
        <v>38500</v>
      </c>
      <c r="G23" s="236">
        <f>IF(H19&gt;0,ROUND(E23-(E23*H19),0),0)</f>
        <v>0</v>
      </c>
    </row>
    <row r="24" spans="1:7" ht="15.75">
      <c r="A24" s="46"/>
      <c r="B24" s="85" t="s">
        <v>292</v>
      </c>
      <c r="C24" s="69" t="s">
        <v>293</v>
      </c>
      <c r="D24" s="149">
        <v>0</v>
      </c>
      <c r="E24" s="149">
        <v>0</v>
      </c>
      <c r="G24" s="236">
        <f>IF(H19&gt;0,ROUND(E24-(E24*H19),0),0)</f>
        <v>0</v>
      </c>
    </row>
    <row r="25" spans="1:7" ht="15.75">
      <c r="A25" s="46"/>
      <c r="B25" s="85" t="s">
        <v>154</v>
      </c>
      <c r="C25" s="69" t="s">
        <v>155</v>
      </c>
      <c r="D25" s="149">
        <v>0</v>
      </c>
      <c r="E25" s="149">
        <v>0</v>
      </c>
      <c r="G25" s="236">
        <f>IF(H19&gt;0,ROUND(E25-(E25*H19),0),0)</f>
        <v>0</v>
      </c>
    </row>
    <row r="26" spans="1:7" ht="15.75">
      <c r="A26" s="46"/>
      <c r="B26" s="183" t="s">
        <v>352</v>
      </c>
      <c r="C26" s="69" t="s">
        <v>353</v>
      </c>
      <c r="D26" s="149"/>
      <c r="E26" s="149"/>
      <c r="G26" s="236">
        <f>IF(H19&gt;0,ROUND(E26-(E26*H19),0),0)</f>
        <v>0</v>
      </c>
    </row>
    <row r="27" spans="1:7" ht="15.75">
      <c r="A27" s="46"/>
      <c r="B27" s="158" t="s">
        <v>957</v>
      </c>
      <c r="C27" s="451"/>
      <c r="D27" s="149">
        <v>1760</v>
      </c>
      <c r="E27" s="149">
        <v>1523</v>
      </c>
      <c r="G27" s="236">
        <f>IF(H19&gt;0,ROUND(E27-(E27*H19),0),0)</f>
        <v>0</v>
      </c>
    </row>
    <row r="28" spans="1:7" ht="15.75">
      <c r="A28" s="46"/>
      <c r="B28" s="158" t="s">
        <v>958</v>
      </c>
      <c r="C28" s="451"/>
      <c r="D28" s="149">
        <v>6125</v>
      </c>
      <c r="E28" s="149">
        <v>5304</v>
      </c>
      <c r="G28" s="236">
        <f>IF(H19&gt;0,ROUND(E28-(E28*H19),0),0)</f>
        <v>0</v>
      </c>
    </row>
    <row r="29" spans="1:7" ht="15.75">
      <c r="A29" s="46"/>
      <c r="B29" s="151"/>
      <c r="C29" s="451"/>
      <c r="D29" s="149"/>
      <c r="E29" s="149"/>
      <c r="G29" s="236">
        <f>IF(H19&gt;0,ROUND(E29-(E29*H19),0),0)</f>
        <v>0</v>
      </c>
    </row>
    <row r="30" spans="1:8" ht="15.75">
      <c r="A30" s="46"/>
      <c r="B30" s="151"/>
      <c r="C30" s="451"/>
      <c r="D30" s="149"/>
      <c r="E30" s="149"/>
      <c r="G30" s="236">
        <f>IF(H19&gt;0,ROUND(E30-(E30*H19),0),0)</f>
        <v>0</v>
      </c>
      <c r="H30" s="550"/>
    </row>
    <row r="31" spans="1:8" ht="15.75">
      <c r="A31" s="46"/>
      <c r="B31" s="151"/>
      <c r="C31" s="451"/>
      <c r="D31" s="149"/>
      <c r="E31" s="149"/>
      <c r="G31" s="236">
        <f>IF(H19&gt;0,ROUND(E31-(E31*H19),0),0)</f>
        <v>0</v>
      </c>
      <c r="H31" s="550"/>
    </row>
    <row r="32" spans="1:5" ht="15.75">
      <c r="A32" s="152" t="str">
        <f>CONCATENATE("Total Ad Valorem Tax for ",D9-1,"")</f>
        <v>Total Ad Valorem Tax for 2014</v>
      </c>
      <c r="B32" s="59"/>
      <c r="C32" s="153"/>
      <c r="D32" s="154"/>
      <c r="E32" s="155">
        <f>SUM(E20:E31)</f>
        <v>60278</v>
      </c>
    </row>
    <row r="33" spans="1:5" ht="15.75">
      <c r="A33" s="52"/>
      <c r="B33" s="52"/>
      <c r="C33" s="52"/>
      <c r="D33" s="156"/>
      <c r="E33" s="157"/>
    </row>
    <row r="34" spans="1:5" ht="15.75">
      <c r="A34" s="46" t="s">
        <v>69</v>
      </c>
      <c r="B34" s="46"/>
      <c r="C34" s="46"/>
      <c r="D34" s="46"/>
      <c r="E34" s="46"/>
    </row>
    <row r="35" spans="1:5" ht="15.75">
      <c r="A35" s="46"/>
      <c r="B35" s="158"/>
      <c r="C35" s="46"/>
      <c r="D35" s="159"/>
      <c r="E35" s="52"/>
    </row>
    <row r="36" spans="1:5" ht="15.75">
      <c r="A36" s="46"/>
      <c r="B36" s="158"/>
      <c r="C36" s="46"/>
      <c r="D36" s="159"/>
      <c r="E36" s="52"/>
    </row>
    <row r="37" spans="1:5" ht="15.75">
      <c r="A37" s="46"/>
      <c r="B37" s="158"/>
      <c r="C37" s="46"/>
      <c r="D37" s="159"/>
      <c r="E37" s="46"/>
    </row>
    <row r="38" spans="1:5" ht="15.75">
      <c r="A38" s="46"/>
      <c r="B38" s="158"/>
      <c r="C38" s="46"/>
      <c r="D38" s="159"/>
      <c r="E38" s="46"/>
    </row>
    <row r="39" spans="1:5" ht="15.75">
      <c r="A39" s="59" t="str">
        <f>CONCATENATE("Total Expenditures for ",D9-1,"")</f>
        <v>Total Expenditures for 2014</v>
      </c>
      <c r="B39" s="59"/>
      <c r="C39" s="59"/>
      <c r="D39" s="160">
        <f>SUM(D20:D31,D35:D38)</f>
        <v>103795</v>
      </c>
      <c r="E39" s="46"/>
    </row>
    <row r="40" spans="1:5" ht="15.75">
      <c r="A40" s="88" t="s">
        <v>319</v>
      </c>
      <c r="B40" s="52"/>
      <c r="C40" s="52"/>
      <c r="D40" s="46"/>
      <c r="E40" s="46"/>
    </row>
    <row r="41" spans="1:5" ht="15.75">
      <c r="A41" s="324">
        <v>1</v>
      </c>
      <c r="B41" s="158"/>
      <c r="C41" s="52"/>
      <c r="D41" s="46"/>
      <c r="E41" s="46"/>
    </row>
    <row r="42" spans="1:5" ht="15.75">
      <c r="A42" s="324">
        <v>2</v>
      </c>
      <c r="B42" s="158"/>
      <c r="C42" s="52"/>
      <c r="D42" s="46"/>
      <c r="E42" s="46"/>
    </row>
    <row r="43" spans="1:5" ht="15.75">
      <c r="A43" s="324">
        <v>3</v>
      </c>
      <c r="B43" s="158"/>
      <c r="C43" s="52"/>
      <c r="D43" s="46"/>
      <c r="E43" s="46"/>
    </row>
    <row r="44" spans="1:5" ht="15.75">
      <c r="A44" s="324">
        <v>4</v>
      </c>
      <c r="B44" s="158"/>
      <c r="C44" s="52"/>
      <c r="D44" s="46"/>
      <c r="E44" s="46"/>
    </row>
    <row r="45" spans="1:5" ht="15.75">
      <c r="A45" s="324">
        <v>5</v>
      </c>
      <c r="B45" s="158"/>
      <c r="C45" s="52"/>
      <c r="D45" s="46"/>
      <c r="E45" s="46"/>
    </row>
    <row r="46" spans="1:5" ht="15.75">
      <c r="A46" s="46"/>
      <c r="B46" s="46"/>
      <c r="C46" s="46"/>
      <c r="D46" s="46"/>
      <c r="E46" s="46"/>
    </row>
    <row r="47" spans="1:5" ht="15.75" customHeight="1">
      <c r="A47" s="141" t="s">
        <v>74</v>
      </c>
      <c r="B47" s="142"/>
      <c r="C47" s="46"/>
      <c r="D47" s="790" t="str">
        <f>CONCATENATE("",D9-3," Tax Rate         (",D9-2," Column)")</f>
        <v>2012 Tax Rate         (2013 Column)</v>
      </c>
      <c r="E47" s="46"/>
    </row>
    <row r="48" spans="1:5" ht="15.75">
      <c r="A48" s="144" t="str">
        <f>CONCATENATE("the ",D9-1," Budget, Budget Summary Page:")</f>
        <v>the 2014 Budget, Budget Summary Page:</v>
      </c>
      <c r="B48" s="161"/>
      <c r="C48" s="46"/>
      <c r="D48" s="791"/>
      <c r="E48" s="46"/>
    </row>
    <row r="49" spans="1:5" ht="15.75">
      <c r="A49" s="46"/>
      <c r="B49" s="71" t="str">
        <f>B20</f>
        <v>General</v>
      </c>
      <c r="C49" s="46"/>
      <c r="D49" s="776">
        <v>2.518</v>
      </c>
      <c r="E49" s="46"/>
    </row>
    <row r="50" spans="1:5" ht="15.75">
      <c r="A50" s="46"/>
      <c r="B50" s="71" t="str">
        <f>B21</f>
        <v>Debt Service</v>
      </c>
      <c r="C50" s="46"/>
      <c r="D50" s="162">
        <v>0</v>
      </c>
      <c r="E50" s="46"/>
    </row>
    <row r="51" spans="1:5" ht="15.75">
      <c r="A51" s="46"/>
      <c r="B51" s="71" t="str">
        <f>B22</f>
        <v>Library</v>
      </c>
      <c r="C51" s="46"/>
      <c r="D51" s="162">
        <v>0.66</v>
      </c>
      <c r="E51" s="46"/>
    </row>
    <row r="52" spans="1:5" ht="15.75">
      <c r="A52" s="46"/>
      <c r="B52" s="71" t="str">
        <f aca="true" t="shared" si="0" ref="B52:B59">B23</f>
        <v>Road</v>
      </c>
      <c r="C52" s="46"/>
      <c r="D52" s="162">
        <v>10.558</v>
      </c>
      <c r="E52" s="46"/>
    </row>
    <row r="53" spans="1:5" ht="15.75">
      <c r="A53" s="46"/>
      <c r="B53" s="85" t="str">
        <f t="shared" si="0"/>
        <v>Special Road</v>
      </c>
      <c r="C53" s="46"/>
      <c r="D53" s="162">
        <v>0</v>
      </c>
      <c r="E53" s="46"/>
    </row>
    <row r="54" spans="1:5" ht="15.75">
      <c r="A54" s="46"/>
      <c r="B54" s="85" t="str">
        <f t="shared" si="0"/>
        <v>Noxious Weed</v>
      </c>
      <c r="C54" s="46"/>
      <c r="D54" s="162">
        <v>0</v>
      </c>
      <c r="E54" s="46"/>
    </row>
    <row r="55" spans="1:5" ht="15.75">
      <c r="A55" s="46"/>
      <c r="B55" s="85" t="str">
        <f t="shared" si="0"/>
        <v>Fire Protection</v>
      </c>
      <c r="C55" s="46"/>
      <c r="D55" s="162">
        <v>0</v>
      </c>
      <c r="E55" s="46"/>
    </row>
    <row r="56" spans="1:5" ht="15.75">
      <c r="A56" s="46"/>
      <c r="B56" s="85" t="str">
        <f t="shared" si="0"/>
        <v>Cemetery</v>
      </c>
      <c r="C56" s="46"/>
      <c r="D56" s="162">
        <v>0.465</v>
      </c>
      <c r="E56" s="46"/>
    </row>
    <row r="57" spans="1:5" ht="15.75">
      <c r="A57" s="46"/>
      <c r="B57" s="85" t="str">
        <f t="shared" si="0"/>
        <v>Township Hall</v>
      </c>
      <c r="C57" s="46"/>
      <c r="D57" s="162">
        <v>1.614</v>
      </c>
      <c r="E57" s="46"/>
    </row>
    <row r="58" spans="1:5" ht="15.75">
      <c r="A58" s="46"/>
      <c r="B58" s="85">
        <f t="shared" si="0"/>
        <v>0</v>
      </c>
      <c r="C58" s="46"/>
      <c r="D58" s="162"/>
      <c r="E58" s="46"/>
    </row>
    <row r="59" spans="1:5" ht="15.75">
      <c r="A59" s="46"/>
      <c r="B59" s="85">
        <f t="shared" si="0"/>
        <v>0</v>
      </c>
      <c r="C59" s="46"/>
      <c r="D59" s="162"/>
      <c r="E59" s="46"/>
    </row>
    <row r="60" spans="1:5" ht="15.75">
      <c r="A60" s="46"/>
      <c r="B60" s="85">
        <f>B31</f>
        <v>0</v>
      </c>
      <c r="C60" s="46"/>
      <c r="D60" s="162"/>
      <c r="E60" s="46"/>
    </row>
    <row r="61" spans="1:5" ht="16.5" thickBot="1">
      <c r="A61" s="58" t="str">
        <f>CONCATENATE("Total ",D9-3," Tax Levy Rate")</f>
        <v>Total 2012 Tax Levy Rate</v>
      </c>
      <c r="B61" s="163"/>
      <c r="C61" s="70"/>
      <c r="D61" s="164">
        <f>SUM(D49:D60)</f>
        <v>15.815000000000001</v>
      </c>
      <c r="E61" s="46"/>
    </row>
    <row r="62" spans="1:5" ht="16.5" thickTop="1">
      <c r="A62" s="46"/>
      <c r="B62" s="46"/>
      <c r="C62" s="46"/>
      <c r="D62" s="46"/>
      <c r="E62" s="46"/>
    </row>
    <row r="63" spans="1:5" ht="15.75">
      <c r="A63" s="165" t="str">
        <f>CONCATENATE("Total Tax Levy (",D9-2," budget column)")</f>
        <v>Total Tax Levy (2013 budget column)</v>
      </c>
      <c r="B63" s="142"/>
      <c r="C63" s="52"/>
      <c r="D63" s="52"/>
      <c r="E63" s="777">
        <v>55246</v>
      </c>
    </row>
    <row r="64" spans="1:5" ht="15.75">
      <c r="A64" s="165" t="str">
        <f>CONCATENATE("Assessed Valuation (",D9-2," budget column):")</f>
        <v>Assessed Valuation (2013 budget column):</v>
      </c>
      <c r="B64" s="142"/>
      <c r="C64" s="46"/>
      <c r="D64" s="46"/>
      <c r="E64" s="777">
        <v>4031603</v>
      </c>
    </row>
    <row r="65" spans="1:5" ht="15.75">
      <c r="A65" s="46"/>
      <c r="B65" s="46"/>
      <c r="C65" s="46"/>
      <c r="D65" s="46"/>
      <c r="E65" s="166"/>
    </row>
    <row r="66" spans="1:5" ht="15.75">
      <c r="A66" s="167" t="s">
        <v>140</v>
      </c>
      <c r="B66" s="167"/>
      <c r="C66" s="168"/>
      <c r="D66" s="169">
        <f>D9-3</f>
        <v>2012</v>
      </c>
      <c r="E66" s="169">
        <f>D9-2</f>
        <v>2013</v>
      </c>
    </row>
    <row r="67" spans="1:5" ht="15.75">
      <c r="A67" s="167" t="s">
        <v>89</v>
      </c>
      <c r="B67" s="167"/>
      <c r="C67" s="170"/>
      <c r="D67" s="159">
        <v>0</v>
      </c>
      <c r="E67" s="159">
        <v>0</v>
      </c>
    </row>
    <row r="68" spans="1:5" ht="15.75">
      <c r="A68" s="171" t="s">
        <v>136</v>
      </c>
      <c r="B68" s="171"/>
      <c r="C68" s="172"/>
      <c r="D68" s="159">
        <v>0</v>
      </c>
      <c r="E68" s="159">
        <v>0</v>
      </c>
    </row>
    <row r="69" spans="1:5" ht="15.75">
      <c r="A69" s="171" t="s">
        <v>90</v>
      </c>
      <c r="B69" s="171"/>
      <c r="C69" s="172"/>
      <c r="D69" s="159">
        <v>0</v>
      </c>
      <c r="E69" s="159">
        <v>4845</v>
      </c>
    </row>
    <row r="70" spans="1:5" ht="15.75">
      <c r="A70" s="171"/>
      <c r="B70" s="171"/>
      <c r="C70" s="173"/>
      <c r="D70" s="159"/>
      <c r="E70" s="159"/>
    </row>
    <row r="71" spans="1:5" ht="15.75">
      <c r="A71" s="89"/>
      <c r="B71" s="89"/>
      <c r="C71" s="89"/>
      <c r="D71" s="89"/>
      <c r="E71" s="89"/>
    </row>
    <row r="72" spans="1:5" ht="15.75">
      <c r="A72" s="89"/>
      <c r="B72" s="89"/>
      <c r="C72" s="89"/>
      <c r="D72" s="89"/>
      <c r="E72" s="89"/>
    </row>
    <row r="73" spans="1:5" ht="15.75">
      <c r="A73" s="89"/>
      <c r="B73" s="89"/>
      <c r="C73" s="89"/>
      <c r="D73" s="89"/>
      <c r="E73" s="89"/>
    </row>
    <row r="74" spans="1:5" ht="15.75">
      <c r="A74" s="89"/>
      <c r="B74" s="89"/>
      <c r="C74" s="89"/>
      <c r="D74" s="89"/>
      <c r="E74" s="89"/>
    </row>
    <row r="75" spans="1:5" ht="15.75">
      <c r="A75" s="89"/>
      <c r="B75" s="89"/>
      <c r="C75" s="89"/>
      <c r="D75" s="89"/>
      <c r="E75" s="89"/>
    </row>
    <row r="76" spans="1:5" ht="15.75">
      <c r="A76" s="89"/>
      <c r="B76" s="89"/>
      <c r="C76" s="89"/>
      <c r="D76" s="89"/>
      <c r="E76" s="89"/>
    </row>
    <row r="77" spans="1:5" ht="15.75">
      <c r="A77" s="89"/>
      <c r="B77" s="89"/>
      <c r="C77" s="89"/>
      <c r="D77" s="89"/>
      <c r="E77" s="89"/>
    </row>
    <row r="78" spans="1:5" ht="15.75">
      <c r="A78" s="89"/>
      <c r="B78" s="89"/>
      <c r="C78" s="89"/>
      <c r="D78" s="89"/>
      <c r="E78" s="89"/>
    </row>
    <row r="79" spans="1:5" ht="15.75">
      <c r="A79" s="89"/>
      <c r="B79" s="89"/>
      <c r="C79" s="89"/>
      <c r="D79" s="89"/>
      <c r="E79" s="89"/>
    </row>
    <row r="80" spans="1:5" ht="15.75">
      <c r="A80" s="89"/>
      <c r="B80" s="89"/>
      <c r="C80" s="89"/>
      <c r="D80" s="89"/>
      <c r="E80" s="89"/>
    </row>
    <row r="81" spans="1:5" s="174" customFormat="1" ht="15.75">
      <c r="A81" s="89"/>
      <c r="B81" s="89"/>
      <c r="C81" s="89"/>
      <c r="D81" s="89"/>
      <c r="E81" s="89"/>
    </row>
    <row r="82" spans="1:5" ht="15.75">
      <c r="A82" s="89"/>
      <c r="B82" s="89"/>
      <c r="C82" s="89"/>
      <c r="D82" s="89"/>
      <c r="E82" s="89"/>
    </row>
    <row r="83" spans="1:5" ht="15.75">
      <c r="A83" s="89"/>
      <c r="B83" s="89"/>
      <c r="C83" s="89"/>
      <c r="D83" s="89"/>
      <c r="E83" s="89"/>
    </row>
    <row r="84" spans="1:5" ht="15.75">
      <c r="A84" s="89"/>
      <c r="B84" s="89"/>
      <c r="C84" s="89"/>
      <c r="D84" s="89"/>
      <c r="E84" s="89"/>
    </row>
    <row r="85" spans="1:5" ht="15.75">
      <c r="A85" s="89"/>
      <c r="B85" s="89"/>
      <c r="C85" s="89"/>
      <c r="D85" s="89"/>
      <c r="E85" s="89"/>
    </row>
    <row r="86" spans="1:5" ht="15.75">
      <c r="A86" s="89"/>
      <c r="B86" s="89"/>
      <c r="C86" s="89"/>
      <c r="D86" s="89"/>
      <c r="E86" s="89"/>
    </row>
    <row r="87" spans="1:5" ht="15.75">
      <c r="A87" s="89"/>
      <c r="B87" s="89"/>
      <c r="C87" s="89"/>
      <c r="D87" s="89"/>
      <c r="E87" s="89"/>
    </row>
    <row r="88" spans="1:5" ht="15.75">
      <c r="A88" s="89"/>
      <c r="B88" s="89"/>
      <c r="C88" s="89"/>
      <c r="D88" s="89"/>
      <c r="E88" s="89"/>
    </row>
    <row r="89" spans="1:5" ht="15.75">
      <c r="A89" s="89"/>
      <c r="B89" s="89"/>
      <c r="C89" s="89"/>
      <c r="D89" s="89"/>
      <c r="E89" s="89"/>
    </row>
    <row r="90" spans="1:5" ht="15.75">
      <c r="A90" s="89"/>
      <c r="B90" s="89"/>
      <c r="C90" s="89"/>
      <c r="D90" s="89"/>
      <c r="E90" s="89"/>
    </row>
    <row r="91" spans="1:7" s="93" customFormat="1" ht="15.75">
      <c r="A91" s="89"/>
      <c r="B91" s="89"/>
      <c r="C91" s="89"/>
      <c r="D91" s="89"/>
      <c r="E91" s="89"/>
      <c r="G91" s="135"/>
    </row>
    <row r="92" spans="1:7" s="93" customFormat="1" ht="15.75">
      <c r="A92" s="89"/>
      <c r="B92" s="89"/>
      <c r="C92" s="89"/>
      <c r="D92" s="89"/>
      <c r="E92" s="89"/>
      <c r="G92" s="135"/>
    </row>
    <row r="93" spans="1:5" ht="15.75">
      <c r="A93" s="89"/>
      <c r="B93" s="89"/>
      <c r="C93" s="89"/>
      <c r="D93" s="89"/>
      <c r="E93" s="89"/>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5" sqref="C25"/>
    </sheetView>
  </sheetViews>
  <sheetFormatPr defaultColWidth="8.796875" defaultRowHeight="15.75"/>
  <cols>
    <col min="1" max="1" width="2.3984375" style="93" customWidth="1"/>
    <col min="2" max="2" width="31" style="93" customWidth="1"/>
    <col min="3" max="5" width="14.19921875" style="93" customWidth="1"/>
    <col min="6" max="16384" width="8.796875" style="93" customWidth="1"/>
  </cols>
  <sheetData>
    <row r="1" spans="2:5" ht="15.75">
      <c r="B1" s="200" t="str">
        <f>inputPrYr!D3</f>
        <v>VIOLA TOWNSHIP</v>
      </c>
      <c r="C1" s="46"/>
      <c r="D1" s="46"/>
      <c r="E1" s="201">
        <f>inputPrYr!D9</f>
        <v>2015</v>
      </c>
    </row>
    <row r="2" spans="2:5" ht="15.75">
      <c r="B2" s="46"/>
      <c r="C2" s="46"/>
      <c r="D2" s="46"/>
      <c r="E2" s="187"/>
    </row>
    <row r="3" spans="2:5" ht="15.75">
      <c r="B3" s="137" t="s">
        <v>70</v>
      </c>
      <c r="C3" s="51"/>
      <c r="D3" s="51"/>
      <c r="E3" s="51"/>
    </row>
    <row r="4" spans="2:5" ht="15.75">
      <c r="B4" s="53" t="s">
        <v>246</v>
      </c>
      <c r="C4" s="181" t="s">
        <v>247</v>
      </c>
      <c r="D4" s="55" t="s">
        <v>248</v>
      </c>
      <c r="E4" s="55" t="s">
        <v>249</v>
      </c>
    </row>
    <row r="5" spans="2:5" ht="15.75">
      <c r="B5" s="452">
        <f>inputPrYr!B35</f>
        <v>0</v>
      </c>
      <c r="C5" s="60" t="str">
        <f>gen!C5</f>
        <v>Actual for 2013</v>
      </c>
      <c r="D5" s="60" t="str">
        <f>gen!D5</f>
        <v>Estimate for 2014</v>
      </c>
      <c r="E5" s="60" t="str">
        <f>gen!E5</f>
        <v>Year for 2015</v>
      </c>
    </row>
    <row r="6" spans="2:5" ht="15.75">
      <c r="B6" s="305" t="s">
        <v>71</v>
      </c>
      <c r="C6" s="149"/>
      <c r="D6" s="236">
        <f>C29</f>
        <v>0</v>
      </c>
      <c r="E6" s="236">
        <f>D29</f>
        <v>0</v>
      </c>
    </row>
    <row r="7" spans="2:5" s="135" customFormat="1" ht="15.75">
      <c r="B7" s="306" t="s">
        <v>62</v>
      </c>
      <c r="C7" s="71"/>
      <c r="D7" s="71"/>
      <c r="E7" s="71"/>
    </row>
    <row r="8" spans="2:5" ht="15.75">
      <c r="B8" s="287"/>
      <c r="C8" s="149"/>
      <c r="D8" s="149"/>
      <c r="E8" s="149"/>
    </row>
    <row r="9" spans="2:5" ht="15.75">
      <c r="B9" s="287"/>
      <c r="C9" s="149"/>
      <c r="D9" s="149"/>
      <c r="E9" s="149"/>
    </row>
    <row r="10" spans="2:5" ht="15.75">
      <c r="B10" s="287"/>
      <c r="C10" s="149"/>
      <c r="D10" s="149"/>
      <c r="E10" s="149"/>
    </row>
    <row r="11" spans="2:5" ht="15.75">
      <c r="B11" s="287"/>
      <c r="C11" s="149"/>
      <c r="D11" s="149"/>
      <c r="E11" s="149"/>
    </row>
    <row r="12" spans="2:5" ht="15.75">
      <c r="B12" s="307" t="s">
        <v>258</v>
      </c>
      <c r="C12" s="149"/>
      <c r="D12" s="149"/>
      <c r="E12" s="149"/>
    </row>
    <row r="13" spans="2:5" ht="15.75">
      <c r="B13" s="289" t="s">
        <v>204</v>
      </c>
      <c r="C13" s="149"/>
      <c r="D13" s="284"/>
      <c r="E13" s="284"/>
    </row>
    <row r="14" spans="2:5" ht="15.75">
      <c r="B14" s="289" t="s">
        <v>205</v>
      </c>
      <c r="C14" s="293">
        <f>IF(C15*0.1&lt;C13,"Exceed 10% Rule","")</f>
      </c>
      <c r="D14" s="290">
        <f>IF(D15*0.1&lt;D13,"Exceed 10% Rule","")</f>
      </c>
      <c r="E14" s="290">
        <f>IF(E15*0.1&lt;E13,"Exceed 10% Rule","")</f>
      </c>
    </row>
    <row r="15" spans="2:5" ht="15.75">
      <c r="B15" s="79" t="s">
        <v>259</v>
      </c>
      <c r="C15" s="292">
        <f>SUM(C8:C13)</f>
        <v>0</v>
      </c>
      <c r="D15" s="292">
        <f>SUM(D8:D13)</f>
        <v>0</v>
      </c>
      <c r="E15" s="292">
        <f>SUM(E8:E13)</f>
        <v>0</v>
      </c>
    </row>
    <row r="16" spans="2:5" ht="15.75">
      <c r="B16" s="79" t="s">
        <v>260</v>
      </c>
      <c r="C16" s="301">
        <f>C6+C15</f>
        <v>0</v>
      </c>
      <c r="D16" s="301">
        <f>D6+D15</f>
        <v>0</v>
      </c>
      <c r="E16" s="301">
        <f>E6+E15</f>
        <v>0</v>
      </c>
    </row>
    <row r="17" spans="2:5" ht="15.75">
      <c r="B17" s="61" t="s">
        <v>261</v>
      </c>
      <c r="C17" s="236"/>
      <c r="D17" s="236"/>
      <c r="E17" s="236"/>
    </row>
    <row r="18" spans="2:5" ht="15.75">
      <c r="B18" s="287"/>
      <c r="C18" s="149"/>
      <c r="D18" s="149"/>
      <c r="E18" s="149"/>
    </row>
    <row r="19" spans="2:5" ht="15.75">
      <c r="B19" s="287"/>
      <c r="C19" s="149"/>
      <c r="D19" s="149"/>
      <c r="E19" s="149"/>
    </row>
    <row r="20" spans="2:5" ht="15.75">
      <c r="B20" s="287"/>
      <c r="C20" s="149"/>
      <c r="D20" s="149"/>
      <c r="E20" s="149"/>
    </row>
    <row r="21" spans="2:5" ht="15.75">
      <c r="B21" s="287"/>
      <c r="C21" s="149"/>
      <c r="D21" s="149"/>
      <c r="E21" s="149"/>
    </row>
    <row r="22" spans="2:5" ht="15.75">
      <c r="B22" s="287"/>
      <c r="C22" s="149"/>
      <c r="D22" s="149"/>
      <c r="E22" s="149"/>
    </row>
    <row r="23" spans="2:5" ht="15.75">
      <c r="B23" s="287"/>
      <c r="C23" s="149"/>
      <c r="D23" s="149"/>
      <c r="E23" s="149"/>
    </row>
    <row r="24" spans="2:5" ht="15.75">
      <c r="B24" s="287"/>
      <c r="C24" s="149"/>
      <c r="D24" s="149"/>
      <c r="E24" s="149"/>
    </row>
    <row r="25" spans="2:5" ht="15.75">
      <c r="B25" s="287"/>
      <c r="C25" s="149"/>
      <c r="D25" s="149"/>
      <c r="E25" s="149"/>
    </row>
    <row r="26" spans="2:5" ht="15.75">
      <c r="B26" s="286" t="s">
        <v>204</v>
      </c>
      <c r="C26" s="149"/>
      <c r="D26" s="284"/>
      <c r="E26" s="284"/>
    </row>
    <row r="27" spans="2:5" ht="15.75">
      <c r="B27" s="286" t="s">
        <v>694</v>
      </c>
      <c r="C27" s="293">
        <f>IF(C28*0.1&lt;C26,"Exceed 10% Rule","")</f>
      </c>
      <c r="D27" s="290">
        <f>IF(D28*0.1&lt;D26,"Exceed 10% Rule","")</f>
      </c>
      <c r="E27" s="290">
        <f>IF(E28*0.1&lt;E26,"Exceed 10% Rule","")</f>
      </c>
    </row>
    <row r="28" spans="2:5" ht="15.75">
      <c r="B28" s="79" t="s">
        <v>262</v>
      </c>
      <c r="C28" s="292">
        <f>SUM(C18:C26)</f>
        <v>0</v>
      </c>
      <c r="D28" s="292">
        <f>SUM(D18:D26)</f>
        <v>0</v>
      </c>
      <c r="E28" s="292">
        <f>SUM(E18:E26)</f>
        <v>0</v>
      </c>
    </row>
    <row r="29" spans="2:5" ht="15.75">
      <c r="B29" s="61" t="s">
        <v>61</v>
      </c>
      <c r="C29" s="160">
        <f>C16-C28</f>
        <v>0</v>
      </c>
      <c r="D29" s="160">
        <f>D16-D28</f>
        <v>0</v>
      </c>
      <c r="E29" s="160">
        <f>E16-E28</f>
        <v>0</v>
      </c>
    </row>
    <row r="30" spans="2:5" ht="15.75">
      <c r="B30" s="96" t="str">
        <f>CONCATENATE("",E1-2,"/",E1-1,"/",E1," Budget Authority Amount:")</f>
        <v>2013/2014/2015 Budget Authority Amount:</v>
      </c>
      <c r="C30" s="715">
        <f>inputOth!B95</f>
        <v>0</v>
      </c>
      <c r="D30" s="715">
        <f>inputPrYr!D35</f>
        <v>0</v>
      </c>
      <c r="E30" s="719">
        <f>E28</f>
        <v>0</v>
      </c>
    </row>
    <row r="31" spans="2:5" ht="15.75">
      <c r="B31" s="97"/>
      <c r="C31" s="295">
        <f>IF(C28&gt;C30,"See Tab A","")</f>
      </c>
      <c r="D31" s="295">
        <f>IF(D28&gt;D30,"See Tab C","")</f>
      </c>
      <c r="E31" s="720">
        <f>IF(E29&lt;0,"See Tab E","")</f>
      </c>
    </row>
    <row r="32" spans="2:5" ht="15.75">
      <c r="B32" s="97"/>
      <c r="C32" s="295">
        <f>IF(C29&lt;0,"See Tab B","")</f>
      </c>
      <c r="D32" s="166"/>
      <c r="E32" s="166"/>
    </row>
    <row r="33" spans="2:5" ht="15.75">
      <c r="B33" s="46"/>
      <c r="C33" s="166"/>
      <c r="D33" s="166"/>
      <c r="E33" s="166"/>
    </row>
    <row r="34" spans="2:5" ht="15.75">
      <c r="B34" s="53" t="s">
        <v>246</v>
      </c>
      <c r="C34" s="51"/>
      <c r="D34" s="51"/>
      <c r="E34" s="51"/>
    </row>
    <row r="35" spans="2:5" ht="15.75">
      <c r="B35" s="46"/>
      <c r="C35" s="181" t="s">
        <v>247</v>
      </c>
      <c r="D35" s="55" t="s">
        <v>248</v>
      </c>
      <c r="E35" s="55" t="s">
        <v>249</v>
      </c>
    </row>
    <row r="36" spans="2:5" ht="15.75">
      <c r="B36" s="453">
        <f>inputPrYr!B36</f>
        <v>0</v>
      </c>
      <c r="C36" s="60" t="str">
        <f>C5</f>
        <v>Actual for 2013</v>
      </c>
      <c r="D36" s="60" t="str">
        <f>D5</f>
        <v>Estimate for 2014</v>
      </c>
      <c r="E36" s="60" t="str">
        <f>E5</f>
        <v>Year for 2015</v>
      </c>
    </row>
    <row r="37" spans="2:5" ht="15.75">
      <c r="B37" s="305" t="s">
        <v>71</v>
      </c>
      <c r="C37" s="149"/>
      <c r="D37" s="236">
        <f>C60</f>
        <v>0</v>
      </c>
      <c r="E37" s="236">
        <f>D60</f>
        <v>0</v>
      </c>
    </row>
    <row r="38" spans="2:5" s="135" customFormat="1" ht="15.75">
      <c r="B38" s="305" t="s">
        <v>62</v>
      </c>
      <c r="C38" s="71"/>
      <c r="D38" s="71"/>
      <c r="E38" s="71"/>
    </row>
    <row r="39" spans="2:5" ht="15.75">
      <c r="B39" s="287"/>
      <c r="C39" s="149"/>
      <c r="D39" s="149"/>
      <c r="E39" s="149"/>
    </row>
    <row r="40" spans="2:5" ht="15.75">
      <c r="B40" s="287"/>
      <c r="C40" s="149"/>
      <c r="D40" s="149"/>
      <c r="E40" s="149"/>
    </row>
    <row r="41" spans="2:5" ht="15.75">
      <c r="B41" s="287"/>
      <c r="C41" s="149"/>
      <c r="D41" s="149"/>
      <c r="E41" s="149"/>
    </row>
    <row r="42" spans="2:5" ht="15.75">
      <c r="B42" s="287"/>
      <c r="C42" s="149"/>
      <c r="D42" s="149"/>
      <c r="E42" s="149"/>
    </row>
    <row r="43" spans="2:5" ht="15.75">
      <c r="B43" s="307" t="s">
        <v>258</v>
      </c>
      <c r="C43" s="149"/>
      <c r="D43" s="149"/>
      <c r="E43" s="149"/>
    </row>
    <row r="44" spans="2:5" ht="15.75">
      <c r="B44" s="289" t="s">
        <v>204</v>
      </c>
      <c r="C44" s="149"/>
      <c r="D44" s="284"/>
      <c r="E44" s="284"/>
    </row>
    <row r="45" spans="2:5" ht="15.75">
      <c r="B45" s="289" t="s">
        <v>205</v>
      </c>
      <c r="C45" s="293">
        <f>IF(C46*0.1&lt;C44,"Exceed 10% Rule","")</f>
      </c>
      <c r="D45" s="290">
        <f>IF(D46*0.1&lt;D44,"Exceed 10% Rule","")</f>
      </c>
      <c r="E45" s="290">
        <f>IF(E46*0.1&lt;E44,"Exceed 10% Rule","")</f>
      </c>
    </row>
    <row r="46" spans="2:5" ht="15.75">
      <c r="B46" s="79" t="s">
        <v>259</v>
      </c>
      <c r="C46" s="292">
        <f>SUM(C39:C44)</f>
        <v>0</v>
      </c>
      <c r="D46" s="292">
        <f>SUM(D39:D44)</f>
        <v>0</v>
      </c>
      <c r="E46" s="292">
        <f>SUM(E39:E44)</f>
        <v>0</v>
      </c>
    </row>
    <row r="47" spans="2:5" ht="15.75">
      <c r="B47" s="79" t="s">
        <v>260</v>
      </c>
      <c r="C47" s="292">
        <f>C37+C46</f>
        <v>0</v>
      </c>
      <c r="D47" s="292">
        <f>D37+D46</f>
        <v>0</v>
      </c>
      <c r="E47" s="292">
        <f>E37+E46</f>
        <v>0</v>
      </c>
    </row>
    <row r="48" spans="2:5" ht="15.75">
      <c r="B48" s="61" t="s">
        <v>261</v>
      </c>
      <c r="C48" s="236"/>
      <c r="D48" s="236"/>
      <c r="E48" s="236"/>
    </row>
    <row r="49" spans="2:5" ht="15.75">
      <c r="B49" s="287"/>
      <c r="C49" s="149"/>
      <c r="D49" s="149"/>
      <c r="E49" s="149"/>
    </row>
    <row r="50" spans="2:5" ht="15.75">
      <c r="B50" s="287"/>
      <c r="C50" s="149"/>
      <c r="D50" s="149"/>
      <c r="E50" s="149"/>
    </row>
    <row r="51" spans="2:5" ht="15.75">
      <c r="B51" s="287"/>
      <c r="C51" s="149"/>
      <c r="D51" s="149"/>
      <c r="E51" s="149"/>
    </row>
    <row r="52" spans="2:5" ht="15.75">
      <c r="B52" s="287"/>
      <c r="C52" s="149"/>
      <c r="D52" s="149"/>
      <c r="E52" s="149"/>
    </row>
    <row r="53" spans="2:5" ht="15.75">
      <c r="B53" s="287"/>
      <c r="C53" s="149"/>
      <c r="D53" s="149"/>
      <c r="E53" s="149"/>
    </row>
    <row r="54" spans="2:5" ht="15.75">
      <c r="B54" s="287"/>
      <c r="C54" s="149"/>
      <c r="D54" s="149"/>
      <c r="E54" s="149"/>
    </row>
    <row r="55" spans="2:5" ht="15.75">
      <c r="B55" s="287"/>
      <c r="C55" s="149"/>
      <c r="D55" s="149"/>
      <c r="E55" s="149"/>
    </row>
    <row r="56" spans="2:5" ht="15.75">
      <c r="B56" s="287"/>
      <c r="C56" s="149"/>
      <c r="D56" s="149"/>
      <c r="E56" s="149"/>
    </row>
    <row r="57" spans="2:5" ht="15.75">
      <c r="B57" s="286" t="s">
        <v>204</v>
      </c>
      <c r="C57" s="149"/>
      <c r="D57" s="284"/>
      <c r="E57" s="284"/>
    </row>
    <row r="58" spans="2:5" ht="15.75">
      <c r="B58" s="286" t="s">
        <v>694</v>
      </c>
      <c r="C58" s="293">
        <f>IF(C59*0.1&lt;C57,"Exceed 10% Rule","")</f>
      </c>
      <c r="D58" s="290">
        <f>IF(D59*0.1&lt;D57,"Exceed 10% Rule","")</f>
      </c>
      <c r="E58" s="290">
        <f>IF(E59*0.1&lt;E57,"Exceed 10% Rule","")</f>
      </c>
    </row>
    <row r="59" spans="2:5" ht="15.75">
      <c r="B59" s="79" t="s">
        <v>262</v>
      </c>
      <c r="C59" s="292">
        <f>SUM(C49:C57)</f>
        <v>0</v>
      </c>
      <c r="D59" s="292">
        <f>SUM(D49:D57)</f>
        <v>0</v>
      </c>
      <c r="E59" s="292">
        <f>SUM(E49:E57)</f>
        <v>0</v>
      </c>
    </row>
    <row r="60" spans="2:5" ht="15.75">
      <c r="B60" s="61" t="s">
        <v>61</v>
      </c>
      <c r="C60" s="160">
        <f>C47-C59</f>
        <v>0</v>
      </c>
      <c r="D60" s="160">
        <f>D47-D59</f>
        <v>0</v>
      </c>
      <c r="E60" s="160">
        <f>E47-E59</f>
        <v>0</v>
      </c>
    </row>
    <row r="61" spans="2:5" ht="15.75">
      <c r="B61" s="96" t="str">
        <f>CONCATENATE("",E1-2,"/",E1-1,"/",E1," Budget Authority Amount:")</f>
        <v>2013/2014/2015 Budget Authority Amount:</v>
      </c>
      <c r="C61" s="715">
        <f>inputOth!B96</f>
        <v>0</v>
      </c>
      <c r="D61" s="715">
        <f>inputPrYr!D36</f>
        <v>0</v>
      </c>
      <c r="E61" s="719">
        <f>E59</f>
        <v>0</v>
      </c>
    </row>
    <row r="62" spans="2:5" ht="15.75">
      <c r="B62" s="97"/>
      <c r="C62" s="295">
        <f>IF(C59&gt;C61,"See Tab A","")</f>
      </c>
      <c r="D62" s="295">
        <f>IF(D59&gt;D61,"See Tab C","")</f>
      </c>
      <c r="E62" s="721">
        <f>IF(E60&lt;0,"See Tab E","")</f>
      </c>
    </row>
    <row r="63" spans="2:5" ht="15.75">
      <c r="B63" s="97"/>
      <c r="C63" s="295">
        <f>IF(C60&lt;0,"See Tab B","")</f>
      </c>
      <c r="D63" s="325">
        <f>IF(D60&lt;0,"See Tab D","")</f>
      </c>
      <c r="E63" s="46"/>
    </row>
    <row r="64" spans="2:5" ht="15.75">
      <c r="B64" s="46"/>
      <c r="C64" s="46"/>
      <c r="D64" s="46"/>
      <c r="E64" s="46"/>
    </row>
    <row r="65" spans="2:5" ht="15.75">
      <c r="B65" s="187" t="s">
        <v>245</v>
      </c>
      <c r="C65" s="132"/>
      <c r="D65" s="46"/>
      <c r="E65" s="46"/>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5" sqref="C25"/>
    </sheetView>
  </sheetViews>
  <sheetFormatPr defaultColWidth="8.796875" defaultRowHeight="15.75"/>
  <cols>
    <col min="1" max="1" width="2.3984375" style="93" customWidth="1"/>
    <col min="2" max="2" width="31" style="93" customWidth="1"/>
    <col min="3" max="5" width="14.19921875" style="93" customWidth="1"/>
    <col min="6" max="16384" width="8.796875" style="93" customWidth="1"/>
  </cols>
  <sheetData>
    <row r="1" spans="2:5" ht="15.75">
      <c r="B1" s="200" t="str">
        <f>inputPrYr!D3</f>
        <v>VIOLA TOWNSHIP</v>
      </c>
      <c r="C1" s="46"/>
      <c r="D1" s="46"/>
      <c r="E1" s="201">
        <f>inputPrYr!D9</f>
        <v>2015</v>
      </c>
    </row>
    <row r="2" spans="2:5" ht="15.75">
      <c r="B2" s="46"/>
      <c r="C2" s="46"/>
      <c r="D2" s="46"/>
      <c r="E2" s="187"/>
    </row>
    <row r="3" spans="2:5" ht="15.75">
      <c r="B3" s="137" t="s">
        <v>70</v>
      </c>
      <c r="C3" s="51"/>
      <c r="D3" s="51"/>
      <c r="E3" s="51"/>
    </row>
    <row r="4" spans="2:5" ht="15.75">
      <c r="B4" s="53" t="s">
        <v>246</v>
      </c>
      <c r="C4" s="181" t="s">
        <v>247</v>
      </c>
      <c r="D4" s="55" t="s">
        <v>248</v>
      </c>
      <c r="E4" s="55" t="s">
        <v>249</v>
      </c>
    </row>
    <row r="5" spans="2:5" ht="15.75">
      <c r="B5" s="156">
        <f>inputPrYr!B37</f>
        <v>0</v>
      </c>
      <c r="C5" s="60" t="str">
        <f>gen!C5</f>
        <v>Actual for 2013</v>
      </c>
      <c r="D5" s="60" t="str">
        <f>gen!D5</f>
        <v>Estimate for 2014</v>
      </c>
      <c r="E5" s="60" t="str">
        <f>gen!E5</f>
        <v>Year for 2015</v>
      </c>
    </row>
    <row r="6" spans="2:5" ht="15.75">
      <c r="B6" s="305" t="s">
        <v>71</v>
      </c>
      <c r="C6" s="149"/>
      <c r="D6" s="236">
        <f>C29</f>
        <v>0</v>
      </c>
      <c r="E6" s="236">
        <f>D29</f>
        <v>0</v>
      </c>
    </row>
    <row r="7" spans="2:5" s="135" customFormat="1" ht="15.75">
      <c r="B7" s="306" t="s">
        <v>62</v>
      </c>
      <c r="C7" s="71"/>
      <c r="D7" s="71"/>
      <c r="E7" s="71"/>
    </row>
    <row r="8" spans="2:5" ht="15.75">
      <c r="B8" s="287"/>
      <c r="C8" s="149"/>
      <c r="D8" s="149"/>
      <c r="E8" s="149"/>
    </row>
    <row r="9" spans="2:5" ht="15.75">
      <c r="B9" s="287"/>
      <c r="C9" s="149"/>
      <c r="D9" s="149"/>
      <c r="E9" s="149"/>
    </row>
    <row r="10" spans="2:5" ht="15.75">
      <c r="B10" s="287"/>
      <c r="C10" s="149"/>
      <c r="D10" s="149"/>
      <c r="E10" s="149"/>
    </row>
    <row r="11" spans="2:5" ht="15.75">
      <c r="B11" s="287"/>
      <c r="C11" s="149"/>
      <c r="D11" s="149"/>
      <c r="E11" s="149"/>
    </row>
    <row r="12" spans="2:5" ht="15.75">
      <c r="B12" s="307" t="s">
        <v>258</v>
      </c>
      <c r="C12" s="149"/>
      <c r="D12" s="149"/>
      <c r="E12" s="149"/>
    </row>
    <row r="13" spans="2:5" ht="15.75">
      <c r="B13" s="289" t="s">
        <v>204</v>
      </c>
      <c r="C13" s="149"/>
      <c r="D13" s="284"/>
      <c r="E13" s="284"/>
    </row>
    <row r="14" spans="2:5" ht="15.75">
      <c r="B14" s="289" t="s">
        <v>205</v>
      </c>
      <c r="C14" s="293">
        <f>IF(C15*0.1&lt;C13,"Exceed 10% Rule","")</f>
      </c>
      <c r="D14" s="290">
        <f>IF(D15*0.1&lt;D13,"Exceed 10% Rule","")</f>
      </c>
      <c r="E14" s="290">
        <f>IF(E15*0.1&lt;E13,"Exceed 10% Rule","")</f>
      </c>
    </row>
    <row r="15" spans="2:5" ht="15.75">
      <c r="B15" s="79" t="s">
        <v>259</v>
      </c>
      <c r="C15" s="292">
        <f>SUM(C8:C13)</f>
        <v>0</v>
      </c>
      <c r="D15" s="292">
        <f>SUM(D8:D13)</f>
        <v>0</v>
      </c>
      <c r="E15" s="292">
        <f>SUM(E8:E13)</f>
        <v>0</v>
      </c>
    </row>
    <row r="16" spans="2:5" ht="15.75">
      <c r="B16" s="79" t="s">
        <v>260</v>
      </c>
      <c r="C16" s="292">
        <f>C6+C15</f>
        <v>0</v>
      </c>
      <c r="D16" s="292">
        <f>D6+D15</f>
        <v>0</v>
      </c>
      <c r="E16" s="292">
        <f>E6+E15</f>
        <v>0</v>
      </c>
    </row>
    <row r="17" spans="2:5" ht="15.75">
      <c r="B17" s="61" t="s">
        <v>261</v>
      </c>
      <c r="C17" s="236"/>
      <c r="D17" s="236"/>
      <c r="E17" s="236"/>
    </row>
    <row r="18" spans="2:5" ht="15.75">
      <c r="B18" s="287"/>
      <c r="C18" s="149"/>
      <c r="D18" s="149"/>
      <c r="E18" s="149"/>
    </row>
    <row r="19" spans="2:5" ht="15.75">
      <c r="B19" s="287"/>
      <c r="C19" s="149"/>
      <c r="D19" s="149"/>
      <c r="E19" s="149"/>
    </row>
    <row r="20" spans="2:5" ht="15.75">
      <c r="B20" s="287"/>
      <c r="C20" s="149"/>
      <c r="D20" s="149"/>
      <c r="E20" s="149"/>
    </row>
    <row r="21" spans="2:5" ht="15.75">
      <c r="B21" s="287"/>
      <c r="C21" s="149"/>
      <c r="D21" s="149"/>
      <c r="E21" s="149"/>
    </row>
    <row r="22" spans="2:5" ht="15.75">
      <c r="B22" s="287"/>
      <c r="C22" s="149"/>
      <c r="D22" s="149"/>
      <c r="E22" s="149"/>
    </row>
    <row r="23" spans="2:5" ht="15.75">
      <c r="B23" s="287"/>
      <c r="C23" s="149"/>
      <c r="D23" s="149"/>
      <c r="E23" s="149"/>
    </row>
    <row r="24" spans="2:5" ht="15.75">
      <c r="B24" s="287"/>
      <c r="C24" s="149"/>
      <c r="D24" s="149"/>
      <c r="E24" s="149"/>
    </row>
    <row r="25" spans="2:5" ht="15.75">
      <c r="B25" s="287"/>
      <c r="C25" s="149"/>
      <c r="D25" s="149"/>
      <c r="E25" s="149"/>
    </row>
    <row r="26" spans="2:5" ht="15.75">
      <c r="B26" s="286" t="s">
        <v>204</v>
      </c>
      <c r="C26" s="149"/>
      <c r="D26" s="284"/>
      <c r="E26" s="284"/>
    </row>
    <row r="27" spans="2:5" ht="15.75">
      <c r="B27" s="286" t="s">
        <v>694</v>
      </c>
      <c r="C27" s="293">
        <f>IF(C28*0.1&lt;C26,"Exceed 10% Rule","")</f>
      </c>
      <c r="D27" s="290">
        <f>IF(D28*0.1&lt;D26,"Exceed 10% Rule","")</f>
      </c>
      <c r="E27" s="290">
        <f>IF(E28*0.1&lt;E26,"Exceed 10% Rule","")</f>
      </c>
    </row>
    <row r="28" spans="2:5" ht="15.75">
      <c r="B28" s="79" t="s">
        <v>262</v>
      </c>
      <c r="C28" s="292">
        <f>SUM(C18:C26)</f>
        <v>0</v>
      </c>
      <c r="D28" s="292">
        <f>SUM(D18:D26)</f>
        <v>0</v>
      </c>
      <c r="E28" s="292">
        <f>SUM(E18:E26)</f>
        <v>0</v>
      </c>
    </row>
    <row r="29" spans="2:5" ht="15.75">
      <c r="B29" s="61" t="s">
        <v>61</v>
      </c>
      <c r="C29" s="160">
        <f>C16-C28</f>
        <v>0</v>
      </c>
      <c r="D29" s="160">
        <f>D16-D28</f>
        <v>0</v>
      </c>
      <c r="E29" s="160">
        <f>E16-E28</f>
        <v>0</v>
      </c>
    </row>
    <row r="30" spans="2:5" ht="15.75">
      <c r="B30" s="96" t="str">
        <f>CONCATENATE("",E1-2,"/",E1-1,"/",E1," Budget Authority Amount:")</f>
        <v>2013/2014/2015 Budget Authority Amount:</v>
      </c>
      <c r="C30" s="715">
        <f>inputOth!B97</f>
        <v>0</v>
      </c>
      <c r="D30" s="715">
        <f>inputPrYr!D37</f>
        <v>0</v>
      </c>
      <c r="E30" s="719">
        <f>E28</f>
        <v>0</v>
      </c>
    </row>
    <row r="31" spans="2:5" ht="15.75">
      <c r="B31" s="97"/>
      <c r="C31" s="295">
        <f>IF(C28&gt;C30,"See Tab A","")</f>
      </c>
      <c r="D31" s="295">
        <f>IF(D28&gt;D30,"See Tab C","")</f>
      </c>
      <c r="E31" s="720">
        <f>IF(E29&lt;0,"See Tab E","")</f>
      </c>
    </row>
    <row r="32" spans="2:5" ht="15.75">
      <c r="B32" s="97"/>
      <c r="C32" s="295">
        <f>IF(C29&lt;0,"See Tab B","")</f>
      </c>
      <c r="D32" s="166"/>
      <c r="E32" s="166"/>
    </row>
    <row r="33" spans="2:5" ht="15.75">
      <c r="B33" s="46"/>
      <c r="C33" s="166"/>
      <c r="D33" s="166"/>
      <c r="E33" s="166"/>
    </row>
    <row r="34" spans="2:5" ht="15.75">
      <c r="B34" s="53" t="s">
        <v>246</v>
      </c>
      <c r="C34" s="51"/>
      <c r="D34" s="51"/>
      <c r="E34" s="51"/>
    </row>
    <row r="35" spans="2:5" ht="15.75">
      <c r="B35" s="46"/>
      <c r="C35" s="181" t="s">
        <v>247</v>
      </c>
      <c r="D35" s="55" t="s">
        <v>248</v>
      </c>
      <c r="E35" s="55" t="s">
        <v>249</v>
      </c>
    </row>
    <row r="36" spans="2:5" ht="15.75">
      <c r="B36" s="216">
        <f>inputPrYr!B38</f>
        <v>0</v>
      </c>
      <c r="C36" s="60" t="str">
        <f>C5</f>
        <v>Actual for 2013</v>
      </c>
      <c r="D36" s="60" t="str">
        <f>D5</f>
        <v>Estimate for 2014</v>
      </c>
      <c r="E36" s="60" t="str">
        <f>E5</f>
        <v>Year for 2015</v>
      </c>
    </row>
    <row r="37" spans="2:5" ht="15.75">
      <c r="B37" s="305" t="s">
        <v>71</v>
      </c>
      <c r="C37" s="149"/>
      <c r="D37" s="236">
        <f>C60</f>
        <v>0</v>
      </c>
      <c r="E37" s="236">
        <f>D60</f>
        <v>0</v>
      </c>
    </row>
    <row r="38" spans="2:5" s="135" customFormat="1" ht="15.75">
      <c r="B38" s="305" t="s">
        <v>62</v>
      </c>
      <c r="C38" s="71"/>
      <c r="D38" s="71"/>
      <c r="E38" s="71"/>
    </row>
    <row r="39" spans="2:5" ht="15.75">
      <c r="B39" s="287"/>
      <c r="C39" s="149"/>
      <c r="D39" s="149"/>
      <c r="E39" s="149"/>
    </row>
    <row r="40" spans="2:5" ht="15.75">
      <c r="B40" s="287"/>
      <c r="C40" s="149"/>
      <c r="D40" s="149"/>
      <c r="E40" s="149"/>
    </row>
    <row r="41" spans="2:5" ht="15.75">
      <c r="B41" s="287"/>
      <c r="C41" s="149"/>
      <c r="D41" s="149"/>
      <c r="E41" s="149"/>
    </row>
    <row r="42" spans="2:5" ht="15.75">
      <c r="B42" s="287"/>
      <c r="C42" s="149"/>
      <c r="D42" s="149"/>
      <c r="E42" s="149"/>
    </row>
    <row r="43" spans="2:5" ht="15.75">
      <c r="B43" s="307" t="s">
        <v>258</v>
      </c>
      <c r="C43" s="149"/>
      <c r="D43" s="149"/>
      <c r="E43" s="149"/>
    </row>
    <row r="44" spans="2:5" ht="15.75">
      <c r="B44" s="289" t="s">
        <v>204</v>
      </c>
      <c r="C44" s="149"/>
      <c r="D44" s="284"/>
      <c r="E44" s="284"/>
    </row>
    <row r="45" spans="2:5" ht="15.75">
      <c r="B45" s="289" t="s">
        <v>205</v>
      </c>
      <c r="C45" s="293">
        <f>IF(C46*0.1&lt;C44,"Exceed 10% Rule","")</f>
      </c>
      <c r="D45" s="290">
        <f>IF(D46*0.1&lt;D44,"Exceed 10% Rule","")</f>
      </c>
      <c r="E45" s="290">
        <f>IF(E46*0.1&lt;E44,"Exceed 10% Rule","")</f>
      </c>
    </row>
    <row r="46" spans="2:5" ht="15.75">
      <c r="B46" s="79" t="s">
        <v>259</v>
      </c>
      <c r="C46" s="292">
        <f>SUM(C39:C44)</f>
        <v>0</v>
      </c>
      <c r="D46" s="292">
        <f>SUM(D39:D44)</f>
        <v>0</v>
      </c>
      <c r="E46" s="292">
        <f>SUM(E39:E44)</f>
        <v>0</v>
      </c>
    </row>
    <row r="47" spans="2:5" ht="15.75">
      <c r="B47" s="79" t="s">
        <v>260</v>
      </c>
      <c r="C47" s="292">
        <f>C37+C46</f>
        <v>0</v>
      </c>
      <c r="D47" s="292">
        <f>D37+D46</f>
        <v>0</v>
      </c>
      <c r="E47" s="292">
        <f>E37+E46</f>
        <v>0</v>
      </c>
    </row>
    <row r="48" spans="2:5" ht="15.75">
      <c r="B48" s="61" t="s">
        <v>261</v>
      </c>
      <c r="C48" s="236"/>
      <c r="D48" s="236"/>
      <c r="E48" s="236"/>
    </row>
    <row r="49" spans="2:5" ht="15.75">
      <c r="B49" s="287"/>
      <c r="C49" s="149"/>
      <c r="D49" s="149"/>
      <c r="E49" s="149"/>
    </row>
    <row r="50" spans="2:5" ht="15.75">
      <c r="B50" s="287"/>
      <c r="C50" s="149"/>
      <c r="D50" s="149"/>
      <c r="E50" s="149"/>
    </row>
    <row r="51" spans="2:5" ht="15.75">
      <c r="B51" s="287"/>
      <c r="C51" s="149"/>
      <c r="D51" s="149"/>
      <c r="E51" s="149"/>
    </row>
    <row r="52" spans="2:5" ht="15.75">
      <c r="B52" s="287"/>
      <c r="C52" s="149"/>
      <c r="D52" s="149"/>
      <c r="E52" s="149"/>
    </row>
    <row r="53" spans="2:5" ht="15.75">
      <c r="B53" s="287"/>
      <c r="C53" s="149"/>
      <c r="D53" s="149"/>
      <c r="E53" s="149"/>
    </row>
    <row r="54" spans="2:5" ht="15.75">
      <c r="B54" s="287"/>
      <c r="C54" s="149"/>
      <c r="D54" s="149"/>
      <c r="E54" s="149"/>
    </row>
    <row r="55" spans="2:5" ht="15.75">
      <c r="B55" s="287"/>
      <c r="C55" s="149"/>
      <c r="D55" s="149"/>
      <c r="E55" s="149"/>
    </row>
    <row r="56" spans="2:5" ht="15.75">
      <c r="B56" s="287"/>
      <c r="C56" s="149"/>
      <c r="D56" s="149"/>
      <c r="E56" s="149"/>
    </row>
    <row r="57" spans="2:5" ht="15.75">
      <c r="B57" s="286" t="s">
        <v>204</v>
      </c>
      <c r="C57" s="149"/>
      <c r="D57" s="284"/>
      <c r="E57" s="284"/>
    </row>
    <row r="58" spans="2:5" ht="15.75">
      <c r="B58" s="286" t="s">
        <v>694</v>
      </c>
      <c r="C58" s="293">
        <f>IF(C59*0.1&lt;C57,"Exceed 10% Rule","")</f>
      </c>
      <c r="D58" s="290">
        <f>IF(D59*0.1&lt;D57,"Exceed 10% Rule","")</f>
      </c>
      <c r="E58" s="290">
        <f>IF(E59*0.1&lt;E57,"Exceed 10% Rule","")</f>
      </c>
    </row>
    <row r="59" spans="2:5" ht="15.75">
      <c r="B59" s="79" t="s">
        <v>262</v>
      </c>
      <c r="C59" s="292">
        <f>SUM(C49:C57)</f>
        <v>0</v>
      </c>
      <c r="D59" s="292">
        <f>SUM(D49:D57)</f>
        <v>0</v>
      </c>
      <c r="E59" s="292">
        <f>SUM(E49:E57)</f>
        <v>0</v>
      </c>
    </row>
    <row r="60" spans="2:5" ht="15.75">
      <c r="B60" s="61" t="s">
        <v>61</v>
      </c>
      <c r="C60" s="160">
        <f>C47-C59</f>
        <v>0</v>
      </c>
      <c r="D60" s="160">
        <f>D47-D59</f>
        <v>0</v>
      </c>
      <c r="E60" s="160">
        <f>E47-E59</f>
        <v>0</v>
      </c>
    </row>
    <row r="61" spans="2:5" ht="15.75">
      <c r="B61" s="96" t="str">
        <f>CONCATENATE("",E1-2,"/",E1-1,"/",E1," Budget Authority Amount:")</f>
        <v>2013/2014/2015 Budget Authority Amount:</v>
      </c>
      <c r="C61" s="715">
        <f>inputOth!B98</f>
        <v>0</v>
      </c>
      <c r="D61" s="715">
        <f>inputPrYr!D38</f>
        <v>0</v>
      </c>
      <c r="E61" s="719">
        <f>E59</f>
        <v>0</v>
      </c>
    </row>
    <row r="62" spans="2:5" ht="15.75">
      <c r="B62" s="97"/>
      <c r="C62" s="295">
        <f>IF(C59&gt;C61,"See Tab A","")</f>
      </c>
      <c r="D62" s="295">
        <f>IF(D59&gt;D61,"See Tab C","")</f>
      </c>
      <c r="E62" s="721">
        <f>IF(E60&lt;0,"See Tab E","")</f>
      </c>
    </row>
    <row r="63" spans="2:5" ht="15.75">
      <c r="B63" s="97"/>
      <c r="C63" s="295">
        <f>IF(C60&lt;0,"See Tab B","")</f>
      </c>
      <c r="D63" s="325">
        <f>IF(D60&lt;0,"See Tab D","")</f>
      </c>
      <c r="E63" s="46"/>
    </row>
    <row r="64" spans="2:5" ht="15.75">
      <c r="B64" s="46"/>
      <c r="C64" s="46"/>
      <c r="D64" s="46"/>
      <c r="E64" s="46"/>
    </row>
    <row r="65" spans="2:5" ht="15.75">
      <c r="B65" s="187" t="s">
        <v>695</v>
      </c>
      <c r="C65" s="132"/>
      <c r="D65" s="46"/>
      <c r="E65" s="46"/>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3" customWidth="1"/>
    <col min="2" max="2" width="6.69921875" style="93" customWidth="1"/>
    <col min="3" max="3" width="10.3984375" style="93" customWidth="1"/>
    <col min="4" max="4" width="6.69921875" style="93" customWidth="1"/>
    <col min="5" max="5" width="10.3984375" style="93" customWidth="1"/>
    <col min="6" max="6" width="6.69921875" style="93" customWidth="1"/>
    <col min="7" max="7" width="10.3984375" style="93" customWidth="1"/>
    <col min="8" max="8" width="6.69921875" style="93" customWidth="1"/>
    <col min="9" max="9" width="10.3984375" style="93" customWidth="1"/>
    <col min="10" max="16384" width="8.796875" style="93" customWidth="1"/>
  </cols>
  <sheetData>
    <row r="1" spans="1:11" ht="15.75">
      <c r="A1" s="101" t="str">
        <f>inputPrYr!$D$3</f>
        <v>VIOLA TOWNSHIP</v>
      </c>
      <c r="B1" s="98"/>
      <c r="C1" s="92"/>
      <c r="D1" s="92"/>
      <c r="E1" s="92"/>
      <c r="F1" s="99" t="s">
        <v>307</v>
      </c>
      <c r="G1" s="92"/>
      <c r="H1" s="92"/>
      <c r="I1" s="92"/>
      <c r="J1" s="92"/>
      <c r="K1" s="92">
        <f>inputPrYr!$D$9</f>
        <v>2015</v>
      </c>
    </row>
    <row r="2" spans="1:11" ht="15.75">
      <c r="A2" s="92"/>
      <c r="B2" s="92"/>
      <c r="C2" s="92"/>
      <c r="D2" s="92"/>
      <c r="E2" s="92"/>
      <c r="F2" s="100" t="str">
        <f>CONCATENATE("(Only the actual budget year for ",K1-2," is to be shown)")</f>
        <v>(Only the actual budget year for 2013 is to be shown)</v>
      </c>
      <c r="G2" s="92"/>
      <c r="H2" s="92"/>
      <c r="I2" s="92"/>
      <c r="J2" s="92"/>
      <c r="K2" s="92"/>
    </row>
    <row r="3" spans="1:11" ht="15.75">
      <c r="A3" s="92" t="s">
        <v>308</v>
      </c>
      <c r="B3" s="92"/>
      <c r="C3" s="92"/>
      <c r="D3" s="92"/>
      <c r="E3" s="92"/>
      <c r="F3" s="98"/>
      <c r="G3" s="92"/>
      <c r="H3" s="92"/>
      <c r="I3" s="92"/>
      <c r="J3" s="92"/>
      <c r="K3" s="92"/>
    </row>
    <row r="4" spans="1:11" ht="15.75">
      <c r="A4" s="92" t="s">
        <v>309</v>
      </c>
      <c r="B4" s="92"/>
      <c r="C4" s="92" t="s">
        <v>310</v>
      </c>
      <c r="D4" s="92"/>
      <c r="E4" s="92" t="s">
        <v>311</v>
      </c>
      <c r="F4" s="98"/>
      <c r="G4" s="92" t="s">
        <v>312</v>
      </c>
      <c r="H4" s="92"/>
      <c r="I4" s="92" t="s">
        <v>313</v>
      </c>
      <c r="J4" s="92"/>
      <c r="K4" s="92"/>
    </row>
    <row r="5" spans="1:11" ht="15.75">
      <c r="A5" s="893">
        <f>inputPrYr!B41</f>
        <v>0</v>
      </c>
      <c r="B5" s="894"/>
      <c r="C5" s="893">
        <f>inputPrYr!B42</f>
        <v>0</v>
      </c>
      <c r="D5" s="894"/>
      <c r="E5" s="893">
        <f>inputPrYr!B43</f>
        <v>0</v>
      </c>
      <c r="F5" s="894"/>
      <c r="G5" s="895">
        <f>inputPrYr!B44</f>
        <v>0</v>
      </c>
      <c r="H5" s="894"/>
      <c r="I5" s="895">
        <f>inputPrYr!B45</f>
        <v>0</v>
      </c>
      <c r="J5" s="894"/>
      <c r="K5" s="103"/>
    </row>
    <row r="6" spans="1:11" ht="15.75">
      <c r="A6" s="104" t="s">
        <v>314</v>
      </c>
      <c r="B6" s="105"/>
      <c r="C6" s="106" t="s">
        <v>314</v>
      </c>
      <c r="D6" s="107"/>
      <c r="E6" s="106" t="s">
        <v>314</v>
      </c>
      <c r="F6" s="108"/>
      <c r="G6" s="106" t="s">
        <v>314</v>
      </c>
      <c r="H6" s="102"/>
      <c r="I6" s="106" t="s">
        <v>314</v>
      </c>
      <c r="J6" s="92"/>
      <c r="K6" s="109" t="s">
        <v>217</v>
      </c>
    </row>
    <row r="7" spans="1:11" ht="15.75">
      <c r="A7" s="110" t="s">
        <v>315</v>
      </c>
      <c r="B7" s="111"/>
      <c r="C7" s="112" t="s">
        <v>315</v>
      </c>
      <c r="D7" s="111"/>
      <c r="E7" s="112" t="s">
        <v>315</v>
      </c>
      <c r="F7" s="111"/>
      <c r="G7" s="112" t="s">
        <v>315</v>
      </c>
      <c r="H7" s="111"/>
      <c r="I7" s="112" t="s">
        <v>315</v>
      </c>
      <c r="J7" s="111"/>
      <c r="K7" s="113">
        <f>SUM(B7+D7+F7+H7+J7)</f>
        <v>0</v>
      </c>
    </row>
    <row r="8" spans="1:11" ht="15.75">
      <c r="A8" s="114" t="s">
        <v>62</v>
      </c>
      <c r="B8" s="115"/>
      <c r="C8" s="114" t="s">
        <v>62</v>
      </c>
      <c r="D8" s="116"/>
      <c r="E8" s="114" t="s">
        <v>62</v>
      </c>
      <c r="F8" s="98"/>
      <c r="G8" s="114" t="s">
        <v>62</v>
      </c>
      <c r="H8" s="92"/>
      <c r="I8" s="114" t="s">
        <v>62</v>
      </c>
      <c r="J8" s="92"/>
      <c r="K8" s="98"/>
    </row>
    <row r="9" spans="1:11" ht="15.75">
      <c r="A9" s="117"/>
      <c r="B9" s="111"/>
      <c r="C9" s="117"/>
      <c r="D9" s="111"/>
      <c r="E9" s="117"/>
      <c r="F9" s="111"/>
      <c r="G9" s="117"/>
      <c r="H9" s="111"/>
      <c r="I9" s="117"/>
      <c r="J9" s="111"/>
      <c r="K9" s="98"/>
    </row>
    <row r="10" spans="1:11" ht="15.75">
      <c r="A10" s="117"/>
      <c r="B10" s="111"/>
      <c r="C10" s="117"/>
      <c r="D10" s="111"/>
      <c r="E10" s="117"/>
      <c r="F10" s="111"/>
      <c r="G10" s="117"/>
      <c r="H10" s="111"/>
      <c r="I10" s="117"/>
      <c r="J10" s="111"/>
      <c r="K10" s="98"/>
    </row>
    <row r="11" spans="1:11" ht="15.75">
      <c r="A11" s="117"/>
      <c r="B11" s="111"/>
      <c r="C11" s="118"/>
      <c r="D11" s="119"/>
      <c r="E11" s="118"/>
      <c r="F11" s="111"/>
      <c r="G11" s="118"/>
      <c r="H11" s="111"/>
      <c r="I11" s="120"/>
      <c r="J11" s="111"/>
      <c r="K11" s="98"/>
    </row>
    <row r="12" spans="1:11" ht="15.75">
      <c r="A12" s="117"/>
      <c r="B12" s="121"/>
      <c r="C12" s="117"/>
      <c r="D12" s="122"/>
      <c r="E12" s="123"/>
      <c r="F12" s="111"/>
      <c r="G12" s="123"/>
      <c r="H12" s="111"/>
      <c r="I12" s="123"/>
      <c r="J12" s="111"/>
      <c r="K12" s="98"/>
    </row>
    <row r="13" spans="1:11" ht="15.75">
      <c r="A13" s="124"/>
      <c r="B13" s="125"/>
      <c r="C13" s="126"/>
      <c r="D13" s="122"/>
      <c r="E13" s="126"/>
      <c r="F13" s="111"/>
      <c r="G13" s="126"/>
      <c r="H13" s="111"/>
      <c r="I13" s="120"/>
      <c r="J13" s="111"/>
      <c r="K13" s="98"/>
    </row>
    <row r="14" spans="1:11" ht="15.75">
      <c r="A14" s="117"/>
      <c r="B14" s="111"/>
      <c r="C14" s="123"/>
      <c r="D14" s="122"/>
      <c r="E14" s="123"/>
      <c r="F14" s="111"/>
      <c r="G14" s="123"/>
      <c r="H14" s="111"/>
      <c r="I14" s="123"/>
      <c r="J14" s="111"/>
      <c r="K14" s="98"/>
    </row>
    <row r="15" spans="1:11" ht="15.75">
      <c r="A15" s="117"/>
      <c r="B15" s="111"/>
      <c r="C15" s="123"/>
      <c r="D15" s="122"/>
      <c r="E15" s="123"/>
      <c r="F15" s="111"/>
      <c r="G15" s="123"/>
      <c r="H15" s="111"/>
      <c r="I15" s="123"/>
      <c r="J15" s="111"/>
      <c r="K15" s="98"/>
    </row>
    <row r="16" spans="1:11" ht="15.75">
      <c r="A16" s="117"/>
      <c r="B16" s="125"/>
      <c r="C16" s="117"/>
      <c r="D16" s="122"/>
      <c r="E16" s="117"/>
      <c r="F16" s="111"/>
      <c r="G16" s="123"/>
      <c r="H16" s="111"/>
      <c r="I16" s="117"/>
      <c r="J16" s="111"/>
      <c r="K16" s="98"/>
    </row>
    <row r="17" spans="1:11" ht="15.75">
      <c r="A17" s="114" t="s">
        <v>259</v>
      </c>
      <c r="B17" s="113">
        <f>SUM(B9:B16)</f>
        <v>0</v>
      </c>
      <c r="C17" s="114" t="s">
        <v>259</v>
      </c>
      <c r="D17" s="113">
        <f>SUM(D9:D16)</f>
        <v>0</v>
      </c>
      <c r="E17" s="114" t="s">
        <v>259</v>
      </c>
      <c r="F17" s="127">
        <f>SUM(F9:F16)</f>
        <v>0</v>
      </c>
      <c r="G17" s="114" t="s">
        <v>259</v>
      </c>
      <c r="H17" s="113">
        <f>SUM(H9:H16)</f>
        <v>0</v>
      </c>
      <c r="I17" s="114" t="s">
        <v>259</v>
      </c>
      <c r="J17" s="113">
        <f>SUM(J9:J16)</f>
        <v>0</v>
      </c>
      <c r="K17" s="113">
        <f>SUM(B17+D17+F17+H17+J17)</f>
        <v>0</v>
      </c>
    </row>
    <row r="18" spans="1:11" ht="15.75">
      <c r="A18" s="114" t="s">
        <v>260</v>
      </c>
      <c r="B18" s="113">
        <f>SUM(B7+B17)</f>
        <v>0</v>
      </c>
      <c r="C18" s="114" t="s">
        <v>260</v>
      </c>
      <c r="D18" s="113">
        <f>SUM(D7+D17)</f>
        <v>0</v>
      </c>
      <c r="E18" s="114" t="s">
        <v>260</v>
      </c>
      <c r="F18" s="113">
        <f>SUM(F7+F17)</f>
        <v>0</v>
      </c>
      <c r="G18" s="114" t="s">
        <v>260</v>
      </c>
      <c r="H18" s="113">
        <f>SUM(H7+H17)</f>
        <v>0</v>
      </c>
      <c r="I18" s="114" t="s">
        <v>260</v>
      </c>
      <c r="J18" s="113">
        <f>SUM(J7+J17)</f>
        <v>0</v>
      </c>
      <c r="K18" s="113">
        <f>SUM(B18+D18+F18+H18+J18)</f>
        <v>0</v>
      </c>
    </row>
    <row r="19" spans="1:11" ht="15.75">
      <c r="A19" s="114" t="s">
        <v>261</v>
      </c>
      <c r="B19" s="115"/>
      <c r="C19" s="114" t="s">
        <v>261</v>
      </c>
      <c r="D19" s="116"/>
      <c r="E19" s="114" t="s">
        <v>261</v>
      </c>
      <c r="F19" s="98"/>
      <c r="G19" s="114" t="s">
        <v>261</v>
      </c>
      <c r="H19" s="92"/>
      <c r="I19" s="114" t="s">
        <v>261</v>
      </c>
      <c r="J19" s="92"/>
      <c r="K19" s="98"/>
    </row>
    <row r="20" spans="1:11" ht="15.75">
      <c r="A20" s="117"/>
      <c r="B20" s="111"/>
      <c r="C20" s="123"/>
      <c r="D20" s="111"/>
      <c r="E20" s="123"/>
      <c r="F20" s="111"/>
      <c r="G20" s="123"/>
      <c r="H20" s="111"/>
      <c r="I20" s="123"/>
      <c r="J20" s="111"/>
      <c r="K20" s="98"/>
    </row>
    <row r="21" spans="1:11" ht="15.75">
      <c r="A21" s="117"/>
      <c r="B21" s="111"/>
      <c r="C21" s="123"/>
      <c r="D21" s="111"/>
      <c r="E21" s="123"/>
      <c r="F21" s="111"/>
      <c r="G21" s="123"/>
      <c r="H21" s="111"/>
      <c r="I21" s="123"/>
      <c r="J21" s="111"/>
      <c r="K21" s="98"/>
    </row>
    <row r="22" spans="1:11" ht="15.75">
      <c r="A22" s="117"/>
      <c r="B22" s="111"/>
      <c r="C22" s="126"/>
      <c r="D22" s="111"/>
      <c r="E22" s="126"/>
      <c r="F22" s="111"/>
      <c r="G22" s="126"/>
      <c r="H22" s="111"/>
      <c r="I22" s="120"/>
      <c r="J22" s="111"/>
      <c r="K22" s="98"/>
    </row>
    <row r="23" spans="1:11" ht="15.75">
      <c r="A23" s="117"/>
      <c r="B23" s="111"/>
      <c r="C23" s="123"/>
      <c r="D23" s="111"/>
      <c r="E23" s="123"/>
      <c r="F23" s="111"/>
      <c r="G23" s="123"/>
      <c r="H23" s="111"/>
      <c r="I23" s="123"/>
      <c r="J23" s="111"/>
      <c r="K23" s="98"/>
    </row>
    <row r="24" spans="1:11" ht="15.75">
      <c r="A24" s="117"/>
      <c r="B24" s="111"/>
      <c r="C24" s="126"/>
      <c r="D24" s="111"/>
      <c r="E24" s="126"/>
      <c r="F24" s="111"/>
      <c r="G24" s="126"/>
      <c r="H24" s="111"/>
      <c r="I24" s="120"/>
      <c r="J24" s="111"/>
      <c r="K24" s="98"/>
    </row>
    <row r="25" spans="1:11" ht="15.75">
      <c r="A25" s="117"/>
      <c r="B25" s="111"/>
      <c r="C25" s="123"/>
      <c r="D25" s="111"/>
      <c r="E25" s="123"/>
      <c r="F25" s="111"/>
      <c r="G25" s="123"/>
      <c r="H25" s="111"/>
      <c r="I25" s="123"/>
      <c r="J25" s="111"/>
      <c r="K25" s="98"/>
    </row>
    <row r="26" spans="1:11" ht="15.75">
      <c r="A26" s="117"/>
      <c r="B26" s="111"/>
      <c r="C26" s="123"/>
      <c r="D26" s="111"/>
      <c r="E26" s="123"/>
      <c r="F26" s="111"/>
      <c r="G26" s="123"/>
      <c r="H26" s="111"/>
      <c r="I26" s="123"/>
      <c r="J26" s="111"/>
      <c r="K26" s="98"/>
    </row>
    <row r="27" spans="1:11" ht="15.75">
      <c r="A27" s="117"/>
      <c r="B27" s="111"/>
      <c r="C27" s="117"/>
      <c r="D27" s="111"/>
      <c r="E27" s="117"/>
      <c r="F27" s="111"/>
      <c r="G27" s="123"/>
      <c r="H27" s="111"/>
      <c r="I27" s="123"/>
      <c r="J27" s="111"/>
      <c r="K27" s="98"/>
    </row>
    <row r="28" spans="1:11" ht="15.75">
      <c r="A28" s="114" t="s">
        <v>262</v>
      </c>
      <c r="B28" s="113">
        <f>SUM(B20:B27)</f>
        <v>0</v>
      </c>
      <c r="C28" s="114" t="s">
        <v>262</v>
      </c>
      <c r="D28" s="113">
        <f>SUM(D20:D27)</f>
        <v>0</v>
      </c>
      <c r="E28" s="114" t="s">
        <v>262</v>
      </c>
      <c r="F28" s="127">
        <f>SUM(F20:F27)</f>
        <v>0</v>
      </c>
      <c r="G28" s="114" t="s">
        <v>262</v>
      </c>
      <c r="H28" s="127">
        <f>SUM(H20:H27)</f>
        <v>0</v>
      </c>
      <c r="I28" s="114" t="s">
        <v>262</v>
      </c>
      <c r="J28" s="113">
        <f>SUM(J20:J27)</f>
        <v>0</v>
      </c>
      <c r="K28" s="113">
        <f>SUM(B28+D28+F28+H28+J28)</f>
        <v>0</v>
      </c>
    </row>
    <row r="29" spans="1:12" ht="15.75">
      <c r="A29" s="114" t="s">
        <v>316</v>
      </c>
      <c r="B29" s="113">
        <f>SUM(B18-B28)</f>
        <v>0</v>
      </c>
      <c r="C29" s="114" t="s">
        <v>316</v>
      </c>
      <c r="D29" s="113">
        <f>SUM(D18-D28)</f>
        <v>0</v>
      </c>
      <c r="E29" s="114" t="s">
        <v>316</v>
      </c>
      <c r="F29" s="113">
        <f>SUM(F18-F28)</f>
        <v>0</v>
      </c>
      <c r="G29" s="114" t="s">
        <v>316</v>
      </c>
      <c r="H29" s="113">
        <f>SUM(H18-H28)</f>
        <v>0</v>
      </c>
      <c r="I29" s="114" t="s">
        <v>316</v>
      </c>
      <c r="J29" s="113">
        <f>SUM(J18-J28)</f>
        <v>0</v>
      </c>
      <c r="K29" s="128">
        <f>SUM(B29+D29+F29+H29+J29)</f>
        <v>0</v>
      </c>
      <c r="L29" s="93" t="s">
        <v>317</v>
      </c>
    </row>
    <row r="30" spans="1:12" ht="15.75">
      <c r="A30" s="114"/>
      <c r="B30" s="326">
        <f>IF(B29&lt;0,"See Tab B","")</f>
      </c>
      <c r="C30" s="114"/>
      <c r="D30" s="326">
        <f>IF(D29&lt;0,"See Tab B","")</f>
      </c>
      <c r="E30" s="114"/>
      <c r="F30" s="326">
        <f>IF(F29&lt;0,"See Tab B","")</f>
      </c>
      <c r="G30" s="92"/>
      <c r="H30" s="326">
        <f>IF(H29&lt;0,"See Tab B","")</f>
      </c>
      <c r="I30" s="92"/>
      <c r="J30" s="326">
        <f>IF(J29&lt;0,"See Tab B","")</f>
      </c>
      <c r="K30" s="128">
        <f>SUM(K7+K17-K28)</f>
        <v>0</v>
      </c>
      <c r="L30" s="93" t="s">
        <v>317</v>
      </c>
    </row>
    <row r="31" spans="1:11" ht="15.75">
      <c r="A31" s="92"/>
      <c r="B31" s="129"/>
      <c r="C31" s="92"/>
      <c r="D31" s="98"/>
      <c r="E31" s="92"/>
      <c r="F31" s="92"/>
      <c r="G31" s="130" t="s">
        <v>318</v>
      </c>
      <c r="H31" s="130"/>
      <c r="I31" s="130"/>
      <c r="J31" s="130"/>
      <c r="K31" s="92"/>
    </row>
    <row r="32" spans="1:11" ht="15.75">
      <c r="A32" s="92"/>
      <c r="B32" s="129"/>
      <c r="C32" s="92"/>
      <c r="D32" s="92"/>
      <c r="E32" s="92"/>
      <c r="F32" s="92"/>
      <c r="G32" s="92"/>
      <c r="H32" s="92"/>
      <c r="I32" s="92"/>
      <c r="J32" s="92"/>
      <c r="K32" s="92"/>
    </row>
    <row r="33" spans="1:11" ht="15.75">
      <c r="A33" s="92"/>
      <c r="B33" s="129"/>
      <c r="C33" s="92"/>
      <c r="D33" s="92"/>
      <c r="E33" s="131" t="s">
        <v>245</v>
      </c>
      <c r="F33" s="132"/>
      <c r="G33" s="92"/>
      <c r="H33" s="92"/>
      <c r="I33" s="92"/>
      <c r="J33" s="92"/>
      <c r="K33" s="92"/>
    </row>
    <row r="34" ht="15.75">
      <c r="B34" s="133"/>
    </row>
    <row r="35" ht="15.75">
      <c r="B35" s="133"/>
    </row>
    <row r="36" ht="15.75">
      <c r="B36" s="133"/>
    </row>
    <row r="37" ht="15.75">
      <c r="B37" s="133"/>
    </row>
    <row r="38" ht="15.75">
      <c r="B38" s="133"/>
    </row>
    <row r="39" ht="15.75">
      <c r="B39" s="133"/>
    </row>
    <row r="40" ht="15.75">
      <c r="B40" s="133"/>
    </row>
    <row r="41" ht="15.75">
      <c r="B41" s="13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89" customWidth="1"/>
    <col min="2" max="16384" width="8.796875" style="89" customWidth="1"/>
  </cols>
  <sheetData>
    <row r="1" ht="20.25">
      <c r="A1" s="327" t="s">
        <v>325</v>
      </c>
    </row>
    <row r="2" ht="53.25" customHeight="1">
      <c r="A2" s="193" t="s">
        <v>326</v>
      </c>
    </row>
    <row r="3" ht="15.75">
      <c r="A3" s="328"/>
    </row>
    <row r="4" ht="58.5" customHeight="1">
      <c r="A4" s="193" t="s">
        <v>327</v>
      </c>
    </row>
    <row r="5" ht="15.75">
      <c r="A5" s="93"/>
    </row>
    <row r="6" ht="55.5" customHeight="1">
      <c r="A6" s="193" t="s">
        <v>328</v>
      </c>
    </row>
    <row r="7" ht="15.75">
      <c r="A7" s="328"/>
    </row>
    <row r="8" ht="42.75" customHeight="1">
      <c r="A8" s="193" t="s">
        <v>329</v>
      </c>
    </row>
    <row r="9" ht="15.75">
      <c r="A9" s="93"/>
    </row>
    <row r="10" ht="31.5">
      <c r="A10" s="193" t="s">
        <v>330</v>
      </c>
    </row>
    <row r="11" ht="15.75">
      <c r="A11" s="328"/>
    </row>
    <row r="12" ht="69.75" customHeight="1">
      <c r="A12" s="193" t="s">
        <v>331</v>
      </c>
    </row>
    <row r="13" ht="15.75">
      <c r="A13" s="328"/>
    </row>
    <row r="14" ht="40.5" customHeight="1">
      <c r="A14" s="193" t="s">
        <v>332</v>
      </c>
    </row>
    <row r="15" ht="15.75">
      <c r="A15" s="93"/>
    </row>
    <row r="16" ht="56.25" customHeight="1">
      <c r="A16" s="193" t="s">
        <v>333</v>
      </c>
    </row>
    <row r="17" ht="15.75">
      <c r="A17" s="328"/>
    </row>
    <row r="18" ht="54.75" customHeight="1">
      <c r="A18" s="193" t="s">
        <v>334</v>
      </c>
    </row>
    <row r="19" ht="15.75">
      <c r="A19" s="328"/>
    </row>
    <row r="20" ht="55.5" customHeight="1">
      <c r="A20" s="193" t="s">
        <v>335</v>
      </c>
    </row>
    <row r="21" ht="15.75">
      <c r="A21" s="328"/>
    </row>
    <row r="22" ht="76.5" customHeight="1">
      <c r="A22" s="193" t="s">
        <v>336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89" customWidth="1"/>
    <col min="2" max="2" width="13.69921875" style="89" customWidth="1"/>
    <col min="3" max="5" width="12.69921875" style="89" customWidth="1"/>
    <col min="6" max="16384" width="8.796875" style="89" customWidth="1"/>
  </cols>
  <sheetData>
    <row r="1" spans="1:6" ht="15.75">
      <c r="A1" s="200" t="str">
        <f>inputPrYr!D3</f>
        <v>VIOLA TOWNSHIP</v>
      </c>
      <c r="B1" s="46"/>
      <c r="C1" s="46"/>
      <c r="D1" s="46"/>
      <c r="E1" s="46"/>
      <c r="F1" s="46">
        <f>inputPrYr!D9</f>
        <v>2015</v>
      </c>
    </row>
    <row r="2" spans="1:6" ht="15.75">
      <c r="A2" s="46"/>
      <c r="B2" s="46"/>
      <c r="C2" s="46"/>
      <c r="D2" s="46"/>
      <c r="E2" s="46"/>
      <c r="F2" s="46"/>
    </row>
    <row r="3" spans="1:6" ht="15.75">
      <c r="A3" s="46"/>
      <c r="B3" s="829" t="str">
        <f>CONCATENATE("",F1," Neighborhood Revitalization Rebate")</f>
        <v>2015 Neighborhood Revitalization Rebate</v>
      </c>
      <c r="C3" s="837"/>
      <c r="D3" s="837"/>
      <c r="E3" s="837"/>
      <c r="F3" s="46"/>
    </row>
    <row r="4" spans="1:6" ht="15.75">
      <c r="A4" s="46"/>
      <c r="B4" s="46"/>
      <c r="C4" s="46"/>
      <c r="D4" s="46"/>
      <c r="E4" s="46"/>
      <c r="F4" s="46"/>
    </row>
    <row r="5" spans="1:6" ht="51" customHeight="1">
      <c r="A5" s="46"/>
      <c r="B5" s="309" t="str">
        <f>CONCATENATE("Budgeted Funds                            for ",F1,"")</f>
        <v>Budgeted Funds                            for 2015</v>
      </c>
      <c r="C5" s="309" t="str">
        <f>CONCATENATE("",F1-1," Ad Valorem before Rebate**")</f>
        <v>2014 Ad Valorem before Rebate**</v>
      </c>
      <c r="D5" s="310" t="str">
        <f>CONCATENATE("",F1-1," Mil Rate before Rebate")</f>
        <v>2014 Mil Rate before Rebate</v>
      </c>
      <c r="E5" s="311" t="str">
        <f>CONCATENATE("Estimate ",F1," NR Rebate")</f>
        <v>Estimate 2015 NR Rebate</v>
      </c>
      <c r="F5" s="168"/>
    </row>
    <row r="6" spans="1:6" ht="15.75">
      <c r="A6" s="46"/>
      <c r="B6" s="85" t="str">
        <f>IF(inputPrYr!B20&gt;0,inputPrYr!B20,"")</f>
        <v>General</v>
      </c>
      <c r="C6" s="312"/>
      <c r="D6" s="313">
        <f aca="true" t="shared" si="0" ref="D6:D17">IF(C6&gt;0,C6/$D$23,"")</f>
      </c>
      <c r="E6" s="308">
        <f>IF(C6&gt;0,ROUND(D6*$D$27,0),"")</f>
      </c>
      <c r="F6" s="168"/>
    </row>
    <row r="7" spans="1:6" ht="15.75">
      <c r="A7" s="46"/>
      <c r="B7" s="85" t="str">
        <f>IF(inputPrYr!B21&gt;0,inputPrYr!B21,"")</f>
        <v>Debt Service</v>
      </c>
      <c r="C7" s="312"/>
      <c r="D7" s="313">
        <f t="shared" si="0"/>
      </c>
      <c r="E7" s="308">
        <f aca="true" t="shared" si="1" ref="E7:E17">IF(C7&gt;0,ROUND(D7*$D$27,0),"")</f>
      </c>
      <c r="F7" s="168"/>
    </row>
    <row r="8" spans="1:6" ht="15.75">
      <c r="A8" s="46"/>
      <c r="B8" s="85" t="str">
        <f>IF(inputPrYr!B22&gt;0,inputPrYr!B22,"")</f>
        <v>Library</v>
      </c>
      <c r="C8" s="312"/>
      <c r="D8" s="313">
        <f>IF(C8&gt;0,C8/$D$23,"")</f>
      </c>
      <c r="E8" s="308">
        <f>IF(C8&gt;0,ROUND(D8*$D$27,0),"")</f>
      </c>
      <c r="F8" s="168"/>
    </row>
    <row r="9" spans="1:6" ht="15.75">
      <c r="A9" s="46"/>
      <c r="B9" s="85" t="str">
        <f>IF(inputPrYr!B23&gt;0,inputPrYr!B23,"")</f>
        <v>Road</v>
      </c>
      <c r="C9" s="312"/>
      <c r="D9" s="313">
        <f t="shared" si="0"/>
      </c>
      <c r="E9" s="308">
        <f t="shared" si="1"/>
      </c>
      <c r="F9" s="168"/>
    </row>
    <row r="10" spans="1:6" ht="15.75">
      <c r="A10" s="46"/>
      <c r="B10" s="85" t="str">
        <f>IF(inputPrYr!B24&gt;0,inputPrYr!B24,"")</f>
        <v>Special Road</v>
      </c>
      <c r="C10" s="312"/>
      <c r="D10" s="313">
        <f t="shared" si="0"/>
      </c>
      <c r="E10" s="308">
        <f t="shared" si="1"/>
      </c>
      <c r="F10" s="168"/>
    </row>
    <row r="11" spans="1:6" ht="15.75">
      <c r="A11" s="46"/>
      <c r="B11" s="85" t="str">
        <f>IF(inputPrYr!B25&gt;0,inputPrYr!B25,"")</f>
        <v>Noxious Weed</v>
      </c>
      <c r="C11" s="312"/>
      <c r="D11" s="313">
        <f t="shared" si="0"/>
      </c>
      <c r="E11" s="308">
        <f t="shared" si="1"/>
      </c>
      <c r="F11" s="168"/>
    </row>
    <row r="12" spans="1:6" ht="15.75">
      <c r="A12" s="46"/>
      <c r="B12" s="85" t="str">
        <f>IF(inputPrYr!B26&gt;0,inputPrYr!B26,"")</f>
        <v>Fire Protection</v>
      </c>
      <c r="C12" s="312"/>
      <c r="D12" s="313">
        <f t="shared" si="0"/>
      </c>
      <c r="E12" s="308">
        <f t="shared" si="1"/>
      </c>
      <c r="F12" s="168"/>
    </row>
    <row r="13" spans="1:6" ht="15.75">
      <c r="A13" s="46"/>
      <c r="B13" s="85" t="str">
        <f>IF(inputPrYr!B27&gt;0,inputPrYr!B27,"")</f>
        <v>Cemetery</v>
      </c>
      <c r="C13" s="314"/>
      <c r="D13" s="313">
        <f t="shared" si="0"/>
      </c>
      <c r="E13" s="308">
        <f t="shared" si="1"/>
      </c>
      <c r="F13" s="168"/>
    </row>
    <row r="14" spans="1:6" ht="15.75">
      <c r="A14" s="46"/>
      <c r="B14" s="85" t="str">
        <f>IF(inputPrYr!B28&gt;0,inputPrYr!B28,"")</f>
        <v>Township Hall</v>
      </c>
      <c r="C14" s="314"/>
      <c r="D14" s="313">
        <f t="shared" si="0"/>
      </c>
      <c r="E14" s="308">
        <f t="shared" si="1"/>
      </c>
      <c r="F14" s="168"/>
    </row>
    <row r="15" spans="1:6" ht="15.75">
      <c r="A15" s="46"/>
      <c r="B15" s="85">
        <f>IF(inputPrYr!B29&gt;0,inputPrYr!B29,"")</f>
      </c>
      <c r="C15" s="314"/>
      <c r="D15" s="313">
        <f t="shared" si="0"/>
      </c>
      <c r="E15" s="308">
        <f t="shared" si="1"/>
      </c>
      <c r="F15" s="168"/>
    </row>
    <row r="16" spans="1:6" ht="15.75">
      <c r="A16" s="46"/>
      <c r="B16" s="85">
        <f>IF(inputPrYr!B30&gt;0,inputPrYr!B30,"")</f>
      </c>
      <c r="C16" s="314"/>
      <c r="D16" s="313">
        <f t="shared" si="0"/>
      </c>
      <c r="E16" s="308">
        <f t="shared" si="1"/>
      </c>
      <c r="F16" s="168"/>
    </row>
    <row r="17" spans="1:6" ht="15.75">
      <c r="A17" s="46"/>
      <c r="B17" s="85">
        <f>IF(inputPrYr!B31&gt;0,inputPrYr!B31,"")</f>
      </c>
      <c r="C17" s="314"/>
      <c r="D17" s="313">
        <f t="shared" si="0"/>
      </c>
      <c r="E17" s="308">
        <f t="shared" si="1"/>
      </c>
      <c r="F17" s="168"/>
    </row>
    <row r="18" spans="1:6" ht="16.5" thickBot="1">
      <c r="A18" s="46"/>
      <c r="B18" s="183" t="s">
        <v>203</v>
      </c>
      <c r="C18" s="315">
        <f>SUM(C6:C17)</f>
        <v>0</v>
      </c>
      <c r="D18" s="316">
        <f>SUM(D6:D17)</f>
        <v>0</v>
      </c>
      <c r="E18" s="315">
        <f>SUM(E6:E17)</f>
        <v>0</v>
      </c>
      <c r="F18" s="168"/>
    </row>
    <row r="19" spans="1:6" ht="16.5" thickTop="1">
      <c r="A19" s="46"/>
      <c r="B19" s="46"/>
      <c r="C19" s="46"/>
      <c r="D19" s="46"/>
      <c r="E19" s="46"/>
      <c r="F19" s="168"/>
    </row>
    <row r="20" spans="1:6" ht="15.75">
      <c r="A20" s="46"/>
      <c r="B20" s="46"/>
      <c r="C20" s="46"/>
      <c r="D20" s="46"/>
      <c r="E20" s="46"/>
      <c r="F20" s="168"/>
    </row>
    <row r="21" spans="1:6" ht="15.75">
      <c r="A21" s="898" t="str">
        <f>CONCATENATE("",F1-1," July 1 Valuation:")</f>
        <v>2014 July 1 Valuation:</v>
      </c>
      <c r="B21" s="897"/>
      <c r="C21" s="898"/>
      <c r="D21" s="317">
        <f>inputOth!E11</f>
        <v>4400523</v>
      </c>
      <c r="E21" s="46"/>
      <c r="F21" s="168"/>
    </row>
    <row r="22" spans="1:6" ht="15.75">
      <c r="A22" s="46"/>
      <c r="B22" s="46"/>
      <c r="C22" s="46"/>
      <c r="D22" s="46"/>
      <c r="E22" s="46"/>
      <c r="F22" s="168"/>
    </row>
    <row r="23" spans="1:6" ht="15.75">
      <c r="A23" s="46"/>
      <c r="B23" s="898" t="s">
        <v>347</v>
      </c>
      <c r="C23" s="898"/>
      <c r="D23" s="318">
        <f>IF(D21&gt;0,(D21*0.001),"")</f>
        <v>4400.523</v>
      </c>
      <c r="E23" s="46"/>
      <c r="F23" s="168"/>
    </row>
    <row r="24" spans="1:6" ht="15.75">
      <c r="A24" s="46"/>
      <c r="B24" s="97"/>
      <c r="C24" s="97"/>
      <c r="D24" s="319"/>
      <c r="E24" s="46"/>
      <c r="F24" s="168"/>
    </row>
    <row r="25" spans="1:6" ht="15.75">
      <c r="A25" s="896" t="s">
        <v>348</v>
      </c>
      <c r="B25" s="815"/>
      <c r="C25" s="815"/>
      <c r="D25" s="320">
        <f>inputOth!E33</f>
        <v>0</v>
      </c>
      <c r="E25" s="157"/>
      <c r="F25" s="157"/>
    </row>
    <row r="26" spans="1:6" ht="15.75">
      <c r="A26" s="157"/>
      <c r="B26" s="157"/>
      <c r="C26" s="157"/>
      <c r="D26" s="321"/>
      <c r="E26" s="157"/>
      <c r="F26" s="157"/>
    </row>
    <row r="27" spans="1:6" ht="15.75">
      <c r="A27" s="157"/>
      <c r="B27" s="896" t="s">
        <v>349</v>
      </c>
      <c r="C27" s="897"/>
      <c r="D27" s="322">
        <f>IF(D25&gt;0,(D25*0.001),"")</f>
      </c>
      <c r="E27" s="157"/>
      <c r="F27" s="157"/>
    </row>
    <row r="28" spans="1:6" ht="15.75">
      <c r="A28" s="157"/>
      <c r="B28" s="157"/>
      <c r="C28" s="157"/>
      <c r="D28" s="157"/>
      <c r="E28" s="157"/>
      <c r="F28" s="157"/>
    </row>
    <row r="29" spans="1:6" ht="15.75">
      <c r="A29" s="157"/>
      <c r="B29" s="157"/>
      <c r="C29" s="157"/>
      <c r="D29" s="157"/>
      <c r="E29" s="157"/>
      <c r="F29" s="157"/>
    </row>
    <row r="30" spans="1:6" ht="15.75">
      <c r="A30" s="157"/>
      <c r="B30" s="157"/>
      <c r="C30" s="157"/>
      <c r="D30" s="157"/>
      <c r="E30" s="157"/>
      <c r="F30" s="157"/>
    </row>
    <row r="31" spans="1:6" ht="15.75">
      <c r="A31" s="19" t="str">
        <f>CONCATENATE("**This information comes from the ",F1," Budget Summary page.  See instructions tab #12 for completing")</f>
        <v>**This information comes from the 2015 Budget Summary page.  See instructions tab #12 for completing</v>
      </c>
      <c r="B31" s="157"/>
      <c r="C31" s="157"/>
      <c r="D31" s="157"/>
      <c r="E31" s="157"/>
      <c r="F31" s="157"/>
    </row>
    <row r="32" spans="1:6" ht="15.75">
      <c r="A32" s="19" t="s">
        <v>585</v>
      </c>
      <c r="B32" s="157"/>
      <c r="C32" s="157"/>
      <c r="D32" s="157"/>
      <c r="E32" s="157"/>
      <c r="F32" s="157"/>
    </row>
    <row r="33" spans="1:6" ht="15.75">
      <c r="A33" s="19"/>
      <c r="B33" s="157"/>
      <c r="C33" s="157"/>
      <c r="D33" s="157"/>
      <c r="E33" s="157"/>
      <c r="F33" s="157"/>
    </row>
    <row r="34" spans="1:6" ht="15.75">
      <c r="A34" s="19"/>
      <c r="B34" s="157"/>
      <c r="C34" s="157"/>
      <c r="D34" s="157"/>
      <c r="E34" s="157"/>
      <c r="F34" s="157"/>
    </row>
    <row r="35" spans="1:6" ht="15.75">
      <c r="A35" s="19"/>
      <c r="B35" s="157"/>
      <c r="C35" s="157"/>
      <c r="D35" s="157"/>
      <c r="E35" s="157"/>
      <c r="F35" s="157"/>
    </row>
    <row r="36" spans="1:6" ht="15.75">
      <c r="A36" s="19"/>
      <c r="B36" s="157"/>
      <c r="C36" s="157"/>
      <c r="D36" s="157"/>
      <c r="E36" s="157"/>
      <c r="F36" s="157"/>
    </row>
    <row r="37" spans="1:6" ht="15.75">
      <c r="A37" s="19"/>
      <c r="B37" s="157"/>
      <c r="C37" s="157"/>
      <c r="D37" s="157"/>
      <c r="E37" s="157"/>
      <c r="F37" s="157"/>
    </row>
    <row r="38" spans="1:6" ht="15.75">
      <c r="A38" s="19"/>
      <c r="B38" s="157"/>
      <c r="C38" s="157"/>
      <c r="D38" s="157"/>
      <c r="E38" s="157"/>
      <c r="F38" s="157"/>
    </row>
    <row r="39" spans="1:6" ht="15.75">
      <c r="A39" s="157"/>
      <c r="B39" s="157"/>
      <c r="C39" s="157"/>
      <c r="D39" s="157"/>
      <c r="E39" s="157"/>
      <c r="F39" s="157"/>
    </row>
    <row r="40" spans="1:6" ht="15.75">
      <c r="A40" s="157"/>
      <c r="B40" s="131" t="s">
        <v>245</v>
      </c>
      <c r="C40" s="132"/>
      <c r="D40" s="157"/>
      <c r="E40" s="157"/>
      <c r="F40" s="157"/>
    </row>
    <row r="41" spans="1:6" ht="15.75">
      <c r="A41" s="168"/>
      <c r="B41" s="46"/>
      <c r="C41" s="46"/>
      <c r="D41" s="323"/>
      <c r="E41" s="168"/>
      <c r="F41" s="16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75">
      <c r="C2" s="632"/>
      <c r="D2" s="632"/>
      <c r="E2" s="632"/>
      <c r="F2" s="632"/>
      <c r="G2" s="632"/>
      <c r="H2" s="632"/>
      <c r="I2" s="759">
        <f>inputPrYr!D9</f>
        <v>2015</v>
      </c>
    </row>
    <row r="3" spans="3:9" ht="16.5" thickBot="1">
      <c r="C3" s="632"/>
      <c r="D3" s="632"/>
      <c r="E3" s="632"/>
      <c r="F3" s="632"/>
      <c r="G3" s="632"/>
      <c r="H3" s="632"/>
      <c r="I3" s="632"/>
    </row>
    <row r="4" spans="3:9" ht="19.5" thickBot="1">
      <c r="C4" s="902" t="s">
        <v>928</v>
      </c>
      <c r="D4" s="903"/>
      <c r="E4" s="903"/>
      <c r="F4" s="903"/>
      <c r="G4" s="903"/>
      <c r="H4" s="903"/>
      <c r="I4" s="904"/>
    </row>
    <row r="5" spans="3:9" ht="16.5" thickBot="1">
      <c r="C5" s="756"/>
      <c r="D5" s="756"/>
      <c r="E5" s="757"/>
      <c r="F5" s="758"/>
      <c r="G5" s="756"/>
      <c r="H5" s="756"/>
      <c r="I5" s="756"/>
    </row>
    <row r="6" spans="3:9" ht="15.75">
      <c r="C6" s="905" t="str">
        <f>CONCATENATE("Notice of Vote - ",inputPrYr!D3)</f>
        <v>Notice of Vote - VIOLA TOWNSHIP</v>
      </c>
      <c r="D6" s="906"/>
      <c r="E6" s="906"/>
      <c r="F6" s="906"/>
      <c r="G6" s="906"/>
      <c r="H6" s="906"/>
      <c r="I6" s="907"/>
    </row>
    <row r="7" spans="3:9" ht="60.75" customHeight="1" thickBot="1">
      <c r="C7" s="899"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900"/>
      <c r="E7" s="900"/>
      <c r="F7" s="900"/>
      <c r="G7" s="900"/>
      <c r="H7" s="900"/>
      <c r="I7" s="901"/>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75">
      <c r="C2" s="632"/>
      <c r="D2" s="632"/>
      <c r="E2" s="632"/>
      <c r="F2" s="632"/>
      <c r="G2" s="632"/>
      <c r="H2" s="759">
        <f>inputPrYr!D9</f>
        <v>2015</v>
      </c>
    </row>
    <row r="3" spans="3:8" ht="16.5" thickBot="1">
      <c r="C3" s="632"/>
      <c r="D3" s="632"/>
      <c r="E3" s="632"/>
      <c r="F3" s="632"/>
      <c r="G3" s="632"/>
      <c r="H3" s="632"/>
    </row>
    <row r="4" spans="3:8" ht="19.5" thickBot="1">
      <c r="C4" s="908" t="s">
        <v>929</v>
      </c>
      <c r="D4" s="909"/>
      <c r="E4" s="909"/>
      <c r="F4" s="909"/>
      <c r="G4" s="909"/>
      <c r="H4" s="910"/>
    </row>
    <row r="5" spans="3:8" ht="16.5" thickBot="1">
      <c r="C5" s="760"/>
      <c r="D5" s="760"/>
      <c r="E5" s="760"/>
      <c r="F5" s="760"/>
      <c r="G5" s="760"/>
      <c r="H5" s="760"/>
    </row>
    <row r="6" spans="3:8" ht="15.75">
      <c r="C6" s="905" t="str">
        <f>CONCATENATE("Notice of Vote - ",inputPrYr!D3)</f>
        <v>Notice of Vote - VIOLA TOWNSHIP</v>
      </c>
      <c r="D6" s="906"/>
      <c r="E6" s="906"/>
      <c r="F6" s="906"/>
      <c r="G6" s="906"/>
      <c r="H6" s="907"/>
    </row>
    <row r="7" spans="3:8" ht="15.75">
      <c r="C7" s="911" t="s">
        <v>930</v>
      </c>
      <c r="D7" s="912"/>
      <c r="E7" s="912"/>
      <c r="F7" s="912"/>
      <c r="G7" s="912"/>
      <c r="H7" s="913"/>
    </row>
    <row r="8" spans="3:8" ht="15.75">
      <c r="C8" s="911" t="s">
        <v>931</v>
      </c>
      <c r="D8" s="912"/>
      <c r="E8" s="912"/>
      <c r="F8" s="912"/>
      <c r="G8" s="912"/>
      <c r="H8" s="913"/>
    </row>
    <row r="9" spans="3:8" ht="15.75">
      <c r="C9" s="763" t="str">
        <f>CONCATENATE(H2-1," Budget")</f>
        <v>2014 Budget</v>
      </c>
      <c r="D9" s="767" t="s">
        <v>238</v>
      </c>
      <c r="E9" s="769">
        <f>inputPrYr!E32</f>
        <v>60278</v>
      </c>
      <c r="F9" s="761"/>
      <c r="G9" s="761"/>
      <c r="H9" s="762"/>
    </row>
    <row r="10" spans="3:8" ht="15.75">
      <c r="C10" s="763" t="str">
        <f>CONCATENATE(H2," Budget")</f>
        <v>2015 Budget</v>
      </c>
      <c r="D10" s="767" t="s">
        <v>238</v>
      </c>
      <c r="E10" s="770">
        <f>cert!E39</f>
        <v>61650.59000000001</v>
      </c>
      <c r="F10" s="761"/>
      <c r="G10" s="761"/>
      <c r="H10" s="762"/>
    </row>
    <row r="11" spans="3:8" ht="15.75">
      <c r="C11" s="763"/>
      <c r="D11" s="761"/>
      <c r="E11" s="761" t="s">
        <v>932</v>
      </c>
      <c r="F11" s="771"/>
      <c r="G11" s="766" t="s">
        <v>933</v>
      </c>
      <c r="H11" s="772"/>
    </row>
    <row r="12" spans="3:8" ht="16.5" thickBot="1">
      <c r="C12" s="764"/>
      <c r="D12" s="765"/>
      <c r="E12" s="765"/>
      <c r="F12" s="765"/>
      <c r="G12" s="765"/>
      <c r="H12" s="768"/>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42" t="s">
        <v>377</v>
      </c>
      <c r="B3" s="342"/>
      <c r="C3" s="342"/>
      <c r="D3" s="342"/>
      <c r="E3" s="342"/>
      <c r="F3" s="342"/>
      <c r="G3" s="342"/>
      <c r="H3" s="342"/>
      <c r="I3" s="342"/>
      <c r="J3" s="342"/>
      <c r="K3" s="342"/>
      <c r="L3" s="342"/>
    </row>
    <row r="5" ht="15.75">
      <c r="A5" s="343" t="s">
        <v>378</v>
      </c>
    </row>
    <row r="6" ht="15.75">
      <c r="A6" s="343" t="str">
        <f>CONCATENATE(inputPrYr!D9-2," 'total expenditures' exceed your ",inputPrYr!D9-2," 'budget authority.'")</f>
        <v>2013 'total expenditures' exceed your 2013 'budget authority.'</v>
      </c>
    </row>
    <row r="7" ht="15.75">
      <c r="A7" s="343"/>
    </row>
    <row r="8" ht="15.75">
      <c r="A8" s="343" t="s">
        <v>379</v>
      </c>
    </row>
    <row r="9" ht="15.75">
      <c r="A9" s="343" t="s">
        <v>380</v>
      </c>
    </row>
    <row r="10" ht="15.75">
      <c r="A10" s="343" t="s">
        <v>381</v>
      </c>
    </row>
    <row r="11" ht="15.75">
      <c r="A11" s="343"/>
    </row>
    <row r="12" ht="15.75">
      <c r="A12" s="343"/>
    </row>
    <row r="13" ht="15.75">
      <c r="A13" s="344" t="s">
        <v>382</v>
      </c>
    </row>
    <row r="15" ht="15.75">
      <c r="A15" s="343" t="s">
        <v>383</v>
      </c>
    </row>
    <row r="16" ht="15.75">
      <c r="A16" s="343" t="str">
        <f>CONCATENATE("(i.e. an audit has not been completed, or the ",inputPrYr!D9," adopted")</f>
        <v>(i.e. an audit has not been completed, or the 2015 adopted</v>
      </c>
    </row>
    <row r="17" ht="15.75">
      <c r="A17" s="343" t="s">
        <v>384</v>
      </c>
    </row>
    <row r="18" ht="15.75">
      <c r="A18" s="343" t="s">
        <v>385</v>
      </c>
    </row>
    <row r="19" ht="15.75">
      <c r="A19" s="343" t="s">
        <v>386</v>
      </c>
    </row>
    <row r="21" ht="15.75">
      <c r="A21" s="344" t="s">
        <v>387</v>
      </c>
    </row>
    <row r="22" ht="15.75">
      <c r="A22" s="344"/>
    </row>
    <row r="23" ht="15.75">
      <c r="A23" s="343" t="s">
        <v>388</v>
      </c>
    </row>
    <row r="24" ht="15.75">
      <c r="A24" s="343" t="s">
        <v>389</v>
      </c>
    </row>
    <row r="25" ht="15.75">
      <c r="A25" s="343" t="str">
        <f>CONCATENATE("particular fund.  If your ",inputPrYr!D9-2," budget was amended, did you")</f>
        <v>particular fund.  If your 2013 budget was amended, did you</v>
      </c>
    </row>
    <row r="26" ht="15.75">
      <c r="A26" s="343" t="s">
        <v>390</v>
      </c>
    </row>
    <row r="27" ht="15.75">
      <c r="A27" s="343"/>
    </row>
    <row r="28" ht="15.75">
      <c r="A28" s="343" t="str">
        <f>CONCATENATE("Next, look to see if any of your ",inputPrYr!D9-2," expenditures can be")</f>
        <v>Next, look to see if any of your 2013 expenditures can be</v>
      </c>
    </row>
    <row r="29" ht="15.75">
      <c r="A29" s="343" t="s">
        <v>391</v>
      </c>
    </row>
    <row r="30" ht="15.75">
      <c r="A30" s="343" t="s">
        <v>392</v>
      </c>
    </row>
    <row r="31" ht="15.75">
      <c r="A31" s="343" t="s">
        <v>393</v>
      </c>
    </row>
    <row r="32" ht="15.75">
      <c r="A32" s="343"/>
    </row>
    <row r="33" ht="15.75">
      <c r="A33" s="343" t="str">
        <f>CONCATENATE("Additionally, do your ",inputPrYr!D9-2," receipts contain a reimbursement")</f>
        <v>Additionally, do your 2013 receipts contain a reimbursement</v>
      </c>
    </row>
    <row r="34" ht="15.75">
      <c r="A34" s="343" t="s">
        <v>394</v>
      </c>
    </row>
    <row r="35" ht="15.75">
      <c r="A35" s="343" t="s">
        <v>395</v>
      </c>
    </row>
    <row r="36" ht="15.75">
      <c r="A36" s="343"/>
    </row>
    <row r="37" ht="15.75">
      <c r="A37" s="343" t="s">
        <v>396</v>
      </c>
    </row>
    <row r="38" ht="15.75">
      <c r="A38" s="343" t="s">
        <v>397</v>
      </c>
    </row>
    <row r="39" ht="15.75">
      <c r="A39" s="343" t="s">
        <v>398</v>
      </c>
    </row>
    <row r="40" ht="15.75">
      <c r="A40" s="343" t="s">
        <v>399</v>
      </c>
    </row>
    <row r="41" ht="15.75">
      <c r="A41" s="343" t="s">
        <v>400</v>
      </c>
    </row>
    <row r="42" ht="15.75">
      <c r="A42" s="343" t="s">
        <v>401</v>
      </c>
    </row>
    <row r="43" ht="15.75">
      <c r="A43" s="343" t="s">
        <v>402</v>
      </c>
    </row>
    <row r="44" ht="15.75">
      <c r="A44" s="343" t="s">
        <v>403</v>
      </c>
    </row>
    <row r="45" ht="15.75">
      <c r="A45" s="343"/>
    </row>
    <row r="46" ht="15.75">
      <c r="A46" s="343" t="s">
        <v>404</v>
      </c>
    </row>
    <row r="47" ht="15.75">
      <c r="A47" s="343" t="s">
        <v>405</v>
      </c>
    </row>
    <row r="48" ht="15.75">
      <c r="A48" s="343" t="s">
        <v>406</v>
      </c>
    </row>
    <row r="49" ht="15.75">
      <c r="A49" s="343"/>
    </row>
    <row r="50" ht="15.75">
      <c r="A50" s="343" t="s">
        <v>407</v>
      </c>
    </row>
    <row r="51" ht="15.75">
      <c r="A51" s="343" t="s">
        <v>408</v>
      </c>
    </row>
    <row r="52" ht="15.75">
      <c r="A52" s="343" t="s">
        <v>409</v>
      </c>
    </row>
    <row r="53" ht="15.75">
      <c r="A53" s="343"/>
    </row>
    <row r="54" ht="15.75">
      <c r="A54" s="344" t="s">
        <v>410</v>
      </c>
    </row>
    <row r="55" ht="15.75">
      <c r="A55" s="343"/>
    </row>
    <row r="56" ht="15.75">
      <c r="A56" s="343" t="s">
        <v>411</v>
      </c>
    </row>
    <row r="57" ht="15.75">
      <c r="A57" s="343" t="s">
        <v>412</v>
      </c>
    </row>
    <row r="58" ht="15.75">
      <c r="A58" s="343" t="s">
        <v>413</v>
      </c>
    </row>
    <row r="59" ht="15.75">
      <c r="A59" s="343" t="s">
        <v>414</v>
      </c>
    </row>
    <row r="60" ht="15.75">
      <c r="A60" s="343" t="s">
        <v>415</v>
      </c>
    </row>
    <row r="61" ht="15.75">
      <c r="A61" s="343" t="s">
        <v>416</v>
      </c>
    </row>
    <row r="62" ht="15.75">
      <c r="A62" s="343" t="s">
        <v>417</v>
      </c>
    </row>
    <row r="63" ht="15.75">
      <c r="A63" s="343" t="s">
        <v>418</v>
      </c>
    </row>
    <row r="64" ht="15.75">
      <c r="A64" s="343" t="s">
        <v>419</v>
      </c>
    </row>
    <row r="65" ht="15.75">
      <c r="A65" s="343" t="s">
        <v>420</v>
      </c>
    </row>
    <row r="66" ht="15.75">
      <c r="A66" s="343" t="s">
        <v>421</v>
      </c>
    </row>
    <row r="67" ht="15.75">
      <c r="A67" s="343" t="s">
        <v>422</v>
      </c>
    </row>
    <row r="68" ht="15.75">
      <c r="A68" s="343" t="s">
        <v>423</v>
      </c>
    </row>
    <row r="69" ht="15.75">
      <c r="A69" s="343"/>
    </row>
    <row r="70" ht="15.75">
      <c r="A70" s="343" t="s">
        <v>424</v>
      </c>
    </row>
    <row r="71" ht="15.75">
      <c r="A71" s="343" t="s">
        <v>425</v>
      </c>
    </row>
    <row r="72" ht="15.75">
      <c r="A72" s="343" t="s">
        <v>426</v>
      </c>
    </row>
    <row r="73" ht="15.75">
      <c r="A73" s="343"/>
    </row>
    <row r="74" ht="15.75">
      <c r="A74" s="344" t="str">
        <f>CONCATENATE("What if the ",inputPrYr!D9-2," financial records have been closed?")</f>
        <v>What if the 2013 financial records have been closed?</v>
      </c>
    </row>
    <row r="76" ht="15.75">
      <c r="A76" s="343" t="s">
        <v>427</v>
      </c>
    </row>
    <row r="77" ht="15.75">
      <c r="A77" s="343" t="str">
        <f>CONCATENATE("(i.e. an audit for ",inputPrYr!D9-2," has been completed, or the ",inputPrYr!D9)</f>
        <v>(i.e. an audit for 2013 has been completed, or the 2015</v>
      </c>
    </row>
    <row r="78" ht="15.75">
      <c r="A78" s="343" t="s">
        <v>428</v>
      </c>
    </row>
    <row r="79" ht="15.75">
      <c r="A79" s="343" t="s">
        <v>429</v>
      </c>
    </row>
    <row r="80" ht="15.75">
      <c r="A80" s="343"/>
    </row>
    <row r="81" ht="15.75">
      <c r="A81" s="343" t="s">
        <v>430</v>
      </c>
    </row>
    <row r="82" ht="15.75">
      <c r="A82" s="343" t="s">
        <v>431</v>
      </c>
    </row>
    <row r="83" ht="15.75">
      <c r="A83" s="343" t="s">
        <v>432</v>
      </c>
    </row>
    <row r="84" ht="15.75">
      <c r="A84" s="343"/>
    </row>
    <row r="85" ht="15.75">
      <c r="A85" s="343" t="s">
        <v>433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42" t="s">
        <v>434</v>
      </c>
      <c r="B3" s="342"/>
      <c r="C3" s="342"/>
      <c r="D3" s="342"/>
      <c r="E3" s="342"/>
      <c r="F3" s="342"/>
      <c r="G3" s="342"/>
      <c r="H3" s="345"/>
      <c r="I3" s="345"/>
      <c r="J3" s="345"/>
    </row>
    <row r="5" ht="15.75">
      <c r="A5" s="343" t="s">
        <v>435</v>
      </c>
    </row>
    <row r="6" ht="15.75">
      <c r="A6" t="str">
        <f>CONCATENATE(inputPrYr!D9-2," expenditures show that you finished the year with a ")</f>
        <v>2013 expenditures show that you finished the year with a </v>
      </c>
    </row>
    <row r="7" ht="15.75">
      <c r="A7" t="s">
        <v>436</v>
      </c>
    </row>
    <row r="9" ht="15.75">
      <c r="A9" t="s">
        <v>437</v>
      </c>
    </row>
    <row r="10" ht="15.75">
      <c r="A10" t="s">
        <v>438</v>
      </c>
    </row>
    <row r="11" ht="15.75">
      <c r="A11" t="s">
        <v>439</v>
      </c>
    </row>
    <row r="13" ht="15.75">
      <c r="A13" s="344" t="s">
        <v>440</v>
      </c>
    </row>
    <row r="14" ht="15.75">
      <c r="A14" s="344"/>
    </row>
    <row r="15" ht="15.75">
      <c r="A15" s="343" t="s">
        <v>441</v>
      </c>
    </row>
    <row r="16" ht="15.75">
      <c r="A16" s="343" t="s">
        <v>442</v>
      </c>
    </row>
    <row r="17" ht="15.75">
      <c r="A17" s="343" t="s">
        <v>443</v>
      </c>
    </row>
    <row r="18" ht="15.75">
      <c r="A18" s="343"/>
    </row>
    <row r="19" ht="15.75">
      <c r="A19" s="344" t="s">
        <v>444</v>
      </c>
    </row>
    <row r="20" ht="15.75">
      <c r="A20" s="344"/>
    </row>
    <row r="21" ht="15.75">
      <c r="A21" s="343" t="s">
        <v>445</v>
      </c>
    </row>
    <row r="22" ht="15.75">
      <c r="A22" s="343" t="s">
        <v>446</v>
      </c>
    </row>
    <row r="23" ht="15.75">
      <c r="A23" s="343" t="s">
        <v>447</v>
      </c>
    </row>
    <row r="24" ht="15.75">
      <c r="A24" s="343"/>
    </row>
    <row r="25" ht="15.75">
      <c r="A25" s="344" t="s">
        <v>448</v>
      </c>
    </row>
    <row r="26" ht="15.75">
      <c r="A26" s="344"/>
    </row>
    <row r="27" ht="15.75">
      <c r="A27" s="343" t="s">
        <v>449</v>
      </c>
    </row>
    <row r="28" ht="15.75">
      <c r="A28" s="343" t="s">
        <v>450</v>
      </c>
    </row>
    <row r="29" ht="15.75">
      <c r="A29" s="343" t="s">
        <v>451</v>
      </c>
    </row>
    <row r="30" ht="15.75">
      <c r="A30" s="343"/>
    </row>
    <row r="31" ht="15.75">
      <c r="A31" s="344" t="s">
        <v>452</v>
      </c>
    </row>
    <row r="32" ht="15.75">
      <c r="A32" s="344"/>
    </row>
    <row r="33" spans="1:8" ht="15.75">
      <c r="A33" s="343" t="str">
        <f>CONCATENATE("If your financial records for ",inputPrYr!D9-2," are not closed")</f>
        <v>If your financial records for 2013 are not closed</v>
      </c>
      <c r="B33" s="343"/>
      <c r="C33" s="343"/>
      <c r="D33" s="343"/>
      <c r="E33" s="343"/>
      <c r="F33" s="343"/>
      <c r="G33" s="343"/>
      <c r="H33" s="343"/>
    </row>
    <row r="34" spans="1:8" ht="15.75">
      <c r="A34" s="343" t="str">
        <f>CONCATENATE("(i.e. an audit has not been completed, or the ",inputPrYr!D9," adopted ")</f>
        <v>(i.e. an audit has not been completed, or the 2015 adopted </v>
      </c>
      <c r="B34" s="343"/>
      <c r="C34" s="343"/>
      <c r="D34" s="343"/>
      <c r="E34" s="343"/>
      <c r="F34" s="343"/>
      <c r="G34" s="343"/>
      <c r="H34" s="343"/>
    </row>
    <row r="35" spans="1:8" ht="15.75">
      <c r="A35" s="343" t="s">
        <v>453</v>
      </c>
      <c r="B35" s="343"/>
      <c r="C35" s="343"/>
      <c r="D35" s="343"/>
      <c r="E35" s="343"/>
      <c r="F35" s="343"/>
      <c r="G35" s="343"/>
      <c r="H35" s="343"/>
    </row>
    <row r="36" spans="1:8" ht="15.75">
      <c r="A36" s="343" t="s">
        <v>454</v>
      </c>
      <c r="B36" s="343"/>
      <c r="C36" s="343"/>
      <c r="D36" s="343"/>
      <c r="E36" s="343"/>
      <c r="F36" s="343"/>
      <c r="G36" s="343"/>
      <c r="H36" s="343"/>
    </row>
    <row r="37" spans="1:8" ht="15.75">
      <c r="A37" s="343" t="s">
        <v>455</v>
      </c>
      <c r="B37" s="343"/>
      <c r="C37" s="343"/>
      <c r="D37" s="343"/>
      <c r="E37" s="343"/>
      <c r="F37" s="343"/>
      <c r="G37" s="343"/>
      <c r="H37" s="343"/>
    </row>
    <row r="38" spans="1:8" ht="15.75">
      <c r="A38" s="343" t="s">
        <v>456</v>
      </c>
      <c r="B38" s="343"/>
      <c r="C38" s="343"/>
      <c r="D38" s="343"/>
      <c r="E38" s="343"/>
      <c r="F38" s="343"/>
      <c r="G38" s="343"/>
      <c r="H38" s="343"/>
    </row>
    <row r="39" spans="1:8" ht="15.75">
      <c r="A39" s="343" t="s">
        <v>457</v>
      </c>
      <c r="B39" s="343"/>
      <c r="C39" s="343"/>
      <c r="D39" s="343"/>
      <c r="E39" s="343"/>
      <c r="F39" s="343"/>
      <c r="G39" s="343"/>
      <c r="H39" s="343"/>
    </row>
    <row r="40" spans="1:8" ht="15.75">
      <c r="A40" s="343"/>
      <c r="B40" s="343"/>
      <c r="C40" s="343"/>
      <c r="D40" s="343"/>
      <c r="E40" s="343"/>
      <c r="F40" s="343"/>
      <c r="G40" s="343"/>
      <c r="H40" s="343"/>
    </row>
    <row r="41" spans="1:8" ht="15.75">
      <c r="A41" s="343" t="s">
        <v>458</v>
      </c>
      <c r="B41" s="343"/>
      <c r="C41" s="343"/>
      <c r="D41" s="343"/>
      <c r="E41" s="343"/>
      <c r="F41" s="343"/>
      <c r="G41" s="343"/>
      <c r="H41" s="343"/>
    </row>
    <row r="42" spans="1:8" ht="15.75">
      <c r="A42" s="343" t="s">
        <v>459</v>
      </c>
      <c r="B42" s="343"/>
      <c r="C42" s="343"/>
      <c r="D42" s="343"/>
      <c r="E42" s="343"/>
      <c r="F42" s="343"/>
      <c r="G42" s="343"/>
      <c r="H42" s="343"/>
    </row>
    <row r="43" spans="1:8" ht="15.75">
      <c r="A43" s="343" t="s">
        <v>460</v>
      </c>
      <c r="B43" s="343"/>
      <c r="C43" s="343"/>
      <c r="D43" s="343"/>
      <c r="E43" s="343"/>
      <c r="F43" s="343"/>
      <c r="G43" s="343"/>
      <c r="H43" s="343"/>
    </row>
    <row r="44" spans="1:8" ht="15.75">
      <c r="A44" s="343" t="s">
        <v>461</v>
      </c>
      <c r="B44" s="343"/>
      <c r="C44" s="343"/>
      <c r="D44" s="343"/>
      <c r="E44" s="343"/>
      <c r="F44" s="343"/>
      <c r="G44" s="343"/>
      <c r="H44" s="343"/>
    </row>
    <row r="45" spans="1:8" ht="15.75">
      <c r="A45" s="343"/>
      <c r="B45" s="343"/>
      <c r="C45" s="343"/>
      <c r="D45" s="343"/>
      <c r="E45" s="343"/>
      <c r="F45" s="343"/>
      <c r="G45" s="343"/>
      <c r="H45" s="343"/>
    </row>
    <row r="46" spans="1:8" ht="15.75">
      <c r="A46" s="343" t="s">
        <v>462</v>
      </c>
      <c r="B46" s="343"/>
      <c r="C46" s="343"/>
      <c r="D46" s="343"/>
      <c r="E46" s="343"/>
      <c r="F46" s="343"/>
      <c r="G46" s="343"/>
      <c r="H46" s="343"/>
    </row>
    <row r="47" spans="1:8" ht="15.75">
      <c r="A47" s="343" t="s">
        <v>463</v>
      </c>
      <c r="B47" s="343"/>
      <c r="C47" s="343"/>
      <c r="D47" s="343"/>
      <c r="E47" s="343"/>
      <c r="F47" s="343"/>
      <c r="G47" s="343"/>
      <c r="H47" s="343"/>
    </row>
    <row r="48" spans="1:8" ht="15.75">
      <c r="A48" s="343" t="s">
        <v>464</v>
      </c>
      <c r="B48" s="343"/>
      <c r="C48" s="343"/>
      <c r="D48" s="343"/>
      <c r="E48" s="343"/>
      <c r="F48" s="343"/>
      <c r="G48" s="343"/>
      <c r="H48" s="343"/>
    </row>
    <row r="49" spans="1:8" ht="15.75">
      <c r="A49" s="343" t="s">
        <v>465</v>
      </c>
      <c r="B49" s="343"/>
      <c r="C49" s="343"/>
      <c r="D49" s="343"/>
      <c r="E49" s="343"/>
      <c r="F49" s="343"/>
      <c r="G49" s="343"/>
      <c r="H49" s="343"/>
    </row>
    <row r="50" spans="1:8" ht="15.75">
      <c r="A50" s="343" t="s">
        <v>466</v>
      </c>
      <c r="B50" s="343"/>
      <c r="C50" s="343"/>
      <c r="D50" s="343"/>
      <c r="E50" s="343"/>
      <c r="F50" s="343"/>
      <c r="G50" s="343"/>
      <c r="H50" s="343"/>
    </row>
    <row r="51" spans="1:8" ht="15.75">
      <c r="A51" s="343"/>
      <c r="B51" s="343"/>
      <c r="C51" s="343"/>
      <c r="D51" s="343"/>
      <c r="E51" s="343"/>
      <c r="F51" s="343"/>
      <c r="G51" s="343"/>
      <c r="H51" s="343"/>
    </row>
    <row r="52" spans="1:8" ht="15.75">
      <c r="A52" s="344" t="s">
        <v>467</v>
      </c>
      <c r="B52" s="344"/>
      <c r="C52" s="344"/>
      <c r="D52" s="344"/>
      <c r="E52" s="344"/>
      <c r="F52" s="344"/>
      <c r="G52" s="344"/>
      <c r="H52" s="343"/>
    </row>
    <row r="53" spans="1:8" ht="15.75">
      <c r="A53" s="344" t="s">
        <v>468</v>
      </c>
      <c r="B53" s="344"/>
      <c r="C53" s="344"/>
      <c r="D53" s="344"/>
      <c r="E53" s="344"/>
      <c r="F53" s="344"/>
      <c r="G53" s="344"/>
      <c r="H53" s="343"/>
    </row>
    <row r="54" spans="1:8" ht="15.75">
      <c r="A54" s="343"/>
      <c r="B54" s="343"/>
      <c r="C54" s="343"/>
      <c r="D54" s="343"/>
      <c r="E54" s="343"/>
      <c r="F54" s="343"/>
      <c r="G54" s="343"/>
      <c r="H54" s="343"/>
    </row>
    <row r="55" spans="1:8" ht="15.75">
      <c r="A55" s="343" t="s">
        <v>469</v>
      </c>
      <c r="B55" s="343"/>
      <c r="C55" s="343"/>
      <c r="D55" s="343"/>
      <c r="E55" s="343"/>
      <c r="F55" s="343"/>
      <c r="G55" s="343"/>
      <c r="H55" s="343"/>
    </row>
    <row r="56" spans="1:8" ht="15.75">
      <c r="A56" s="343" t="s">
        <v>470</v>
      </c>
      <c r="B56" s="343"/>
      <c r="C56" s="343"/>
      <c r="D56" s="343"/>
      <c r="E56" s="343"/>
      <c r="F56" s="343"/>
      <c r="G56" s="343"/>
      <c r="H56" s="343"/>
    </row>
    <row r="57" spans="1:8" ht="15.75">
      <c r="A57" s="343" t="s">
        <v>471</v>
      </c>
      <c r="B57" s="343"/>
      <c r="C57" s="343"/>
      <c r="D57" s="343"/>
      <c r="E57" s="343"/>
      <c r="F57" s="343"/>
      <c r="G57" s="343"/>
      <c r="H57" s="343"/>
    </row>
    <row r="58" spans="1:8" ht="15.75">
      <c r="A58" s="343" t="s">
        <v>472</v>
      </c>
      <c r="B58" s="343"/>
      <c r="C58" s="343"/>
      <c r="D58" s="343"/>
      <c r="E58" s="343"/>
      <c r="F58" s="343"/>
      <c r="G58" s="343"/>
      <c r="H58" s="343"/>
    </row>
    <row r="59" spans="1:8" ht="15.75">
      <c r="A59" s="343"/>
      <c r="B59" s="343"/>
      <c r="C59" s="343"/>
      <c r="D59" s="343"/>
      <c r="E59" s="343"/>
      <c r="F59" s="343"/>
      <c r="G59" s="343"/>
      <c r="H59" s="343"/>
    </row>
    <row r="60" spans="1:8" ht="15.75">
      <c r="A60" s="343" t="s">
        <v>473</v>
      </c>
      <c r="B60" s="343"/>
      <c r="C60" s="343"/>
      <c r="D60" s="343"/>
      <c r="E60" s="343"/>
      <c r="F60" s="343"/>
      <c r="G60" s="343"/>
      <c r="H60" s="343"/>
    </row>
    <row r="61" spans="1:8" ht="15.75">
      <c r="A61" s="343" t="s">
        <v>474</v>
      </c>
      <c r="B61" s="343"/>
      <c r="C61" s="343"/>
      <c r="D61" s="343"/>
      <c r="E61" s="343"/>
      <c r="F61" s="343"/>
      <c r="G61" s="343"/>
      <c r="H61" s="343"/>
    </row>
    <row r="62" spans="1:8" ht="15.75">
      <c r="A62" s="343" t="s">
        <v>475</v>
      </c>
      <c r="B62" s="343"/>
      <c r="C62" s="343"/>
      <c r="D62" s="343"/>
      <c r="E62" s="343"/>
      <c r="F62" s="343"/>
      <c r="G62" s="343"/>
      <c r="H62" s="343"/>
    </row>
    <row r="63" spans="1:8" ht="15.75">
      <c r="A63" s="343" t="s">
        <v>476</v>
      </c>
      <c r="B63" s="343"/>
      <c r="C63" s="343"/>
      <c r="D63" s="343"/>
      <c r="E63" s="343"/>
      <c r="F63" s="343"/>
      <c r="G63" s="343"/>
      <c r="H63" s="343"/>
    </row>
    <row r="64" spans="1:8" ht="15.75">
      <c r="A64" s="343" t="s">
        <v>477</v>
      </c>
      <c r="B64" s="343"/>
      <c r="C64" s="343"/>
      <c r="D64" s="343"/>
      <c r="E64" s="343"/>
      <c r="F64" s="343"/>
      <c r="G64" s="343"/>
      <c r="H64" s="343"/>
    </row>
    <row r="65" spans="1:8" ht="15.75">
      <c r="A65" s="343" t="s">
        <v>478</v>
      </c>
      <c r="B65" s="343"/>
      <c r="C65" s="343"/>
      <c r="D65" s="343"/>
      <c r="E65" s="343"/>
      <c r="F65" s="343"/>
      <c r="G65" s="343"/>
      <c r="H65" s="343"/>
    </row>
    <row r="66" spans="1:8" ht="15.75">
      <c r="A66" s="343"/>
      <c r="B66" s="343"/>
      <c r="C66" s="343"/>
      <c r="D66" s="343"/>
      <c r="E66" s="343"/>
      <c r="F66" s="343"/>
      <c r="G66" s="343"/>
      <c r="H66" s="343"/>
    </row>
    <row r="67" spans="1:8" ht="15.75">
      <c r="A67" s="343" t="s">
        <v>479</v>
      </c>
      <c r="B67" s="343"/>
      <c r="C67" s="343"/>
      <c r="D67" s="343"/>
      <c r="E67" s="343"/>
      <c r="F67" s="343"/>
      <c r="G67" s="343"/>
      <c r="H67" s="343"/>
    </row>
    <row r="68" spans="1:8" ht="15.75">
      <c r="A68" s="343" t="s">
        <v>480</v>
      </c>
      <c r="B68" s="343"/>
      <c r="C68" s="343"/>
      <c r="D68" s="343"/>
      <c r="E68" s="343"/>
      <c r="F68" s="343"/>
      <c r="G68" s="343"/>
      <c r="H68" s="343"/>
    </row>
    <row r="69" spans="1:8" ht="15.75">
      <c r="A69" s="343" t="s">
        <v>481</v>
      </c>
      <c r="B69" s="343"/>
      <c r="C69" s="343"/>
      <c r="D69" s="343"/>
      <c r="E69" s="343"/>
      <c r="F69" s="343"/>
      <c r="G69" s="343"/>
      <c r="H69" s="343"/>
    </row>
    <row r="70" spans="1:8" ht="15.75">
      <c r="A70" s="343" t="s">
        <v>482</v>
      </c>
      <c r="B70" s="343"/>
      <c r="C70" s="343"/>
      <c r="D70" s="343"/>
      <c r="E70" s="343"/>
      <c r="F70" s="343"/>
      <c r="G70" s="343"/>
      <c r="H70" s="343"/>
    </row>
    <row r="71" spans="1:8" ht="15.75">
      <c r="A71" s="343" t="s">
        <v>483</v>
      </c>
      <c r="B71" s="343"/>
      <c r="C71" s="343"/>
      <c r="D71" s="343"/>
      <c r="E71" s="343"/>
      <c r="F71" s="343"/>
      <c r="G71" s="343"/>
      <c r="H71" s="343"/>
    </row>
    <row r="72" spans="1:8" ht="15.75">
      <c r="A72" s="343" t="s">
        <v>484</v>
      </c>
      <c r="B72" s="343"/>
      <c r="C72" s="343"/>
      <c r="D72" s="343"/>
      <c r="E72" s="343"/>
      <c r="F72" s="343"/>
      <c r="G72" s="343"/>
      <c r="H72" s="343"/>
    </row>
    <row r="73" spans="1:8" ht="15.75">
      <c r="A73" s="343" t="s">
        <v>485</v>
      </c>
      <c r="B73" s="343"/>
      <c r="C73" s="343"/>
      <c r="D73" s="343"/>
      <c r="E73" s="343"/>
      <c r="F73" s="343"/>
      <c r="G73" s="343"/>
      <c r="H73" s="343"/>
    </row>
    <row r="74" spans="1:8" ht="15.75">
      <c r="A74" s="343"/>
      <c r="B74" s="343"/>
      <c r="C74" s="343"/>
      <c r="D74" s="343"/>
      <c r="E74" s="343"/>
      <c r="F74" s="343"/>
      <c r="G74" s="343"/>
      <c r="H74" s="343"/>
    </row>
    <row r="75" spans="1:8" ht="15.75">
      <c r="A75" s="343" t="s">
        <v>486</v>
      </c>
      <c r="B75" s="343"/>
      <c r="C75" s="343"/>
      <c r="D75" s="343"/>
      <c r="E75" s="343"/>
      <c r="F75" s="343"/>
      <c r="G75" s="343"/>
      <c r="H75" s="343"/>
    </row>
    <row r="76" spans="1:8" ht="15.75">
      <c r="A76" s="343" t="s">
        <v>487</v>
      </c>
      <c r="B76" s="343"/>
      <c r="C76" s="343"/>
      <c r="D76" s="343"/>
      <c r="E76" s="343"/>
      <c r="F76" s="343"/>
      <c r="G76" s="343"/>
      <c r="H76" s="343"/>
    </row>
    <row r="77" spans="1:8" ht="15.75">
      <c r="A77" s="343" t="s">
        <v>488</v>
      </c>
      <c r="B77" s="343"/>
      <c r="C77" s="343"/>
      <c r="D77" s="343"/>
      <c r="E77" s="343"/>
      <c r="F77" s="343"/>
      <c r="G77" s="343"/>
      <c r="H77" s="343"/>
    </row>
    <row r="78" spans="1:8" ht="15.75">
      <c r="A78" s="343"/>
      <c r="B78" s="343"/>
      <c r="C78" s="343"/>
      <c r="D78" s="343"/>
      <c r="E78" s="343"/>
      <c r="F78" s="343"/>
      <c r="G78" s="343"/>
      <c r="H78" s="343"/>
    </row>
    <row r="79" ht="15.75">
      <c r="A79" s="343" t="s">
        <v>433</v>
      </c>
    </row>
    <row r="80" ht="15.75">
      <c r="A80" s="344"/>
    </row>
    <row r="81" ht="15.75">
      <c r="A81" s="343"/>
    </row>
    <row r="82" ht="15.75">
      <c r="A82" s="343"/>
    </row>
    <row r="83" ht="15.75">
      <c r="A83" s="343"/>
    </row>
    <row r="84" ht="15.75">
      <c r="A84" s="343"/>
    </row>
    <row r="85" ht="15.75">
      <c r="A85" s="343"/>
    </row>
    <row r="86" ht="15.75">
      <c r="A86" s="343"/>
    </row>
    <row r="87" ht="15.75">
      <c r="A87" s="343"/>
    </row>
    <row r="88" ht="15.75">
      <c r="A88" s="343"/>
    </row>
    <row r="89" ht="15.75">
      <c r="A89" s="343"/>
    </row>
    <row r="90" ht="15.75">
      <c r="A90" s="343"/>
    </row>
    <row r="91" ht="15.75">
      <c r="A91" s="343"/>
    </row>
    <row r="92" ht="15.75">
      <c r="A92" s="343"/>
    </row>
    <row r="93" ht="15.75">
      <c r="A93" s="343"/>
    </row>
    <row r="94" ht="15.75">
      <c r="A94" s="343"/>
    </row>
    <row r="95" ht="15.75">
      <c r="A95" s="343"/>
    </row>
    <row r="96" ht="15.75">
      <c r="A96" s="343"/>
    </row>
    <row r="97" ht="15.75">
      <c r="A97" s="343"/>
    </row>
    <row r="98" ht="15.75">
      <c r="A98" s="343"/>
    </row>
    <row r="99" ht="15.75">
      <c r="A99" s="343"/>
    </row>
    <row r="100" ht="15.75">
      <c r="A100" s="343"/>
    </row>
    <row r="101" ht="15.75">
      <c r="A101" s="343"/>
    </row>
    <row r="103" ht="15.75">
      <c r="A103" s="343"/>
    </row>
    <row r="104" ht="15.75">
      <c r="A104" s="343"/>
    </row>
    <row r="105" ht="15.75">
      <c r="A105" s="343"/>
    </row>
    <row r="107" ht="15.75">
      <c r="A107" s="344"/>
    </row>
    <row r="108" ht="15.75">
      <c r="A108" s="344"/>
    </row>
    <row r="109" ht="15.75">
      <c r="A109" s="344"/>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42" t="s">
        <v>489</v>
      </c>
      <c r="B3" s="342"/>
      <c r="C3" s="342"/>
      <c r="D3" s="342"/>
      <c r="E3" s="342"/>
      <c r="F3" s="342"/>
      <c r="G3" s="342"/>
      <c r="H3" s="342"/>
      <c r="I3" s="342"/>
      <c r="J3" s="342"/>
      <c r="K3" s="342"/>
      <c r="L3" s="342"/>
    </row>
    <row r="4" spans="1:12" ht="15.75">
      <c r="A4" s="342"/>
      <c r="B4" s="342"/>
      <c r="C4" s="342"/>
      <c r="D4" s="342"/>
      <c r="E4" s="342"/>
      <c r="F4" s="342"/>
      <c r="G4" s="342"/>
      <c r="H4" s="342"/>
      <c r="I4" s="342"/>
      <c r="J4" s="342"/>
      <c r="K4" s="342"/>
      <c r="L4" s="342"/>
    </row>
    <row r="5" spans="1:12" ht="15.75">
      <c r="A5" s="343" t="s">
        <v>378</v>
      </c>
      <c r="I5" s="342"/>
      <c r="J5" s="342"/>
      <c r="K5" s="342"/>
      <c r="L5" s="342"/>
    </row>
    <row r="6" spans="1:12" ht="15.75">
      <c r="A6" s="343" t="str">
        <f>CONCATENATE("estimated ",inputPrYr!D9-1," 'total expenditures' exceed your ",inputPrYr!D9-1,"")</f>
        <v>estimated 2014 'total expenditures' exceed your 2014</v>
      </c>
      <c r="I6" s="342"/>
      <c r="J6" s="342"/>
      <c r="K6" s="342"/>
      <c r="L6" s="342"/>
    </row>
    <row r="7" spans="1:12" ht="15.75">
      <c r="A7" s="346" t="s">
        <v>490</v>
      </c>
      <c r="I7" s="342"/>
      <c r="J7" s="342"/>
      <c r="K7" s="342"/>
      <c r="L7" s="342"/>
    </row>
    <row r="8" spans="1:12" ht="15.75">
      <c r="A8" s="343"/>
      <c r="I8" s="342"/>
      <c r="J8" s="342"/>
      <c r="K8" s="342"/>
      <c r="L8" s="342"/>
    </row>
    <row r="9" spans="1:12" ht="15.75">
      <c r="A9" s="343" t="s">
        <v>491</v>
      </c>
      <c r="I9" s="342"/>
      <c r="J9" s="342"/>
      <c r="K9" s="342"/>
      <c r="L9" s="342"/>
    </row>
    <row r="10" spans="1:12" ht="15.75">
      <c r="A10" s="343" t="s">
        <v>492</v>
      </c>
      <c r="I10" s="342"/>
      <c r="J10" s="342"/>
      <c r="K10" s="342"/>
      <c r="L10" s="342"/>
    </row>
    <row r="11" spans="1:12" ht="15.75">
      <c r="A11" s="343" t="s">
        <v>493</v>
      </c>
      <c r="I11" s="342"/>
      <c r="J11" s="342"/>
      <c r="K11" s="342"/>
      <c r="L11" s="342"/>
    </row>
    <row r="12" spans="1:12" ht="15.75">
      <c r="A12" s="343" t="s">
        <v>494</v>
      </c>
      <c r="I12" s="342"/>
      <c r="J12" s="342"/>
      <c r="K12" s="342"/>
      <c r="L12" s="342"/>
    </row>
    <row r="13" spans="1:12" ht="15.75">
      <c r="A13" s="343" t="s">
        <v>495</v>
      </c>
      <c r="I13" s="342"/>
      <c r="J13" s="342"/>
      <c r="K13" s="342"/>
      <c r="L13" s="342"/>
    </row>
    <row r="14" spans="1:12" ht="15.75">
      <c r="A14" s="342"/>
      <c r="B14" s="342"/>
      <c r="C14" s="342"/>
      <c r="D14" s="342"/>
      <c r="E14" s="342"/>
      <c r="F14" s="342"/>
      <c r="G14" s="342"/>
      <c r="H14" s="342"/>
      <c r="I14" s="342"/>
      <c r="J14" s="342"/>
      <c r="K14" s="342"/>
      <c r="L14" s="342"/>
    </row>
    <row r="15" ht="15.75">
      <c r="A15" s="344" t="s">
        <v>496</v>
      </c>
    </row>
    <row r="16" ht="15.75">
      <c r="A16" s="344" t="s">
        <v>497</v>
      </c>
    </row>
    <row r="17" ht="15.75">
      <c r="A17" s="344"/>
    </row>
    <row r="18" spans="1:7" ht="15.75">
      <c r="A18" s="343" t="s">
        <v>498</v>
      </c>
      <c r="B18" s="343"/>
      <c r="C18" s="343"/>
      <c r="D18" s="343"/>
      <c r="E18" s="343"/>
      <c r="F18" s="343"/>
      <c r="G18" s="343"/>
    </row>
    <row r="19" spans="1:7" ht="15.75">
      <c r="A19" s="343" t="str">
        <f>CONCATENATE("your ",inputPrYr!D9-1," numbers to see what steps might be necessary to")</f>
        <v>your 2014 numbers to see what steps might be necessary to</v>
      </c>
      <c r="B19" s="343"/>
      <c r="C19" s="343"/>
      <c r="D19" s="343"/>
      <c r="E19" s="343"/>
      <c r="F19" s="343"/>
      <c r="G19" s="343"/>
    </row>
    <row r="20" spans="1:7" ht="15.75">
      <c r="A20" s="343" t="s">
        <v>499</v>
      </c>
      <c r="B20" s="343"/>
      <c r="C20" s="343"/>
      <c r="D20" s="343"/>
      <c r="E20" s="343"/>
      <c r="F20" s="343"/>
      <c r="G20" s="343"/>
    </row>
    <row r="21" spans="1:7" ht="15.75">
      <c r="A21" s="343" t="s">
        <v>500</v>
      </c>
      <c r="B21" s="343"/>
      <c r="C21" s="343"/>
      <c r="D21" s="343"/>
      <c r="E21" s="343"/>
      <c r="F21" s="343"/>
      <c r="G21" s="343"/>
    </row>
    <row r="22" ht="15.75">
      <c r="A22" s="343"/>
    </row>
    <row r="23" ht="15.75">
      <c r="A23" s="344" t="s">
        <v>501</v>
      </c>
    </row>
    <row r="24" ht="15.75">
      <c r="A24" s="344"/>
    </row>
    <row r="25" ht="15.75">
      <c r="A25" s="343" t="s">
        <v>502</v>
      </c>
    </row>
    <row r="26" spans="1:6" ht="15.75">
      <c r="A26" s="343" t="s">
        <v>503</v>
      </c>
      <c r="B26" s="343"/>
      <c r="C26" s="343"/>
      <c r="D26" s="343"/>
      <c r="E26" s="343"/>
      <c r="F26" s="343"/>
    </row>
    <row r="27" spans="1:6" ht="15.75">
      <c r="A27" s="343" t="s">
        <v>504</v>
      </c>
      <c r="B27" s="343"/>
      <c r="C27" s="343"/>
      <c r="D27" s="343"/>
      <c r="E27" s="343"/>
      <c r="F27" s="343"/>
    </row>
    <row r="28" spans="1:6" ht="15.75">
      <c r="A28" s="343" t="s">
        <v>505</v>
      </c>
      <c r="B28" s="343"/>
      <c r="C28" s="343"/>
      <c r="D28" s="343"/>
      <c r="E28" s="343"/>
      <c r="F28" s="343"/>
    </row>
    <row r="29" spans="1:6" ht="15.75">
      <c r="A29" s="343"/>
      <c r="B29" s="343"/>
      <c r="C29" s="343"/>
      <c r="D29" s="343"/>
      <c r="E29" s="343"/>
      <c r="F29" s="343"/>
    </row>
    <row r="30" spans="1:7" ht="15.75">
      <c r="A30" s="344" t="s">
        <v>506</v>
      </c>
      <c r="B30" s="344"/>
      <c r="C30" s="344"/>
      <c r="D30" s="344"/>
      <c r="E30" s="344"/>
      <c r="F30" s="344"/>
      <c r="G30" s="344"/>
    </row>
    <row r="31" spans="1:7" ht="15.75">
      <c r="A31" s="344" t="s">
        <v>507</v>
      </c>
      <c r="B31" s="344"/>
      <c r="C31" s="344"/>
      <c r="D31" s="344"/>
      <c r="E31" s="344"/>
      <c r="F31" s="344"/>
      <c r="G31" s="344"/>
    </row>
    <row r="32" spans="1:6" ht="15.75">
      <c r="A32" s="343"/>
      <c r="B32" s="343"/>
      <c r="C32" s="343"/>
      <c r="D32" s="343"/>
      <c r="E32" s="343"/>
      <c r="F32" s="343"/>
    </row>
    <row r="33" spans="1:6" ht="15.75">
      <c r="A33" s="347" t="str">
        <f>CONCATENATE("Well, let's look to see if any of your ",inputPrYr!D9-1," expenditures can")</f>
        <v>Well, let's look to see if any of your 2014 expenditures can</v>
      </c>
      <c r="B33" s="343"/>
      <c r="C33" s="343"/>
      <c r="D33" s="343"/>
      <c r="E33" s="343"/>
      <c r="F33" s="343"/>
    </row>
    <row r="34" spans="1:6" ht="15.75">
      <c r="A34" s="347" t="s">
        <v>508</v>
      </c>
      <c r="B34" s="343"/>
      <c r="C34" s="343"/>
      <c r="D34" s="343"/>
      <c r="E34" s="343"/>
      <c r="F34" s="343"/>
    </row>
    <row r="35" spans="1:6" ht="15.75">
      <c r="A35" s="347" t="s">
        <v>392</v>
      </c>
      <c r="B35" s="343"/>
      <c r="C35" s="343"/>
      <c r="D35" s="343"/>
      <c r="E35" s="343"/>
      <c r="F35" s="343"/>
    </row>
    <row r="36" spans="1:6" ht="15.75">
      <c r="A36" s="347" t="s">
        <v>393</v>
      </c>
      <c r="B36" s="343"/>
      <c r="C36" s="343"/>
      <c r="D36" s="343"/>
      <c r="E36" s="343"/>
      <c r="F36" s="343"/>
    </row>
    <row r="37" spans="1:6" ht="15.75">
      <c r="A37" s="347"/>
      <c r="B37" s="343"/>
      <c r="C37" s="343"/>
      <c r="D37" s="343"/>
      <c r="E37" s="343"/>
      <c r="F37" s="343"/>
    </row>
    <row r="38" spans="1:6" ht="15.75">
      <c r="A38" s="347" t="str">
        <f>CONCATENATE("Additionally, do your ",inputPrYr!D9-1," receipts contain a reimbursement")</f>
        <v>Additionally, do your 2014 receipts contain a reimbursement</v>
      </c>
      <c r="B38" s="343"/>
      <c r="C38" s="343"/>
      <c r="D38" s="343"/>
      <c r="E38" s="343"/>
      <c r="F38" s="343"/>
    </row>
    <row r="39" spans="1:6" ht="15.75">
      <c r="A39" s="347" t="s">
        <v>394</v>
      </c>
      <c r="B39" s="343"/>
      <c r="C39" s="343"/>
      <c r="D39" s="343"/>
      <c r="E39" s="343"/>
      <c r="F39" s="343"/>
    </row>
    <row r="40" spans="1:6" ht="15.75">
      <c r="A40" s="347" t="s">
        <v>395</v>
      </c>
      <c r="B40" s="343"/>
      <c r="C40" s="343"/>
      <c r="D40" s="343"/>
      <c r="E40" s="343"/>
      <c r="F40" s="343"/>
    </row>
    <row r="41" spans="1:6" ht="15.75">
      <c r="A41" s="347"/>
      <c r="B41" s="343"/>
      <c r="C41" s="343"/>
      <c r="D41" s="343"/>
      <c r="E41" s="343"/>
      <c r="F41" s="343"/>
    </row>
    <row r="42" spans="1:6" ht="15.75">
      <c r="A42" s="347" t="s">
        <v>396</v>
      </c>
      <c r="B42" s="343"/>
      <c r="C42" s="343"/>
      <c r="D42" s="343"/>
      <c r="E42" s="343"/>
      <c r="F42" s="343"/>
    </row>
    <row r="43" spans="1:6" ht="15.75">
      <c r="A43" s="347" t="s">
        <v>397</v>
      </c>
      <c r="B43" s="343"/>
      <c r="C43" s="343"/>
      <c r="D43" s="343"/>
      <c r="E43" s="343"/>
      <c r="F43" s="343"/>
    </row>
    <row r="44" spans="1:6" ht="15.75">
      <c r="A44" s="347" t="s">
        <v>398</v>
      </c>
      <c r="B44" s="343"/>
      <c r="C44" s="343"/>
      <c r="D44" s="343"/>
      <c r="E44" s="343"/>
      <c r="F44" s="343"/>
    </row>
    <row r="45" spans="1:6" ht="15.75">
      <c r="A45" s="347" t="s">
        <v>509</v>
      </c>
      <c r="B45" s="343"/>
      <c r="C45" s="343"/>
      <c r="D45" s="343"/>
      <c r="E45" s="343"/>
      <c r="F45" s="343"/>
    </row>
    <row r="46" spans="1:6" ht="15.75">
      <c r="A46" s="347" t="s">
        <v>400</v>
      </c>
      <c r="B46" s="343"/>
      <c r="C46" s="343"/>
      <c r="D46" s="343"/>
      <c r="E46" s="343"/>
      <c r="F46" s="343"/>
    </row>
    <row r="47" spans="1:6" ht="15.75">
      <c r="A47" s="347" t="s">
        <v>510</v>
      </c>
      <c r="B47" s="343"/>
      <c r="C47" s="343"/>
      <c r="D47" s="343"/>
      <c r="E47" s="343"/>
      <c r="F47" s="343"/>
    </row>
    <row r="48" spans="1:6" ht="15.75">
      <c r="A48" s="347" t="s">
        <v>511</v>
      </c>
      <c r="B48" s="343"/>
      <c r="C48" s="343"/>
      <c r="D48" s="343"/>
      <c r="E48" s="343"/>
      <c r="F48" s="343"/>
    </row>
    <row r="49" spans="1:6" ht="15.75">
      <c r="A49" s="347" t="s">
        <v>403</v>
      </c>
      <c r="B49" s="343"/>
      <c r="C49" s="343"/>
      <c r="D49" s="343"/>
      <c r="E49" s="343"/>
      <c r="F49" s="343"/>
    </row>
    <row r="50" spans="1:6" ht="15.75">
      <c r="A50" s="347"/>
      <c r="B50" s="343"/>
      <c r="C50" s="343"/>
      <c r="D50" s="343"/>
      <c r="E50" s="343"/>
      <c r="F50" s="343"/>
    </row>
    <row r="51" spans="1:6" ht="15.75">
      <c r="A51" s="347" t="s">
        <v>404</v>
      </c>
      <c r="B51" s="343"/>
      <c r="C51" s="343"/>
      <c r="D51" s="343"/>
      <c r="E51" s="343"/>
      <c r="F51" s="343"/>
    </row>
    <row r="52" spans="1:6" ht="15.75">
      <c r="A52" s="347" t="s">
        <v>405</v>
      </c>
      <c r="B52" s="343"/>
      <c r="C52" s="343"/>
      <c r="D52" s="343"/>
      <c r="E52" s="343"/>
      <c r="F52" s="343"/>
    </row>
    <row r="53" spans="1:6" ht="15.75">
      <c r="A53" s="347" t="s">
        <v>406</v>
      </c>
      <c r="B53" s="343"/>
      <c r="C53" s="343"/>
      <c r="D53" s="343"/>
      <c r="E53" s="343"/>
      <c r="F53" s="343"/>
    </row>
    <row r="54" spans="1:6" ht="15.75">
      <c r="A54" s="347"/>
      <c r="B54" s="343"/>
      <c r="C54" s="343"/>
      <c r="D54" s="343"/>
      <c r="E54" s="343"/>
      <c r="F54" s="343"/>
    </row>
    <row r="55" spans="1:6" ht="15.75">
      <c r="A55" s="347" t="s">
        <v>512</v>
      </c>
      <c r="B55" s="343"/>
      <c r="C55" s="343"/>
      <c r="D55" s="343"/>
      <c r="E55" s="343"/>
      <c r="F55" s="343"/>
    </row>
    <row r="56" spans="1:6" ht="15.75">
      <c r="A56" s="347" t="s">
        <v>513</v>
      </c>
      <c r="B56" s="343"/>
      <c r="C56" s="343"/>
      <c r="D56" s="343"/>
      <c r="E56" s="343"/>
      <c r="F56" s="343"/>
    </row>
    <row r="57" spans="1:6" ht="15.75">
      <c r="A57" s="347" t="s">
        <v>514</v>
      </c>
      <c r="B57" s="343"/>
      <c r="C57" s="343"/>
      <c r="D57" s="343"/>
      <c r="E57" s="343"/>
      <c r="F57" s="343"/>
    </row>
    <row r="58" spans="1:6" ht="15.75">
      <c r="A58" s="347" t="s">
        <v>515</v>
      </c>
      <c r="B58" s="343"/>
      <c r="C58" s="343"/>
      <c r="D58" s="343"/>
      <c r="E58" s="343"/>
      <c r="F58" s="343"/>
    </row>
    <row r="59" spans="1:6" ht="15.75">
      <c r="A59" s="347" t="s">
        <v>516</v>
      </c>
      <c r="B59" s="343"/>
      <c r="C59" s="343"/>
      <c r="D59" s="343"/>
      <c r="E59" s="343"/>
      <c r="F59" s="343"/>
    </row>
    <row r="60" spans="1:6" ht="15.75">
      <c r="A60" s="347"/>
      <c r="B60" s="343"/>
      <c r="C60" s="343"/>
      <c r="D60" s="343"/>
      <c r="E60" s="343"/>
      <c r="F60" s="343"/>
    </row>
    <row r="61" spans="1:6" ht="15.75">
      <c r="A61" s="348" t="s">
        <v>517</v>
      </c>
      <c r="B61" s="343"/>
      <c r="C61" s="343"/>
      <c r="D61" s="343"/>
      <c r="E61" s="343"/>
      <c r="F61" s="343"/>
    </row>
    <row r="62" spans="1:6" ht="15.75">
      <c r="A62" s="348" t="s">
        <v>518</v>
      </c>
      <c r="B62" s="343"/>
      <c r="C62" s="343"/>
      <c r="D62" s="343"/>
      <c r="E62" s="343"/>
      <c r="F62" s="343"/>
    </row>
    <row r="63" spans="1:6" ht="15.75">
      <c r="A63" s="348" t="s">
        <v>519</v>
      </c>
      <c r="B63" s="343"/>
      <c r="C63" s="343"/>
      <c r="D63" s="343"/>
      <c r="E63" s="343"/>
      <c r="F63" s="343"/>
    </row>
    <row r="64" ht="15.75">
      <c r="A64" s="348" t="s">
        <v>520</v>
      </c>
    </row>
    <row r="65" ht="15.75">
      <c r="A65" s="348" t="s">
        <v>521</v>
      </c>
    </row>
    <row r="66" ht="15.75">
      <c r="A66" s="348" t="s">
        <v>522</v>
      </c>
    </row>
    <row r="68" ht="15.75">
      <c r="A68" s="343" t="s">
        <v>523</v>
      </c>
    </row>
    <row r="69" ht="15.75">
      <c r="A69" s="343" t="s">
        <v>524</v>
      </c>
    </row>
    <row r="70" ht="15.75">
      <c r="A70" s="343" t="s">
        <v>525</v>
      </c>
    </row>
    <row r="71" ht="15.75">
      <c r="A71" s="343" t="s">
        <v>526</v>
      </c>
    </row>
    <row r="72" ht="15.75">
      <c r="A72" s="343" t="s">
        <v>527</v>
      </c>
    </row>
    <row r="73" ht="15.75">
      <c r="A73" s="343" t="s">
        <v>528</v>
      </c>
    </row>
    <row r="75" ht="15.75">
      <c r="A75" s="343" t="s">
        <v>433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3">
      <selection activeCell="B84" sqref="B8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27" t="str">
        <f>inputPrYr!D3</f>
        <v>VIOLA TOWNSHIP</v>
      </c>
      <c r="B1" s="19"/>
      <c r="C1" s="19"/>
      <c r="D1" s="19"/>
      <c r="E1" s="19">
        <f>inputPrYr!D9</f>
        <v>2015</v>
      </c>
    </row>
    <row r="2" spans="1:5" ht="15.75">
      <c r="A2" s="27" t="str">
        <f>inputPrYr!D4</f>
        <v>SEDGWICK COUNTY</v>
      </c>
      <c r="B2" s="19"/>
      <c r="C2" s="19"/>
      <c r="D2" s="19"/>
      <c r="E2" s="19"/>
    </row>
    <row r="3" spans="1:5" ht="15.75">
      <c r="A3" s="19"/>
      <c r="B3" s="19"/>
      <c r="C3" s="19"/>
      <c r="D3" s="19"/>
      <c r="E3" s="19"/>
    </row>
    <row r="4" spans="1:5" ht="15.75">
      <c r="A4" s="803" t="s">
        <v>83</v>
      </c>
      <c r="B4" s="804"/>
      <c r="C4" s="804"/>
      <c r="D4" s="804"/>
      <c r="E4" s="804"/>
    </row>
    <row r="5" spans="1:5" ht="15.75">
      <c r="A5" s="19"/>
      <c r="B5" s="19"/>
      <c r="C5" s="19"/>
      <c r="D5" s="19"/>
      <c r="E5" s="19"/>
    </row>
    <row r="6" spans="1:5" ht="15.75">
      <c r="A6" s="807" t="str">
        <f>CONCATENATE("From the County Clerks Budget Information for ",E1,":")</f>
        <v>From the County Clerks Budget Information for 2015:</v>
      </c>
      <c r="B6" s="808"/>
      <c r="C6" s="808"/>
      <c r="D6" s="808"/>
      <c r="E6" s="808"/>
    </row>
    <row r="7" spans="1:5" ht="15.75">
      <c r="A7" s="37" t="str">
        <f>CONCATENATE("Assessed Valuation for ",E1-1,":")</f>
        <v>Assessed Valuation for 2014:</v>
      </c>
      <c r="B7" s="8"/>
      <c r="C7" s="8"/>
      <c r="D7" s="8"/>
      <c r="E7" s="22"/>
    </row>
    <row r="8" spans="1:5" ht="15.75">
      <c r="A8" s="11" t="s">
        <v>131</v>
      </c>
      <c r="B8" s="12"/>
      <c r="C8" s="12"/>
      <c r="D8" s="12"/>
      <c r="E8" s="778">
        <v>3776916</v>
      </c>
    </row>
    <row r="9" spans="1:5" ht="15.75">
      <c r="A9" s="13" t="str">
        <f>inputPrYr!D6</f>
        <v>Viola</v>
      </c>
      <c r="B9" s="14"/>
      <c r="C9" s="14"/>
      <c r="D9" s="14"/>
      <c r="E9" s="778">
        <v>623607</v>
      </c>
    </row>
    <row r="10" spans="1:5" ht="15.75">
      <c r="A10" s="13">
        <f>inputPrYr!$D$7</f>
        <v>0</v>
      </c>
      <c r="B10" s="14"/>
      <c r="C10" s="14"/>
      <c r="D10" s="14"/>
      <c r="E10" s="709"/>
    </row>
    <row r="11" spans="1:5" ht="15.75">
      <c r="A11" s="13" t="str">
        <f>CONCATENATE("Total Assessed Valuation for ",$E$1-1,"")</f>
        <v>Total Assessed Valuation for 2014</v>
      </c>
      <c r="B11" s="14"/>
      <c r="C11" s="14"/>
      <c r="D11" s="14"/>
      <c r="E11" s="35">
        <f>SUM(E8:E10)</f>
        <v>4400523</v>
      </c>
    </row>
    <row r="12" spans="1:5" ht="15.75">
      <c r="A12" s="36" t="str">
        <f>CONCATENATE("New Improvements for ",E1-1,":")</f>
        <v>New Improvements for 2014:</v>
      </c>
      <c r="B12" s="8"/>
      <c r="C12" s="8"/>
      <c r="D12" s="8"/>
      <c r="E12" s="21"/>
    </row>
    <row r="13" spans="1:5" ht="15.75">
      <c r="A13" s="11" t="s">
        <v>131</v>
      </c>
      <c r="B13" s="12"/>
      <c r="C13" s="12"/>
      <c r="D13" s="12"/>
      <c r="E13" s="780">
        <v>19384</v>
      </c>
    </row>
    <row r="14" spans="1:5" ht="15.75">
      <c r="A14" s="13" t="str">
        <f>inputPrYr!$D$6</f>
        <v>Viola</v>
      </c>
      <c r="B14" s="12"/>
      <c r="C14" s="12"/>
      <c r="D14" s="12"/>
      <c r="E14" s="779">
        <v>0</v>
      </c>
    </row>
    <row r="15" spans="1:5" ht="15.75">
      <c r="A15" s="13">
        <f>inputPrYr!$D$7</f>
        <v>0</v>
      </c>
      <c r="B15" s="12"/>
      <c r="C15" s="12"/>
      <c r="D15" s="12"/>
      <c r="E15" s="710"/>
    </row>
    <row r="16" spans="1:5" ht="15.75">
      <c r="A16" s="13" t="str">
        <f>CONCATENATE("Total New Improvements for ",$E$1-1,"")</f>
        <v>Total New Improvements for 2014</v>
      </c>
      <c r="B16" s="14"/>
      <c r="C16" s="14"/>
      <c r="D16" s="14"/>
      <c r="E16" s="34">
        <f>SUM(E13:E15)</f>
        <v>19384</v>
      </c>
    </row>
    <row r="17" spans="1:5" ht="15.75">
      <c r="A17" s="36" t="str">
        <f>CONCATENATE("Personal Property excluding oil, gas, and mobile homes- ",E1-1,":")</f>
        <v>Personal Property excluding oil, gas, and mobile homes- 2014:</v>
      </c>
      <c r="B17" s="8"/>
      <c r="C17" s="8"/>
      <c r="D17" s="8"/>
      <c r="E17" s="21"/>
    </row>
    <row r="18" spans="1:5" ht="15.75">
      <c r="A18" s="11" t="s">
        <v>131</v>
      </c>
      <c r="B18" s="12"/>
      <c r="C18" s="12"/>
      <c r="D18" s="12"/>
      <c r="E18" s="780">
        <v>59061</v>
      </c>
    </row>
    <row r="19" spans="1:5" ht="15.75">
      <c r="A19" s="13" t="str">
        <f>inputPrYr!$D$6</f>
        <v>Viola</v>
      </c>
      <c r="B19" s="14"/>
      <c r="C19" s="14"/>
      <c r="D19" s="14"/>
      <c r="E19" s="779">
        <v>0</v>
      </c>
    </row>
    <row r="20" spans="1:5" ht="15.75">
      <c r="A20" s="13">
        <f>inputPrYr!$D$7</f>
        <v>0</v>
      </c>
      <c r="B20" s="14"/>
      <c r="C20" s="14"/>
      <c r="D20" s="14"/>
      <c r="E20" s="710"/>
    </row>
    <row r="21" spans="1:5" ht="15.75">
      <c r="A21" s="13" t="str">
        <f>CONCATENATE("Total Personal Property excluding oil, gas, and mobile homes for ",$E$1-1,"")</f>
        <v>Total Personal Property excluding oil, gas, and mobile homes for 2014</v>
      </c>
      <c r="B21" s="14"/>
      <c r="C21" s="14"/>
      <c r="D21" s="14"/>
      <c r="E21" s="34">
        <f>SUM(E18:E20)</f>
        <v>59061</v>
      </c>
    </row>
    <row r="22" spans="1:5" ht="15.75">
      <c r="A22" s="36" t="str">
        <f>CONCATENATE("Property that has changed in use for ",E1-1,":")</f>
        <v>Property that has changed in use for 2014:</v>
      </c>
      <c r="B22" s="8"/>
      <c r="C22" s="8"/>
      <c r="D22" s="8"/>
      <c r="E22" s="21"/>
    </row>
    <row r="23" spans="1:5" ht="15.75">
      <c r="A23" s="11" t="s">
        <v>131</v>
      </c>
      <c r="B23" s="12"/>
      <c r="C23" s="12"/>
      <c r="D23" s="12"/>
      <c r="E23" s="710">
        <v>14559</v>
      </c>
    </row>
    <row r="24" spans="1:5" ht="15.75">
      <c r="A24" s="13" t="str">
        <f>inputPrYr!$D$6</f>
        <v>Viola</v>
      </c>
      <c r="B24" s="14"/>
      <c r="C24" s="14"/>
      <c r="D24" s="14"/>
      <c r="E24" s="710"/>
    </row>
    <row r="25" spans="1:5" ht="15.75">
      <c r="A25" s="13">
        <f>inputPrYr!$D$7</f>
        <v>0</v>
      </c>
      <c r="B25" s="14"/>
      <c r="C25" s="14"/>
      <c r="D25" s="14"/>
      <c r="E25" s="710"/>
    </row>
    <row r="26" spans="1:5" ht="15.75">
      <c r="A26" s="13" t="str">
        <f>CONCATENATE("Total Property that has changed in use for ",$E$1-1,"")</f>
        <v>Total Property that has changed in use for 2014</v>
      </c>
      <c r="B26" s="14"/>
      <c r="C26" s="14"/>
      <c r="D26" s="14"/>
      <c r="E26" s="34">
        <f>SUM(E23:E25)</f>
        <v>14559</v>
      </c>
    </row>
    <row r="27" spans="1:5" ht="15.75">
      <c r="A27" s="36" t="str">
        <f>CONCATENATE("Personal Property excluding oil, gas, and mobile homes- ",E1-2,":")</f>
        <v>Personal Property excluding oil, gas, and mobile homes- 2013:</v>
      </c>
      <c r="B27" s="8"/>
      <c r="C27" s="8"/>
      <c r="D27" s="8"/>
      <c r="E27" s="21"/>
    </row>
    <row r="28" spans="1:5" ht="15.75">
      <c r="A28" s="11" t="s">
        <v>131</v>
      </c>
      <c r="B28" s="12"/>
      <c r="C28" s="12"/>
      <c r="D28" s="12"/>
      <c r="E28" s="710">
        <v>89981</v>
      </c>
    </row>
    <row r="29" spans="1:5" ht="15.75">
      <c r="A29" s="13" t="str">
        <f>inputPrYr!$D$6</f>
        <v>Viola</v>
      </c>
      <c r="B29" s="14"/>
      <c r="C29" s="14"/>
      <c r="D29" s="14"/>
      <c r="E29" s="710"/>
    </row>
    <row r="30" spans="1:5" ht="15.75">
      <c r="A30" s="13">
        <f>inputPrYr!$D$7</f>
        <v>0</v>
      </c>
      <c r="B30" s="14"/>
      <c r="C30" s="14"/>
      <c r="D30" s="14"/>
      <c r="E30" s="710"/>
    </row>
    <row r="31" spans="1:5" ht="15.75">
      <c r="A31" s="13" t="str">
        <f>CONCATENATE("Total Personal Property excluding oil, gas, and mobile homes for ",$E$1-2,"")</f>
        <v>Total Personal Property excluding oil, gas, and mobile homes for 2013</v>
      </c>
      <c r="B31" s="14"/>
      <c r="C31" s="14"/>
      <c r="D31" s="14"/>
      <c r="E31" s="34">
        <f>SUM(E28:E30)</f>
        <v>89981</v>
      </c>
    </row>
    <row r="32" spans="1:5" ht="15.75">
      <c r="A32" s="13" t="str">
        <f>CONCATENATE("Gross earnings (intangible) tax estimate for ",E1,"")</f>
        <v>Gross earnings (intangible) tax estimate for 2015</v>
      </c>
      <c r="B32" s="14"/>
      <c r="C32" s="14"/>
      <c r="D32" s="14"/>
      <c r="E32" s="710">
        <v>0</v>
      </c>
    </row>
    <row r="33" spans="1:5" ht="15.75">
      <c r="A33" s="13" t="str">
        <f>CONCATENATE("Neighborhood Revitalization for ",E1,"")</f>
        <v>Neighborhood Revitalization for 2015</v>
      </c>
      <c r="B33" s="14"/>
      <c r="C33" s="14"/>
      <c r="D33" s="14"/>
      <c r="E33" s="710">
        <v>0</v>
      </c>
    </row>
    <row r="34" spans="1:5" ht="15.75">
      <c r="A34" s="4"/>
      <c r="B34" s="8"/>
      <c r="C34" s="8"/>
      <c r="D34" s="8"/>
      <c r="E34" s="21"/>
    </row>
    <row r="35" spans="1:5" ht="15.75">
      <c r="A35" s="36" t="str">
        <f>CONCATENATE("Actual Tax Rates for the ",E1-1," Budget:")</f>
        <v>Actual Tax Rates for the 2014 Budget:</v>
      </c>
      <c r="B35" s="8"/>
      <c r="C35" s="8"/>
      <c r="D35" s="8"/>
      <c r="E35" s="22"/>
    </row>
    <row r="36" spans="1:5" ht="15.75">
      <c r="A36" s="805" t="s">
        <v>227</v>
      </c>
      <c r="B36" s="806"/>
      <c r="C36" s="19"/>
      <c r="D36" s="23" t="s">
        <v>239</v>
      </c>
      <c r="E36" s="22"/>
    </row>
    <row r="37" spans="1:5" ht="15.75">
      <c r="A37" s="11" t="str">
        <f>inputPrYr!B20</f>
        <v>General</v>
      </c>
      <c r="B37" s="12"/>
      <c r="C37" s="8"/>
      <c r="D37" s="781">
        <v>3.053</v>
      </c>
      <c r="E37" s="22"/>
    </row>
    <row r="38" spans="1:5" ht="15.75">
      <c r="A38" s="11" t="str">
        <f>inputPrYr!B21</f>
        <v>Debt Service</v>
      </c>
      <c r="B38" s="14"/>
      <c r="C38" s="8"/>
      <c r="D38" s="782">
        <v>0</v>
      </c>
      <c r="E38" s="22"/>
    </row>
    <row r="39" spans="1:5" ht="15.75">
      <c r="A39" s="11" t="str">
        <f>inputPrYr!B22</f>
        <v>Library</v>
      </c>
      <c r="B39" s="14"/>
      <c r="C39" s="8"/>
      <c r="D39" s="782">
        <v>0.597</v>
      </c>
      <c r="E39" s="22"/>
    </row>
    <row r="40" spans="1:5" ht="15.75">
      <c r="A40" s="11" t="str">
        <f>inputPrYr!B23</f>
        <v>Road</v>
      </c>
      <c r="B40" s="14"/>
      <c r="C40" s="8"/>
      <c r="D40" s="782">
        <v>11.038</v>
      </c>
      <c r="E40" s="22"/>
    </row>
    <row r="41" spans="1:5" ht="15.75">
      <c r="A41" s="11" t="str">
        <f>inputPrYr!B24</f>
        <v>Special Road</v>
      </c>
      <c r="B41" s="14"/>
      <c r="C41" s="8"/>
      <c r="D41" s="782">
        <v>0</v>
      </c>
      <c r="E41" s="22"/>
    </row>
    <row r="42" spans="1:5" ht="15.75">
      <c r="A42" s="11" t="str">
        <f>inputPrYr!B25</f>
        <v>Noxious Weed</v>
      </c>
      <c r="B42" s="14"/>
      <c r="C42" s="8"/>
      <c r="D42" s="782">
        <v>0</v>
      </c>
      <c r="E42" s="22"/>
    </row>
    <row r="43" spans="1:5" ht="15.75">
      <c r="A43" s="11" t="str">
        <f>inputPrYr!B26</f>
        <v>Fire Protection</v>
      </c>
      <c r="B43" s="14"/>
      <c r="C43" s="8"/>
      <c r="D43" s="783">
        <v>0</v>
      </c>
      <c r="E43" s="22"/>
    </row>
    <row r="44" spans="1:5" ht="15.75">
      <c r="A44" s="11" t="str">
        <f>inputPrYr!B27</f>
        <v>Cemetery</v>
      </c>
      <c r="B44" s="14"/>
      <c r="C44" s="8"/>
      <c r="D44" s="783">
        <v>0.372</v>
      </c>
      <c r="E44" s="22"/>
    </row>
    <row r="45" spans="1:5" ht="15.75">
      <c r="A45" s="11" t="str">
        <f>inputPrYr!B28</f>
        <v>Township Hall</v>
      </c>
      <c r="B45" s="14"/>
      <c r="C45" s="8"/>
      <c r="D45" s="783">
        <v>1.295</v>
      </c>
      <c r="E45" s="22"/>
    </row>
    <row r="46" spans="1:5" ht="15.75">
      <c r="A46" s="11">
        <f>inputPrYr!B29</f>
        <v>0</v>
      </c>
      <c r="B46" s="14"/>
      <c r="C46" s="8"/>
      <c r="D46" s="712"/>
      <c r="E46" s="22"/>
    </row>
    <row r="47" spans="1:5" ht="15.75">
      <c r="A47" s="11">
        <f>inputPrYr!B30</f>
        <v>0</v>
      </c>
      <c r="B47" s="14"/>
      <c r="C47" s="8"/>
      <c r="D47" s="712"/>
      <c r="E47" s="22"/>
    </row>
    <row r="48" spans="1:5" ht="15.75">
      <c r="A48" s="11">
        <f>inputPrYr!B31</f>
        <v>0</v>
      </c>
      <c r="B48" s="14"/>
      <c r="C48" s="8"/>
      <c r="D48" s="711"/>
      <c r="E48" s="22"/>
    </row>
    <row r="49" spans="1:5" ht="15.75">
      <c r="A49" s="3"/>
      <c r="B49" s="8" t="s">
        <v>217</v>
      </c>
      <c r="C49" s="8"/>
      <c r="D49" s="28">
        <f>SUM(D37:D48)</f>
        <v>16.355</v>
      </c>
      <c r="E49" s="3"/>
    </row>
    <row r="50" spans="1:5" ht="15.75">
      <c r="A50" s="3"/>
      <c r="B50" s="3"/>
      <c r="C50" s="3"/>
      <c r="D50" s="3"/>
      <c r="E50" s="3"/>
    </row>
    <row r="51" spans="1:5" ht="15.75">
      <c r="A51" s="33" t="str">
        <f>CONCATENATE("Final Assessed Valuation from the November 1, ",E1-2," Abstract:")</f>
        <v>Final Assessed Valuation from the November 1, 2013 Abstract:</v>
      </c>
      <c r="B51" s="8"/>
      <c r="C51" s="8"/>
      <c r="D51" s="8"/>
      <c r="E51" s="7"/>
    </row>
    <row r="52" spans="1:5" ht="15.75">
      <c r="A52" s="12" t="s">
        <v>131</v>
      </c>
      <c r="B52" s="12"/>
      <c r="C52" s="12"/>
      <c r="D52" s="12"/>
      <c r="E52" s="2">
        <v>3487866</v>
      </c>
    </row>
    <row r="53" spans="1:5" ht="15.75">
      <c r="A53" s="14" t="str">
        <f>inputPrYr!D6</f>
        <v>Viola</v>
      </c>
      <c r="B53" s="14"/>
      <c r="C53" s="14"/>
      <c r="D53" s="18"/>
      <c r="E53" s="2">
        <v>608667</v>
      </c>
    </row>
    <row r="54" spans="1:5" ht="15.75">
      <c r="A54" s="14">
        <f>inputPrYr!D7</f>
        <v>0</v>
      </c>
      <c r="B54" s="14"/>
      <c r="C54" s="14"/>
      <c r="D54" s="18"/>
      <c r="E54" s="2"/>
    </row>
    <row r="55" spans="1:5" ht="15.75">
      <c r="A55" s="14" t="str">
        <f>CONCATENATE("Total  Final Assessed Valuation from the November 1, ",E1-2," Abstract:")</f>
        <v>Total  Final Assessed Valuation from the November 1, 2013 Abstract:</v>
      </c>
      <c r="B55" s="14"/>
      <c r="C55" s="14"/>
      <c r="D55" s="18"/>
      <c r="E55" s="32">
        <f>SUM(E52:E54)</f>
        <v>4096533</v>
      </c>
    </row>
    <row r="56" spans="1:5" ht="15.75">
      <c r="A56" s="3"/>
      <c r="B56" s="3"/>
      <c r="C56" s="3"/>
      <c r="D56" s="3"/>
      <c r="E56" s="3"/>
    </row>
    <row r="57" spans="1:5" ht="15.75">
      <c r="A57" s="16" t="str">
        <f>CONCATENATE("From the County Treasurer's Budget Information - ",E1," Budget Year Estimates:")</f>
        <v>From the County Treasurer's Budget Information - 2015 Budget Year Estimates:</v>
      </c>
      <c r="B57" s="17"/>
      <c r="C57" s="17"/>
      <c r="D57" s="24"/>
      <c r="E57" s="38"/>
    </row>
    <row r="58" spans="1:5" ht="15.75">
      <c r="A58" s="29" t="s">
        <v>124</v>
      </c>
      <c r="B58" s="12"/>
      <c r="C58" s="12"/>
      <c r="D58" s="6"/>
      <c r="E58" s="5"/>
    </row>
    <row r="59" spans="1:5" ht="15.75">
      <c r="A59" s="11" t="s">
        <v>84</v>
      </c>
      <c r="B59" s="12"/>
      <c r="C59" s="12"/>
      <c r="D59" s="25"/>
      <c r="E59" s="784">
        <v>8770.39</v>
      </c>
    </row>
    <row r="60" spans="1:5" ht="15.75">
      <c r="A60" s="13" t="s">
        <v>218</v>
      </c>
      <c r="B60" s="14"/>
      <c r="C60" s="14"/>
      <c r="D60" s="26"/>
      <c r="E60" s="784">
        <v>86.85</v>
      </c>
    </row>
    <row r="61" spans="1:5" ht="15.75">
      <c r="A61" s="13" t="s">
        <v>85</v>
      </c>
      <c r="B61" s="14"/>
      <c r="C61" s="14"/>
      <c r="D61" s="26"/>
      <c r="E61" s="784">
        <v>353.18</v>
      </c>
    </row>
    <row r="62" spans="1:5" ht="15.75">
      <c r="A62" s="30" t="s">
        <v>128</v>
      </c>
      <c r="B62" s="31"/>
      <c r="C62" s="14"/>
      <c r="D62" s="26"/>
      <c r="E62" s="785"/>
    </row>
    <row r="63" spans="1:5" ht="15.75">
      <c r="A63" s="11" t="s">
        <v>125</v>
      </c>
      <c r="B63" s="14"/>
      <c r="C63" s="14"/>
      <c r="D63" s="26"/>
      <c r="E63" s="784">
        <v>647.24</v>
      </c>
    </row>
    <row r="64" spans="1:5" ht="15.75">
      <c r="A64" s="13" t="s">
        <v>126</v>
      </c>
      <c r="B64" s="14"/>
      <c r="C64" s="14"/>
      <c r="D64" s="26"/>
      <c r="E64" s="784">
        <v>14.83</v>
      </c>
    </row>
    <row r="65" spans="1:5" ht="15.75">
      <c r="A65" s="13" t="s">
        <v>127</v>
      </c>
      <c r="B65" s="14"/>
      <c r="C65" s="14"/>
      <c r="D65" s="26"/>
      <c r="E65" s="784">
        <v>0</v>
      </c>
    </row>
    <row r="66" spans="1:5" ht="15.75">
      <c r="A66" s="30" t="s">
        <v>129</v>
      </c>
      <c r="B66" s="31"/>
      <c r="C66" s="14"/>
      <c r="D66" s="26"/>
      <c r="E66" s="785"/>
    </row>
    <row r="67" spans="1:5" ht="15.75">
      <c r="A67" s="11" t="s">
        <v>125</v>
      </c>
      <c r="B67" s="14"/>
      <c r="C67" s="14"/>
      <c r="D67" s="26"/>
      <c r="E67" s="784"/>
    </row>
    <row r="68" spans="1:5" ht="15.75">
      <c r="A68" s="13" t="s">
        <v>126</v>
      </c>
      <c r="B68" s="14"/>
      <c r="C68" s="14"/>
      <c r="D68" s="26"/>
      <c r="E68" s="784"/>
    </row>
    <row r="69" spans="1:5" ht="15.75">
      <c r="A69" s="13" t="s">
        <v>127</v>
      </c>
      <c r="B69" s="14"/>
      <c r="C69" s="14"/>
      <c r="D69" s="26"/>
      <c r="E69" s="784"/>
    </row>
    <row r="70" spans="1:5" ht="15.75">
      <c r="A70" s="13"/>
      <c r="B70" s="14"/>
      <c r="C70" s="14"/>
      <c r="D70" s="26"/>
      <c r="E70" s="785"/>
    </row>
    <row r="71" spans="1:5" ht="15.75">
      <c r="A71" s="13" t="s">
        <v>86</v>
      </c>
      <c r="B71" s="14"/>
      <c r="C71" s="14"/>
      <c r="D71" s="26"/>
      <c r="E71" s="784">
        <v>0</v>
      </c>
    </row>
    <row r="72" spans="1:5" ht="15.75">
      <c r="A72" s="13" t="s">
        <v>52</v>
      </c>
      <c r="B72" s="12"/>
      <c r="C72" s="12"/>
      <c r="D72" s="25"/>
      <c r="E72" s="784">
        <v>35000</v>
      </c>
    </row>
    <row r="73" spans="1:5" ht="33" customHeight="1">
      <c r="A73" s="809" t="s">
        <v>130</v>
      </c>
      <c r="B73" s="810"/>
      <c r="C73" s="810"/>
      <c r="D73" s="810"/>
      <c r="E73" s="810"/>
    </row>
    <row r="74" spans="1:5" ht="15.75">
      <c r="A74" s="3"/>
      <c r="B74" s="3"/>
      <c r="C74" s="3"/>
      <c r="D74" s="3"/>
      <c r="E74" s="3"/>
    </row>
    <row r="75" spans="1:5" ht="15.75">
      <c r="A75" s="10" t="s">
        <v>87</v>
      </c>
      <c r="B75" s="9"/>
      <c r="C75" s="9"/>
      <c r="D75" s="3"/>
      <c r="E75" s="3"/>
    </row>
    <row r="76" spans="1:5" ht="15.75">
      <c r="A76" s="58" t="str">
        <f>CONCATENATE("Actual Delinquency for ",E36-3," Tax - (rate .01213 = 1.213%, key in 1.2)")</f>
        <v>Actual Delinquency for -3 Tax - (rate .01213 = 1.213%, key in 1.2)</v>
      </c>
      <c r="B76" s="12"/>
      <c r="C76" s="12"/>
      <c r="D76" s="546"/>
      <c r="E76" s="547">
        <v>0.036</v>
      </c>
    </row>
    <row r="77" spans="1:5" ht="15.75">
      <c r="A77" s="58" t="s">
        <v>768</v>
      </c>
      <c r="B77" s="15"/>
      <c r="C77" s="8"/>
      <c r="D77" s="8"/>
      <c r="E77" s="548">
        <v>0</v>
      </c>
    </row>
    <row r="78" spans="1:5" ht="34.5" customHeight="1">
      <c r="A78" s="801" t="s">
        <v>88</v>
      </c>
      <c r="B78" s="802"/>
      <c r="C78" s="802"/>
      <c r="D78" s="802"/>
      <c r="E78" s="802"/>
    </row>
    <row r="79" spans="1:5" ht="15.75">
      <c r="A79" s="20"/>
      <c r="B79" s="20"/>
      <c r="C79" s="20"/>
      <c r="D79" s="20"/>
      <c r="E79" s="20"/>
    </row>
    <row r="80" spans="1:5" ht="15.75">
      <c r="A80" s="797" t="str">
        <f>CONCATENATE("From the ",E1-2," Budget Certificate Page")</f>
        <v>From the 2013 Budget Certificate Page</v>
      </c>
      <c r="B80" s="798"/>
      <c r="C80" s="20"/>
      <c r="D80" s="20"/>
      <c r="E80" s="20"/>
    </row>
    <row r="81" spans="1:5" ht="15.75">
      <c r="A81" s="39"/>
      <c r="B81" s="39" t="str">
        <f>CONCATENATE("",E1-2," Expenditure Amounts")</f>
        <v>2013 Expenditure Amounts</v>
      </c>
      <c r="C81" s="799" t="str">
        <f>CONCATENATE("Note: If the ",E1-2," budget was amended, then the")</f>
        <v>Note: If the 2013 budget was amended, then the</v>
      </c>
      <c r="D81" s="800"/>
      <c r="E81" s="800"/>
    </row>
    <row r="82" spans="1:5" ht="15.75">
      <c r="A82" s="40" t="s">
        <v>148</v>
      </c>
      <c r="B82" s="40" t="s">
        <v>149</v>
      </c>
      <c r="C82" s="41" t="s">
        <v>150</v>
      </c>
      <c r="D82" s="42"/>
      <c r="E82" s="42"/>
    </row>
    <row r="83" spans="1:5" ht="15.75">
      <c r="A83" s="43" t="str">
        <f>inputPrYr!B20</f>
        <v>General</v>
      </c>
      <c r="B83" s="2">
        <v>11930</v>
      </c>
      <c r="C83" s="41" t="s">
        <v>151</v>
      </c>
      <c r="D83" s="44"/>
      <c r="E83" s="44"/>
    </row>
    <row r="84" spans="1:5" ht="15.75">
      <c r="A84" s="43" t="str">
        <f>inputPrYr!B21</f>
        <v>Debt Service</v>
      </c>
      <c r="B84" s="2">
        <v>0</v>
      </c>
      <c r="C84" s="41"/>
      <c r="D84" s="44"/>
      <c r="E84" s="44"/>
    </row>
    <row r="85" spans="1:5" ht="15.75">
      <c r="A85" s="43" t="str">
        <f>inputPrYr!B22</f>
        <v>Library</v>
      </c>
      <c r="B85" s="2">
        <v>2780</v>
      </c>
      <c r="C85" s="41"/>
      <c r="D85" s="44"/>
      <c r="E85" s="44"/>
    </row>
    <row r="86" spans="1:5" ht="15.75">
      <c r="A86" s="43" t="str">
        <f>inputPrYr!B23</f>
        <v>Road</v>
      </c>
      <c r="B86" s="2">
        <v>76748</v>
      </c>
      <c r="C86" s="20"/>
      <c r="D86" s="20"/>
      <c r="E86" s="20"/>
    </row>
    <row r="87" spans="1:5" ht="15.75">
      <c r="A87" s="43" t="str">
        <f>inputPrYr!B24</f>
        <v>Special Road</v>
      </c>
      <c r="B87" s="2">
        <v>0</v>
      </c>
      <c r="C87" s="20"/>
      <c r="D87" s="20"/>
      <c r="E87" s="20"/>
    </row>
    <row r="88" spans="1:5" ht="15.75">
      <c r="A88" s="43" t="str">
        <f>inputPrYr!B25</f>
        <v>Noxious Weed</v>
      </c>
      <c r="B88" s="2">
        <v>0</v>
      </c>
      <c r="C88" s="20"/>
      <c r="D88" s="20"/>
      <c r="E88" s="20"/>
    </row>
    <row r="89" spans="1:5" ht="15.75">
      <c r="A89" s="43" t="str">
        <f>inputPrYr!B26</f>
        <v>Fire Protection</v>
      </c>
      <c r="B89" s="2">
        <v>0</v>
      </c>
      <c r="C89" s="20"/>
      <c r="D89" s="20"/>
      <c r="E89" s="20"/>
    </row>
    <row r="90" spans="1:5" ht="15.75">
      <c r="A90" s="43" t="str">
        <f>inputPrYr!B27</f>
        <v>Cemetery</v>
      </c>
      <c r="B90" s="2">
        <v>1760</v>
      </c>
      <c r="C90" s="20"/>
      <c r="D90" s="20"/>
      <c r="E90" s="20"/>
    </row>
    <row r="91" spans="1:5" ht="15.75">
      <c r="A91" s="43" t="str">
        <f>inputPrYr!B28</f>
        <v>Township Hall</v>
      </c>
      <c r="B91" s="2">
        <v>6125</v>
      </c>
      <c r="C91" s="20"/>
      <c r="D91" s="20"/>
      <c r="E91" s="20"/>
    </row>
    <row r="92" spans="1:5" ht="15.75">
      <c r="A92" s="43">
        <f>inputPrYr!B29</f>
        <v>0</v>
      </c>
      <c r="B92" s="2"/>
      <c r="C92" s="20"/>
      <c r="D92" s="20"/>
      <c r="E92" s="20"/>
    </row>
    <row r="93" spans="1:5" ht="15.75">
      <c r="A93" s="43">
        <f>inputPrYr!B30</f>
        <v>0</v>
      </c>
      <c r="B93" s="2"/>
      <c r="C93" s="20"/>
      <c r="D93" s="20"/>
      <c r="E93" s="20"/>
    </row>
    <row r="94" spans="1:5" ht="15.75">
      <c r="A94" s="43">
        <f>inputPrYr!B31</f>
        <v>0</v>
      </c>
      <c r="B94" s="2"/>
      <c r="C94" s="20"/>
      <c r="D94" s="20"/>
      <c r="E94" s="20"/>
    </row>
    <row r="95" spans="1:5" ht="15.75">
      <c r="A95" s="43">
        <f>inputPrYr!B35</f>
        <v>0</v>
      </c>
      <c r="B95" s="2"/>
      <c r="C95" s="20"/>
      <c r="D95" s="20"/>
      <c r="E95" s="20"/>
    </row>
    <row r="96" spans="1:5" ht="15.75">
      <c r="A96" s="43">
        <f>inputPrYr!B36</f>
        <v>0</v>
      </c>
      <c r="B96" s="2"/>
      <c r="C96" s="20"/>
      <c r="D96" s="20"/>
      <c r="E96" s="20"/>
    </row>
    <row r="97" spans="1:5" ht="15.75">
      <c r="A97" s="43">
        <f>inputPrYr!B37</f>
        <v>0</v>
      </c>
      <c r="B97" s="2"/>
      <c r="C97" s="20"/>
      <c r="D97" s="20"/>
      <c r="E97" s="20"/>
    </row>
    <row r="98" spans="1:5" ht="15.75">
      <c r="A98" s="43">
        <f>inputPrYr!B38</f>
        <v>0</v>
      </c>
      <c r="B98" s="2"/>
      <c r="C98" s="20"/>
      <c r="D98" s="20"/>
      <c r="E98" s="20"/>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42" t="s">
        <v>529</v>
      </c>
      <c r="B3" s="342"/>
      <c r="C3" s="342"/>
      <c r="D3" s="342"/>
      <c r="E3" s="342"/>
      <c r="F3" s="342"/>
      <c r="G3" s="342"/>
    </row>
    <row r="4" spans="1:7" ht="15.75">
      <c r="A4" s="342"/>
      <c r="B4" s="342"/>
      <c r="C4" s="342"/>
      <c r="D4" s="342"/>
      <c r="E4" s="342"/>
      <c r="F4" s="342"/>
      <c r="G4" s="342"/>
    </row>
    <row r="5" ht="15.75">
      <c r="A5" s="343" t="s">
        <v>435</v>
      </c>
    </row>
    <row r="6" ht="15.75">
      <c r="A6" s="343" t="str">
        <f>CONCATENATE(inputPrYr!D9," estimated expenditures show that at the end of this year")</f>
        <v>2015 estimated expenditures show that at the end of this year</v>
      </c>
    </row>
    <row r="7" ht="15.75">
      <c r="A7" s="343" t="s">
        <v>530</v>
      </c>
    </row>
    <row r="8" ht="15.75">
      <c r="A8" s="343" t="s">
        <v>531</v>
      </c>
    </row>
    <row r="10" ht="15.75">
      <c r="A10" t="s">
        <v>437</v>
      </c>
    </row>
    <row r="11" ht="15.75">
      <c r="A11" t="s">
        <v>438</v>
      </c>
    </row>
    <row r="12" ht="15.75">
      <c r="A12" t="s">
        <v>439</v>
      </c>
    </row>
    <row r="13" spans="1:7" ht="15.75">
      <c r="A13" s="342"/>
      <c r="B13" s="342"/>
      <c r="C13" s="342"/>
      <c r="D13" s="342"/>
      <c r="E13" s="342"/>
      <c r="F13" s="342"/>
      <c r="G13" s="342"/>
    </row>
    <row r="14" ht="15.75">
      <c r="A14" s="344" t="s">
        <v>532</v>
      </c>
    </row>
    <row r="15" ht="15.75">
      <c r="A15" s="343"/>
    </row>
    <row r="16" ht="15.75">
      <c r="A16" s="343" t="s">
        <v>533</v>
      </c>
    </row>
    <row r="17" ht="15.75">
      <c r="A17" s="343" t="s">
        <v>534</v>
      </c>
    </row>
    <row r="18" ht="15.75">
      <c r="A18" s="343" t="s">
        <v>535</v>
      </c>
    </row>
    <row r="19" ht="15.75">
      <c r="A19" s="343"/>
    </row>
    <row r="20" ht="15.75">
      <c r="A20" s="343" t="s">
        <v>536</v>
      </c>
    </row>
    <row r="21" ht="15.75">
      <c r="A21" s="343" t="s">
        <v>537</v>
      </c>
    </row>
    <row r="22" ht="15.75">
      <c r="A22" s="343" t="s">
        <v>538</v>
      </c>
    </row>
    <row r="23" ht="15.75">
      <c r="A23" s="343" t="s">
        <v>539</v>
      </c>
    </row>
    <row r="24" ht="15.75">
      <c r="A24" s="343"/>
    </row>
    <row r="25" ht="15.75">
      <c r="A25" s="344" t="s">
        <v>501</v>
      </c>
    </row>
    <row r="26" ht="15.75">
      <c r="A26" s="344"/>
    </row>
    <row r="27" ht="15.75">
      <c r="A27" s="343" t="s">
        <v>502</v>
      </c>
    </row>
    <row r="28" spans="1:6" ht="15.75">
      <c r="A28" s="343" t="s">
        <v>503</v>
      </c>
      <c r="B28" s="343"/>
      <c r="C28" s="343"/>
      <c r="D28" s="343"/>
      <c r="E28" s="343"/>
      <c r="F28" s="343"/>
    </row>
    <row r="29" spans="1:6" ht="15.75">
      <c r="A29" s="343" t="s">
        <v>504</v>
      </c>
      <c r="B29" s="343"/>
      <c r="C29" s="343"/>
      <c r="D29" s="343"/>
      <c r="E29" s="343"/>
      <c r="F29" s="343"/>
    </row>
    <row r="30" spans="1:6" ht="15.75">
      <c r="A30" s="343" t="s">
        <v>505</v>
      </c>
      <c r="B30" s="343"/>
      <c r="C30" s="343"/>
      <c r="D30" s="343"/>
      <c r="E30" s="343"/>
      <c r="F30" s="343"/>
    </row>
    <row r="31" ht="15.75">
      <c r="A31" s="343"/>
    </row>
    <row r="32" spans="1:7" ht="15.75">
      <c r="A32" s="344" t="s">
        <v>506</v>
      </c>
      <c r="B32" s="344"/>
      <c r="C32" s="344"/>
      <c r="D32" s="344"/>
      <c r="E32" s="344"/>
      <c r="F32" s="344"/>
      <c r="G32" s="344"/>
    </row>
    <row r="33" spans="1:7" ht="15.75">
      <c r="A33" s="344" t="s">
        <v>507</v>
      </c>
      <c r="B33" s="344"/>
      <c r="C33" s="344"/>
      <c r="D33" s="344"/>
      <c r="E33" s="344"/>
      <c r="F33" s="344"/>
      <c r="G33" s="344"/>
    </row>
    <row r="34" spans="1:7" ht="15.75">
      <c r="A34" s="344"/>
      <c r="B34" s="344"/>
      <c r="C34" s="344"/>
      <c r="D34" s="344"/>
      <c r="E34" s="344"/>
      <c r="F34" s="344"/>
      <c r="G34" s="344"/>
    </row>
    <row r="35" spans="1:7" ht="15.75">
      <c r="A35" s="343" t="s">
        <v>540</v>
      </c>
      <c r="B35" s="343"/>
      <c r="C35" s="343"/>
      <c r="D35" s="343"/>
      <c r="E35" s="343"/>
      <c r="F35" s="343"/>
      <c r="G35" s="343"/>
    </row>
    <row r="36" spans="1:7" ht="15.75">
      <c r="A36" s="343" t="s">
        <v>541</v>
      </c>
      <c r="B36" s="343"/>
      <c r="C36" s="343"/>
      <c r="D36" s="343"/>
      <c r="E36" s="343"/>
      <c r="F36" s="343"/>
      <c r="G36" s="343"/>
    </row>
    <row r="37" spans="1:7" ht="15.75">
      <c r="A37" s="343" t="s">
        <v>542</v>
      </c>
      <c r="B37" s="343"/>
      <c r="C37" s="343"/>
      <c r="D37" s="343"/>
      <c r="E37" s="343"/>
      <c r="F37" s="343"/>
      <c r="G37" s="343"/>
    </row>
    <row r="38" spans="1:7" ht="15.75">
      <c r="A38" s="343" t="s">
        <v>543</v>
      </c>
      <c r="B38" s="343"/>
      <c r="C38" s="343"/>
      <c r="D38" s="343"/>
      <c r="E38" s="343"/>
      <c r="F38" s="343"/>
      <c r="G38" s="343"/>
    </row>
    <row r="39" spans="1:7" ht="15.75">
      <c r="A39" s="343" t="s">
        <v>544</v>
      </c>
      <c r="B39" s="343"/>
      <c r="C39" s="343"/>
      <c r="D39" s="343"/>
      <c r="E39" s="343"/>
      <c r="F39" s="343"/>
      <c r="G39" s="343"/>
    </row>
    <row r="40" spans="1:7" ht="15.75">
      <c r="A40" s="344"/>
      <c r="B40" s="344"/>
      <c r="C40" s="344"/>
      <c r="D40" s="344"/>
      <c r="E40" s="344"/>
      <c r="F40" s="344"/>
      <c r="G40" s="344"/>
    </row>
    <row r="41" spans="1:6" ht="15.75">
      <c r="A41" s="347" t="str">
        <f>CONCATENATE("So, let's look to see if any of your ",inputPrYr!D9-1," expenditures can")</f>
        <v>So, let's look to see if any of your 2014 expenditures can</v>
      </c>
      <c r="B41" s="343"/>
      <c r="C41" s="343"/>
      <c r="D41" s="343"/>
      <c r="E41" s="343"/>
      <c r="F41" s="343"/>
    </row>
    <row r="42" spans="1:6" ht="15.75">
      <c r="A42" s="347" t="s">
        <v>508</v>
      </c>
      <c r="B42" s="343"/>
      <c r="C42" s="343"/>
      <c r="D42" s="343"/>
      <c r="E42" s="343"/>
      <c r="F42" s="343"/>
    </row>
    <row r="43" spans="1:6" ht="15.75">
      <c r="A43" s="347" t="s">
        <v>392</v>
      </c>
      <c r="B43" s="343"/>
      <c r="C43" s="343"/>
      <c r="D43" s="343"/>
      <c r="E43" s="343"/>
      <c r="F43" s="343"/>
    </row>
    <row r="44" spans="1:6" ht="15.75">
      <c r="A44" s="347" t="s">
        <v>393</v>
      </c>
      <c r="B44" s="343"/>
      <c r="C44" s="343"/>
      <c r="D44" s="343"/>
      <c r="E44" s="343"/>
      <c r="F44" s="343"/>
    </row>
    <row r="45" ht="15.75">
      <c r="A45" s="343"/>
    </row>
    <row r="46" spans="1:6" ht="15.75">
      <c r="A46" s="347" t="str">
        <f>CONCATENATE("Additionally, do your ",inputPrYr!D9-1," receipts contain a reimbursement")</f>
        <v>Additionally, do your 2014 receipts contain a reimbursement</v>
      </c>
      <c r="B46" s="343"/>
      <c r="C46" s="343"/>
      <c r="D46" s="343"/>
      <c r="E46" s="343"/>
      <c r="F46" s="343"/>
    </row>
    <row r="47" spans="1:6" ht="15.75">
      <c r="A47" s="347" t="s">
        <v>394</v>
      </c>
      <c r="B47" s="343"/>
      <c r="C47" s="343"/>
      <c r="D47" s="343"/>
      <c r="E47" s="343"/>
      <c r="F47" s="343"/>
    </row>
    <row r="48" spans="1:6" ht="15.75">
      <c r="A48" s="347" t="s">
        <v>395</v>
      </c>
      <c r="B48" s="343"/>
      <c r="C48" s="343"/>
      <c r="D48" s="343"/>
      <c r="E48" s="343"/>
      <c r="F48" s="343"/>
    </row>
    <row r="49" spans="1:7" ht="15.75">
      <c r="A49" s="343"/>
      <c r="B49" s="343"/>
      <c r="C49" s="343"/>
      <c r="D49" s="343"/>
      <c r="E49" s="343"/>
      <c r="F49" s="343"/>
      <c r="G49" s="343"/>
    </row>
    <row r="50" spans="1:7" ht="15.75">
      <c r="A50" s="343" t="s">
        <v>462</v>
      </c>
      <c r="B50" s="343"/>
      <c r="C50" s="343"/>
      <c r="D50" s="343"/>
      <c r="E50" s="343"/>
      <c r="F50" s="343"/>
      <c r="G50" s="343"/>
    </row>
    <row r="51" spans="1:7" ht="15.75">
      <c r="A51" s="343" t="s">
        <v>463</v>
      </c>
      <c r="B51" s="343"/>
      <c r="C51" s="343"/>
      <c r="D51" s="343"/>
      <c r="E51" s="343"/>
      <c r="F51" s="343"/>
      <c r="G51" s="343"/>
    </row>
    <row r="52" spans="1:7" ht="15.75">
      <c r="A52" s="343" t="s">
        <v>464</v>
      </c>
      <c r="B52" s="343"/>
      <c r="C52" s="343"/>
      <c r="D52" s="343"/>
      <c r="E52" s="343"/>
      <c r="F52" s="343"/>
      <c r="G52" s="343"/>
    </row>
    <row r="53" spans="1:7" ht="15.75">
      <c r="A53" s="343" t="s">
        <v>465</v>
      </c>
      <c r="B53" s="343"/>
      <c r="C53" s="343"/>
      <c r="D53" s="343"/>
      <c r="E53" s="343"/>
      <c r="F53" s="343"/>
      <c r="G53" s="343"/>
    </row>
    <row r="54" spans="1:7" ht="15.75">
      <c r="A54" s="343" t="s">
        <v>466</v>
      </c>
      <c r="B54" s="343"/>
      <c r="C54" s="343"/>
      <c r="D54" s="343"/>
      <c r="E54" s="343"/>
      <c r="F54" s="343"/>
      <c r="G54" s="343"/>
    </row>
    <row r="55" spans="1:7" ht="15.75">
      <c r="A55" s="343"/>
      <c r="B55" s="343"/>
      <c r="C55" s="343"/>
      <c r="D55" s="343"/>
      <c r="E55" s="343"/>
      <c r="F55" s="343"/>
      <c r="G55" s="343"/>
    </row>
    <row r="56" spans="1:6" ht="15.75">
      <c r="A56" s="347" t="s">
        <v>404</v>
      </c>
      <c r="B56" s="343"/>
      <c r="C56" s="343"/>
      <c r="D56" s="343"/>
      <c r="E56" s="343"/>
      <c r="F56" s="343"/>
    </row>
    <row r="57" spans="1:6" ht="15.75">
      <c r="A57" s="347" t="s">
        <v>405</v>
      </c>
      <c r="B57" s="343"/>
      <c r="C57" s="343"/>
      <c r="D57" s="343"/>
      <c r="E57" s="343"/>
      <c r="F57" s="343"/>
    </row>
    <row r="58" spans="1:6" ht="15.75">
      <c r="A58" s="347" t="s">
        <v>406</v>
      </c>
      <c r="B58" s="343"/>
      <c r="C58" s="343"/>
      <c r="D58" s="343"/>
      <c r="E58" s="343"/>
      <c r="F58" s="343"/>
    </row>
    <row r="59" spans="1:6" ht="15.75">
      <c r="A59" s="347"/>
      <c r="B59" s="343"/>
      <c r="C59" s="343"/>
      <c r="D59" s="343"/>
      <c r="E59" s="343"/>
      <c r="F59" s="343"/>
    </row>
    <row r="60" spans="1:7" ht="15.75">
      <c r="A60" s="343" t="s">
        <v>545</v>
      </c>
      <c r="B60" s="343"/>
      <c r="C60" s="343"/>
      <c r="D60" s="343"/>
      <c r="E60" s="343"/>
      <c r="F60" s="343"/>
      <c r="G60" s="343"/>
    </row>
    <row r="61" spans="1:7" ht="15.75">
      <c r="A61" s="343" t="s">
        <v>546</v>
      </c>
      <c r="B61" s="343"/>
      <c r="C61" s="343"/>
      <c r="D61" s="343"/>
      <c r="E61" s="343"/>
      <c r="F61" s="343"/>
      <c r="G61" s="343"/>
    </row>
    <row r="62" spans="1:7" ht="15.75">
      <c r="A62" s="343" t="s">
        <v>547</v>
      </c>
      <c r="B62" s="343"/>
      <c r="C62" s="343"/>
      <c r="D62" s="343"/>
      <c r="E62" s="343"/>
      <c r="F62" s="343"/>
      <c r="G62" s="343"/>
    </row>
    <row r="63" spans="1:7" ht="15.75">
      <c r="A63" s="343" t="s">
        <v>548</v>
      </c>
      <c r="B63" s="343"/>
      <c r="C63" s="343"/>
      <c r="D63" s="343"/>
      <c r="E63" s="343"/>
      <c r="F63" s="343"/>
      <c r="G63" s="343"/>
    </row>
    <row r="64" spans="1:7" ht="15.75">
      <c r="A64" s="343" t="s">
        <v>549</v>
      </c>
      <c r="B64" s="343"/>
      <c r="C64" s="343"/>
      <c r="D64" s="343"/>
      <c r="E64" s="343"/>
      <c r="F64" s="343"/>
      <c r="G64" s="343"/>
    </row>
    <row r="66" spans="1:6" ht="15.75">
      <c r="A66" s="347" t="s">
        <v>512</v>
      </c>
      <c r="B66" s="343"/>
      <c r="C66" s="343"/>
      <c r="D66" s="343"/>
      <c r="E66" s="343"/>
      <c r="F66" s="343"/>
    </row>
    <row r="67" spans="1:6" ht="15.75">
      <c r="A67" s="347" t="s">
        <v>513</v>
      </c>
      <c r="B67" s="343"/>
      <c r="C67" s="343"/>
      <c r="D67" s="343"/>
      <c r="E67" s="343"/>
      <c r="F67" s="343"/>
    </row>
    <row r="68" spans="1:6" ht="15.75">
      <c r="A68" s="347" t="s">
        <v>514</v>
      </c>
      <c r="B68" s="343"/>
      <c r="C68" s="343"/>
      <c r="D68" s="343"/>
      <c r="E68" s="343"/>
      <c r="F68" s="343"/>
    </row>
    <row r="69" spans="1:6" ht="15.75">
      <c r="A69" s="347" t="s">
        <v>515</v>
      </c>
      <c r="B69" s="343"/>
      <c r="C69" s="343"/>
      <c r="D69" s="343"/>
      <c r="E69" s="343"/>
      <c r="F69" s="343"/>
    </row>
    <row r="70" spans="1:6" ht="15.75">
      <c r="A70" s="347" t="s">
        <v>516</v>
      </c>
      <c r="B70" s="343"/>
      <c r="C70" s="343"/>
      <c r="D70" s="343"/>
      <c r="E70" s="343"/>
      <c r="F70" s="343"/>
    </row>
    <row r="71" ht="15.75">
      <c r="A71" s="343"/>
    </row>
    <row r="72" ht="15.75">
      <c r="A72" s="343" t="s">
        <v>433</v>
      </c>
    </row>
    <row r="73" ht="15.75">
      <c r="A73" s="343"/>
    </row>
    <row r="74" ht="15.75">
      <c r="A74" s="343"/>
    </row>
    <row r="75" ht="15.75">
      <c r="A75" s="343"/>
    </row>
    <row r="78" ht="15.75">
      <c r="A78" s="344"/>
    </row>
    <row r="80" ht="15.75">
      <c r="A80" s="343"/>
    </row>
    <row r="81" ht="15.75">
      <c r="A81" s="343"/>
    </row>
    <row r="82" ht="15.75">
      <c r="A82" s="343"/>
    </row>
    <row r="83" ht="15.75">
      <c r="A83" s="343"/>
    </row>
    <row r="84" ht="15.75">
      <c r="A84" s="343"/>
    </row>
    <row r="85" ht="15.75">
      <c r="A85" s="343"/>
    </row>
    <row r="86" ht="15.75">
      <c r="A86" s="343"/>
    </row>
    <row r="87" ht="15.75">
      <c r="A87" s="343"/>
    </row>
    <row r="88" ht="15.75">
      <c r="A88" s="343"/>
    </row>
    <row r="89" ht="15.75">
      <c r="A89" s="343"/>
    </row>
    <row r="90" ht="15.75">
      <c r="A90" s="343"/>
    </row>
    <row r="92" ht="15.75">
      <c r="A92" s="343"/>
    </row>
    <row r="93" ht="15.75">
      <c r="A93" s="343"/>
    </row>
    <row r="94" ht="15.75">
      <c r="A94" s="343"/>
    </row>
    <row r="95" ht="15.75">
      <c r="A95" s="343"/>
    </row>
    <row r="96" ht="15.75">
      <c r="A96" s="343"/>
    </row>
    <row r="97" ht="15.75">
      <c r="A97" s="343"/>
    </row>
    <row r="98" ht="15.75">
      <c r="A98" s="343"/>
    </row>
    <row r="99" ht="15.75">
      <c r="A99" s="343"/>
    </row>
    <row r="100" ht="15.75">
      <c r="A100" s="343"/>
    </row>
    <row r="101" ht="15.75">
      <c r="A101" s="343"/>
    </row>
    <row r="102" ht="15.75">
      <c r="A102" s="343"/>
    </row>
    <row r="103" ht="15.75">
      <c r="A103" s="343"/>
    </row>
    <row r="104" ht="15.75">
      <c r="A104" s="343"/>
    </row>
    <row r="105" ht="15.75">
      <c r="A105" s="343"/>
    </row>
    <row r="106" ht="15.75">
      <c r="A106" s="34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42" t="s">
        <v>550</v>
      </c>
      <c r="B3" s="342"/>
      <c r="C3" s="342"/>
      <c r="D3" s="342"/>
      <c r="E3" s="342"/>
      <c r="F3" s="342"/>
      <c r="G3" s="342"/>
    </row>
    <row r="4" spans="1:7" ht="15.75">
      <c r="A4" s="342" t="s">
        <v>551</v>
      </c>
      <c r="B4" s="342"/>
      <c r="C4" s="342"/>
      <c r="D4" s="342"/>
      <c r="E4" s="342"/>
      <c r="F4" s="342"/>
      <c r="G4" s="342"/>
    </row>
    <row r="5" spans="1:7" ht="15.75">
      <c r="A5" s="342"/>
      <c r="B5" s="342"/>
      <c r="C5" s="342"/>
      <c r="D5" s="342"/>
      <c r="E5" s="342"/>
      <c r="F5" s="342"/>
      <c r="G5" s="342"/>
    </row>
    <row r="6" spans="1:7" ht="15.75">
      <c r="A6" s="342"/>
      <c r="B6" s="342"/>
      <c r="C6" s="342"/>
      <c r="D6" s="342"/>
      <c r="E6" s="342"/>
      <c r="F6" s="342"/>
      <c r="G6" s="342"/>
    </row>
    <row r="7" ht="15.75">
      <c r="A7" s="343" t="s">
        <v>378</v>
      </c>
    </row>
    <row r="8" ht="15.75">
      <c r="A8" s="343" t="str">
        <f>CONCATENATE("estimated ",inputPrYr!D9," 'total expenditures' exceed your ",inputPrYr!D9,"")</f>
        <v>estimated 2015 'total expenditures' exceed your 2015</v>
      </c>
    </row>
    <row r="9" ht="15.75">
      <c r="A9" s="346" t="s">
        <v>552</v>
      </c>
    </row>
    <row r="10" ht="15.75">
      <c r="A10" s="343"/>
    </row>
    <row r="11" ht="15.75">
      <c r="A11" s="343" t="s">
        <v>553</v>
      </c>
    </row>
    <row r="12" ht="15.75">
      <c r="A12" s="343" t="s">
        <v>554</v>
      </c>
    </row>
    <row r="13" ht="15.75">
      <c r="A13" s="343" t="s">
        <v>555</v>
      </c>
    </row>
    <row r="14" ht="15.75">
      <c r="A14" s="343"/>
    </row>
    <row r="15" ht="15.75">
      <c r="A15" s="344" t="s">
        <v>556</v>
      </c>
    </row>
    <row r="16" spans="1:7" ht="15.75">
      <c r="A16" s="342"/>
      <c r="B16" s="342"/>
      <c r="C16" s="342"/>
      <c r="D16" s="342"/>
      <c r="E16" s="342"/>
      <c r="F16" s="342"/>
      <c r="G16" s="342"/>
    </row>
    <row r="17" spans="1:8" ht="15.75">
      <c r="A17" s="349" t="s">
        <v>557</v>
      </c>
      <c r="B17" s="341"/>
      <c r="C17" s="341"/>
      <c r="D17" s="341"/>
      <c r="E17" s="341"/>
      <c r="F17" s="341"/>
      <c r="G17" s="341"/>
      <c r="H17" s="341"/>
    </row>
    <row r="18" spans="1:7" ht="15.75">
      <c r="A18" s="343" t="s">
        <v>558</v>
      </c>
      <c r="B18" s="350"/>
      <c r="C18" s="350"/>
      <c r="D18" s="350"/>
      <c r="E18" s="350"/>
      <c r="F18" s="350"/>
      <c r="G18" s="350"/>
    </row>
    <row r="19" ht="15.75">
      <c r="A19" s="343" t="s">
        <v>559</v>
      </c>
    </row>
    <row r="20" ht="15.75">
      <c r="A20" s="343" t="s">
        <v>560</v>
      </c>
    </row>
    <row r="22" ht="15.75">
      <c r="A22" s="344" t="s">
        <v>561</v>
      </c>
    </row>
    <row r="24" ht="15.75">
      <c r="A24" s="343" t="s">
        <v>562</v>
      </c>
    </row>
    <row r="25" ht="15.75">
      <c r="A25" s="343" t="s">
        <v>563</v>
      </c>
    </row>
    <row r="26" ht="15.75">
      <c r="A26" s="343" t="s">
        <v>564</v>
      </c>
    </row>
    <row r="28" ht="15.75">
      <c r="A28" s="344" t="s">
        <v>565</v>
      </c>
    </row>
    <row r="30" ht="15.75">
      <c r="A30" t="s">
        <v>566</v>
      </c>
    </row>
    <row r="31" ht="15.75">
      <c r="A31" t="s">
        <v>567</v>
      </c>
    </row>
    <row r="32" ht="15.75">
      <c r="A32" t="s">
        <v>568</v>
      </c>
    </row>
    <row r="33" ht="15.75">
      <c r="A33" s="343"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43" t="s">
        <v>582</v>
      </c>
    </row>
    <row r="50" ht="15.75">
      <c r="A50" s="343" t="s">
        <v>583</v>
      </c>
    </row>
    <row r="52" ht="15.75">
      <c r="A52" t="s">
        <v>433</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4" customWidth="1"/>
    <col min="2" max="2" width="10.09765625" style="364" customWidth="1"/>
    <col min="3" max="3" width="6.69921875" style="364" customWidth="1"/>
    <col min="4" max="4" width="8.796875" style="364" customWidth="1"/>
    <col min="5" max="5" width="1.390625" style="364" customWidth="1"/>
    <col min="6" max="6" width="12.8984375" style="364" customWidth="1"/>
    <col min="7" max="7" width="2.296875" style="364" customWidth="1"/>
    <col min="8" max="8" width="8.796875" style="364" customWidth="1"/>
    <col min="9" max="9" width="1.796875" style="364" customWidth="1"/>
    <col min="10" max="10" width="7.69921875" style="364" customWidth="1"/>
    <col min="11" max="11" width="10.5" style="364" customWidth="1"/>
    <col min="12" max="12" width="6.796875" style="454" customWidth="1"/>
    <col min="13" max="14" width="8.796875" style="454" customWidth="1"/>
    <col min="15" max="15" width="8.8984375" style="454" bestFit="1" customWidth="1"/>
    <col min="16" max="16384" width="8.796875" style="454" customWidth="1"/>
  </cols>
  <sheetData>
    <row r="1" spans="1:12" ht="14.25">
      <c r="A1" s="363"/>
      <c r="B1" s="363"/>
      <c r="C1" s="363"/>
      <c r="D1" s="363"/>
      <c r="E1" s="363"/>
      <c r="F1" s="363"/>
      <c r="G1" s="363"/>
      <c r="H1" s="363"/>
      <c r="I1" s="363"/>
      <c r="J1" s="363"/>
      <c r="K1" s="363"/>
      <c r="L1" s="363"/>
    </row>
    <row r="2" spans="1:12" ht="14.25">
      <c r="A2" s="363"/>
      <c r="B2" s="363"/>
      <c r="C2" s="363"/>
      <c r="D2" s="363"/>
      <c r="E2" s="363"/>
      <c r="F2" s="363"/>
      <c r="G2" s="363"/>
      <c r="H2" s="363"/>
      <c r="I2" s="363"/>
      <c r="J2" s="363"/>
      <c r="K2" s="363"/>
      <c r="L2" s="363"/>
    </row>
    <row r="3" spans="1:12" ht="14.25">
      <c r="A3" s="363"/>
      <c r="B3" s="363"/>
      <c r="C3" s="363"/>
      <c r="D3" s="363"/>
      <c r="E3" s="363"/>
      <c r="F3" s="363"/>
      <c r="G3" s="363"/>
      <c r="H3" s="363"/>
      <c r="I3" s="363"/>
      <c r="J3" s="363"/>
      <c r="K3" s="363"/>
      <c r="L3" s="363"/>
    </row>
    <row r="4" spans="1:12" ht="14.25">
      <c r="A4" s="363"/>
      <c r="L4" s="363"/>
    </row>
    <row r="5" spans="1:12" ht="15" customHeight="1">
      <c r="A5" s="363"/>
      <c r="L5" s="363"/>
    </row>
    <row r="6" spans="1:12" ht="33" customHeight="1">
      <c r="A6" s="363"/>
      <c r="B6" s="915" t="s">
        <v>621</v>
      </c>
      <c r="C6" s="916"/>
      <c r="D6" s="916"/>
      <c r="E6" s="916"/>
      <c r="F6" s="916"/>
      <c r="G6" s="916"/>
      <c r="H6" s="916"/>
      <c r="I6" s="916"/>
      <c r="J6" s="916"/>
      <c r="K6" s="916"/>
      <c r="L6" s="365"/>
    </row>
    <row r="7" spans="1:12" ht="40.5" customHeight="1">
      <c r="A7" s="363"/>
      <c r="B7" s="917" t="s">
        <v>622</v>
      </c>
      <c r="C7" s="918"/>
      <c r="D7" s="918"/>
      <c r="E7" s="918"/>
      <c r="F7" s="918"/>
      <c r="G7" s="918"/>
      <c r="H7" s="918"/>
      <c r="I7" s="918"/>
      <c r="J7" s="918"/>
      <c r="K7" s="918"/>
      <c r="L7" s="363"/>
    </row>
    <row r="8" spans="1:12" ht="14.25">
      <c r="A8" s="363"/>
      <c r="B8" s="919" t="s">
        <v>623</v>
      </c>
      <c r="C8" s="919"/>
      <c r="D8" s="919"/>
      <c r="E8" s="919"/>
      <c r="F8" s="919"/>
      <c r="G8" s="919"/>
      <c r="H8" s="919"/>
      <c r="I8" s="919"/>
      <c r="J8" s="919"/>
      <c r="K8" s="919"/>
      <c r="L8" s="363"/>
    </row>
    <row r="9" spans="1:12" ht="14.25">
      <c r="A9" s="363"/>
      <c r="L9" s="363"/>
    </row>
    <row r="10" spans="1:12" ht="14.25">
      <c r="A10" s="363"/>
      <c r="B10" s="919" t="s">
        <v>624</v>
      </c>
      <c r="C10" s="919"/>
      <c r="D10" s="919"/>
      <c r="E10" s="919"/>
      <c r="F10" s="919"/>
      <c r="G10" s="919"/>
      <c r="H10" s="919"/>
      <c r="I10" s="919"/>
      <c r="J10" s="919"/>
      <c r="K10" s="919"/>
      <c r="L10" s="363"/>
    </row>
    <row r="11" spans="1:12" ht="14.25">
      <c r="A11" s="363"/>
      <c r="B11" s="366"/>
      <c r="C11" s="366"/>
      <c r="D11" s="366"/>
      <c r="E11" s="366"/>
      <c r="F11" s="366"/>
      <c r="G11" s="366"/>
      <c r="H11" s="366"/>
      <c r="I11" s="366"/>
      <c r="J11" s="366"/>
      <c r="K11" s="366"/>
      <c r="L11" s="363"/>
    </row>
    <row r="12" spans="1:12" ht="32.25" customHeight="1">
      <c r="A12" s="363"/>
      <c r="B12" s="920" t="s">
        <v>625</v>
      </c>
      <c r="C12" s="920"/>
      <c r="D12" s="920"/>
      <c r="E12" s="920"/>
      <c r="F12" s="920"/>
      <c r="G12" s="920"/>
      <c r="H12" s="920"/>
      <c r="I12" s="920"/>
      <c r="J12" s="920"/>
      <c r="K12" s="920"/>
      <c r="L12" s="363"/>
    </row>
    <row r="13" spans="1:12" ht="14.25">
      <c r="A13" s="363"/>
      <c r="L13" s="363"/>
    </row>
    <row r="14" spans="1:12" ht="14.25">
      <c r="A14" s="363"/>
      <c r="B14" s="367" t="s">
        <v>626</v>
      </c>
      <c r="L14" s="363"/>
    </row>
    <row r="15" spans="1:12" ht="14.25">
      <c r="A15" s="363"/>
      <c r="L15" s="363"/>
    </row>
    <row r="16" spans="1:12" ht="14.25">
      <c r="A16" s="363"/>
      <c r="B16" s="364" t="s">
        <v>627</v>
      </c>
      <c r="L16" s="363"/>
    </row>
    <row r="17" spans="1:12" ht="14.25">
      <c r="A17" s="363"/>
      <c r="B17" s="364" t="s">
        <v>628</v>
      </c>
      <c r="L17" s="363"/>
    </row>
    <row r="18" spans="1:12" ht="14.25">
      <c r="A18" s="363"/>
      <c r="L18" s="363"/>
    </row>
    <row r="19" spans="1:12" ht="14.25">
      <c r="A19" s="363"/>
      <c r="B19" s="367" t="s">
        <v>629</v>
      </c>
      <c r="L19" s="363"/>
    </row>
    <row r="20" spans="1:12" ht="14.25">
      <c r="A20" s="363"/>
      <c r="B20" s="367"/>
      <c r="L20" s="363"/>
    </row>
    <row r="21" spans="1:12" ht="14.25">
      <c r="A21" s="363"/>
      <c r="B21" s="364" t="s">
        <v>630</v>
      </c>
      <c r="L21" s="363"/>
    </row>
    <row r="22" spans="1:12" ht="14.25">
      <c r="A22" s="363"/>
      <c r="L22" s="363"/>
    </row>
    <row r="23" spans="1:12" ht="14.25">
      <c r="A23" s="363"/>
      <c r="B23" s="364" t="s">
        <v>631</v>
      </c>
      <c r="E23" s="364" t="s">
        <v>632</v>
      </c>
      <c r="F23" s="914">
        <v>133685008</v>
      </c>
      <c r="G23" s="914"/>
      <c r="L23" s="363"/>
    </row>
    <row r="24" spans="1:12" ht="14.25">
      <c r="A24" s="363"/>
      <c r="L24" s="363"/>
    </row>
    <row r="25" spans="1:12" ht="14.25">
      <c r="A25" s="363"/>
      <c r="C25" s="921">
        <f>F23</f>
        <v>133685008</v>
      </c>
      <c r="D25" s="921"/>
      <c r="E25" s="364" t="s">
        <v>633</v>
      </c>
      <c r="F25" s="368">
        <v>1000</v>
      </c>
      <c r="G25" s="368" t="s">
        <v>632</v>
      </c>
      <c r="H25" s="369">
        <f>F23/F25</f>
        <v>133685.008</v>
      </c>
      <c r="L25" s="363"/>
    </row>
    <row r="26" spans="1:12" ht="15" thickBot="1">
      <c r="A26" s="363"/>
      <c r="L26" s="363"/>
    </row>
    <row r="27" spans="1:12" ht="14.25">
      <c r="A27" s="363"/>
      <c r="B27" s="370" t="s">
        <v>626</v>
      </c>
      <c r="C27" s="371"/>
      <c r="D27" s="371"/>
      <c r="E27" s="371"/>
      <c r="F27" s="371"/>
      <c r="G27" s="371"/>
      <c r="H27" s="371"/>
      <c r="I27" s="371"/>
      <c r="J27" s="371"/>
      <c r="K27" s="372"/>
      <c r="L27" s="363"/>
    </row>
    <row r="28" spans="1:12" ht="14.25">
      <c r="A28" s="363"/>
      <c r="B28" s="373">
        <f>F23</f>
        <v>133685008</v>
      </c>
      <c r="C28" s="374" t="s">
        <v>634</v>
      </c>
      <c r="D28" s="374"/>
      <c r="E28" s="374" t="s">
        <v>633</v>
      </c>
      <c r="F28" s="375">
        <v>1000</v>
      </c>
      <c r="G28" s="375" t="s">
        <v>632</v>
      </c>
      <c r="H28" s="376">
        <f>B28/F28</f>
        <v>133685.008</v>
      </c>
      <c r="I28" s="374" t="s">
        <v>635</v>
      </c>
      <c r="J28" s="374"/>
      <c r="K28" s="377"/>
      <c r="L28" s="363"/>
    </row>
    <row r="29" spans="1:12" ht="15" thickBot="1">
      <c r="A29" s="363"/>
      <c r="B29" s="378"/>
      <c r="C29" s="379"/>
      <c r="D29" s="379"/>
      <c r="E29" s="379"/>
      <c r="F29" s="379"/>
      <c r="G29" s="379"/>
      <c r="H29" s="379"/>
      <c r="I29" s="379"/>
      <c r="J29" s="379"/>
      <c r="K29" s="380"/>
      <c r="L29" s="363"/>
    </row>
    <row r="30" spans="1:12" ht="40.5" customHeight="1">
      <c r="A30" s="363"/>
      <c r="B30" s="922" t="s">
        <v>622</v>
      </c>
      <c r="C30" s="922"/>
      <c r="D30" s="922"/>
      <c r="E30" s="922"/>
      <c r="F30" s="922"/>
      <c r="G30" s="922"/>
      <c r="H30" s="922"/>
      <c r="I30" s="922"/>
      <c r="J30" s="922"/>
      <c r="K30" s="922"/>
      <c r="L30" s="363"/>
    </row>
    <row r="31" spans="1:12" ht="14.25">
      <c r="A31" s="363"/>
      <c r="B31" s="919" t="s">
        <v>636</v>
      </c>
      <c r="C31" s="919"/>
      <c r="D31" s="919"/>
      <c r="E31" s="919"/>
      <c r="F31" s="919"/>
      <c r="G31" s="919"/>
      <c r="H31" s="919"/>
      <c r="I31" s="919"/>
      <c r="J31" s="919"/>
      <c r="K31" s="919"/>
      <c r="L31" s="363"/>
    </row>
    <row r="32" spans="1:12" ht="14.25">
      <c r="A32" s="363"/>
      <c r="L32" s="363"/>
    </row>
    <row r="33" spans="1:12" ht="14.25">
      <c r="A33" s="363"/>
      <c r="B33" s="919" t="s">
        <v>637</v>
      </c>
      <c r="C33" s="919"/>
      <c r="D33" s="919"/>
      <c r="E33" s="919"/>
      <c r="F33" s="919"/>
      <c r="G33" s="919"/>
      <c r="H33" s="919"/>
      <c r="I33" s="919"/>
      <c r="J33" s="919"/>
      <c r="K33" s="919"/>
      <c r="L33" s="363"/>
    </row>
    <row r="34" spans="1:12" ht="14.25">
      <c r="A34" s="363"/>
      <c r="L34" s="363"/>
    </row>
    <row r="35" spans="1:12" ht="89.25" customHeight="1">
      <c r="A35" s="363"/>
      <c r="B35" s="920" t="s">
        <v>638</v>
      </c>
      <c r="C35" s="923"/>
      <c r="D35" s="923"/>
      <c r="E35" s="923"/>
      <c r="F35" s="923"/>
      <c r="G35" s="923"/>
      <c r="H35" s="923"/>
      <c r="I35" s="923"/>
      <c r="J35" s="923"/>
      <c r="K35" s="923"/>
      <c r="L35" s="363"/>
    </row>
    <row r="36" spans="1:12" ht="14.25">
      <c r="A36" s="363"/>
      <c r="L36" s="363"/>
    </row>
    <row r="37" spans="1:12" ht="14.25">
      <c r="A37" s="363"/>
      <c r="B37" s="367" t="s">
        <v>639</v>
      </c>
      <c r="L37" s="363"/>
    </row>
    <row r="38" spans="1:12" ht="14.25">
      <c r="A38" s="363"/>
      <c r="L38" s="363"/>
    </row>
    <row r="39" spans="1:12" ht="14.25">
      <c r="A39" s="363"/>
      <c r="B39" s="364" t="s">
        <v>640</v>
      </c>
      <c r="L39" s="363"/>
    </row>
    <row r="40" spans="1:12" ht="14.25">
      <c r="A40" s="363"/>
      <c r="L40" s="363"/>
    </row>
    <row r="41" spans="1:12" ht="14.25">
      <c r="A41" s="363"/>
      <c r="C41" s="924">
        <v>3120000</v>
      </c>
      <c r="D41" s="924"/>
      <c r="E41" s="364" t="s">
        <v>633</v>
      </c>
      <c r="F41" s="368">
        <v>1000</v>
      </c>
      <c r="G41" s="368" t="s">
        <v>632</v>
      </c>
      <c r="H41" s="381">
        <f>C41/F41</f>
        <v>3120</v>
      </c>
      <c r="L41" s="363"/>
    </row>
    <row r="42" spans="1:12" ht="14.25">
      <c r="A42" s="363"/>
      <c r="L42" s="363"/>
    </row>
    <row r="43" spans="1:12" ht="14.25">
      <c r="A43" s="363"/>
      <c r="B43" s="364" t="s">
        <v>641</v>
      </c>
      <c r="L43" s="363"/>
    </row>
    <row r="44" spans="1:12" ht="14.25">
      <c r="A44" s="363"/>
      <c r="L44" s="363"/>
    </row>
    <row r="45" spans="1:12" ht="14.25">
      <c r="A45" s="363"/>
      <c r="B45" s="364" t="s">
        <v>642</v>
      </c>
      <c r="L45" s="363"/>
    </row>
    <row r="46" spans="1:12" ht="15" thickBot="1">
      <c r="A46" s="363"/>
      <c r="L46" s="363"/>
    </row>
    <row r="47" spans="1:12" ht="14.25">
      <c r="A47" s="363"/>
      <c r="B47" s="382" t="s">
        <v>626</v>
      </c>
      <c r="C47" s="371"/>
      <c r="D47" s="371"/>
      <c r="E47" s="371"/>
      <c r="F47" s="371"/>
      <c r="G47" s="371"/>
      <c r="H47" s="371"/>
      <c r="I47" s="371"/>
      <c r="J47" s="371"/>
      <c r="K47" s="372"/>
      <c r="L47" s="363"/>
    </row>
    <row r="48" spans="1:12" ht="14.25">
      <c r="A48" s="363"/>
      <c r="B48" s="914">
        <v>133685008</v>
      </c>
      <c r="C48" s="914"/>
      <c r="D48" s="374" t="s">
        <v>643</v>
      </c>
      <c r="E48" s="374" t="s">
        <v>633</v>
      </c>
      <c r="F48" s="375">
        <v>1000</v>
      </c>
      <c r="G48" s="375" t="s">
        <v>632</v>
      </c>
      <c r="H48" s="376">
        <f>B48/F48</f>
        <v>133685.008</v>
      </c>
      <c r="I48" s="374" t="s">
        <v>644</v>
      </c>
      <c r="J48" s="374"/>
      <c r="K48" s="377"/>
      <c r="L48" s="363"/>
    </row>
    <row r="49" spans="1:12" ht="14.25">
      <c r="A49" s="363"/>
      <c r="B49" s="383"/>
      <c r="C49" s="374"/>
      <c r="D49" s="374"/>
      <c r="E49" s="374"/>
      <c r="F49" s="374"/>
      <c r="G49" s="374"/>
      <c r="H49" s="374"/>
      <c r="I49" s="374"/>
      <c r="J49" s="374"/>
      <c r="K49" s="377"/>
      <c r="L49" s="363"/>
    </row>
    <row r="50" spans="1:12" ht="14.25">
      <c r="A50" s="363"/>
      <c r="B50" s="384">
        <v>7067793</v>
      </c>
      <c r="C50" s="374" t="s">
        <v>645</v>
      </c>
      <c r="D50" s="374"/>
      <c r="E50" s="374" t="s">
        <v>633</v>
      </c>
      <c r="F50" s="376">
        <f>H48</f>
        <v>133685.008</v>
      </c>
      <c r="G50" s="925" t="s">
        <v>646</v>
      </c>
      <c r="H50" s="926"/>
      <c r="I50" s="375" t="s">
        <v>632</v>
      </c>
      <c r="J50" s="385">
        <f>B50/F50</f>
        <v>52.8690023342034</v>
      </c>
      <c r="K50" s="377"/>
      <c r="L50" s="363"/>
    </row>
    <row r="51" spans="1:15" ht="15" thickBot="1">
      <c r="A51" s="363"/>
      <c r="B51" s="378"/>
      <c r="C51" s="379"/>
      <c r="D51" s="379"/>
      <c r="E51" s="379"/>
      <c r="F51" s="379"/>
      <c r="G51" s="379"/>
      <c r="H51" s="379"/>
      <c r="I51" s="927" t="s">
        <v>647</v>
      </c>
      <c r="J51" s="927"/>
      <c r="K51" s="928"/>
      <c r="L51" s="363"/>
      <c r="O51" s="386"/>
    </row>
    <row r="52" spans="1:12" ht="40.5" customHeight="1">
      <c r="A52" s="363"/>
      <c r="B52" s="922" t="s">
        <v>622</v>
      </c>
      <c r="C52" s="922"/>
      <c r="D52" s="922"/>
      <c r="E52" s="922"/>
      <c r="F52" s="922"/>
      <c r="G52" s="922"/>
      <c r="H52" s="922"/>
      <c r="I52" s="922"/>
      <c r="J52" s="922"/>
      <c r="K52" s="922"/>
      <c r="L52" s="363"/>
    </row>
    <row r="53" spans="1:12" ht="14.25">
      <c r="A53" s="363"/>
      <c r="B53" s="919" t="s">
        <v>648</v>
      </c>
      <c r="C53" s="919"/>
      <c r="D53" s="919"/>
      <c r="E53" s="919"/>
      <c r="F53" s="919"/>
      <c r="G53" s="919"/>
      <c r="H53" s="919"/>
      <c r="I53" s="919"/>
      <c r="J53" s="919"/>
      <c r="K53" s="919"/>
      <c r="L53" s="363"/>
    </row>
    <row r="54" spans="1:12" ht="14.25">
      <c r="A54" s="363"/>
      <c r="B54" s="366"/>
      <c r="C54" s="366"/>
      <c r="D54" s="366"/>
      <c r="E54" s="366"/>
      <c r="F54" s="366"/>
      <c r="G54" s="366"/>
      <c r="H54" s="366"/>
      <c r="I54" s="366"/>
      <c r="J54" s="366"/>
      <c r="K54" s="366"/>
      <c r="L54" s="363"/>
    </row>
    <row r="55" spans="1:12" ht="14.25">
      <c r="A55" s="363"/>
      <c r="B55" s="915" t="s">
        <v>649</v>
      </c>
      <c r="C55" s="915"/>
      <c r="D55" s="915"/>
      <c r="E55" s="915"/>
      <c r="F55" s="915"/>
      <c r="G55" s="915"/>
      <c r="H55" s="915"/>
      <c r="I55" s="915"/>
      <c r="J55" s="915"/>
      <c r="K55" s="915"/>
      <c r="L55" s="363"/>
    </row>
    <row r="56" spans="1:12" ht="15" customHeight="1">
      <c r="A56" s="363"/>
      <c r="L56" s="363"/>
    </row>
    <row r="57" spans="1:24" ht="74.25" customHeight="1">
      <c r="A57" s="363"/>
      <c r="B57" s="920" t="s">
        <v>650</v>
      </c>
      <c r="C57" s="923"/>
      <c r="D57" s="923"/>
      <c r="E57" s="923"/>
      <c r="F57" s="923"/>
      <c r="G57" s="923"/>
      <c r="H57" s="923"/>
      <c r="I57" s="923"/>
      <c r="J57" s="923"/>
      <c r="K57" s="923"/>
      <c r="L57" s="363"/>
      <c r="M57" s="387"/>
      <c r="N57" s="388"/>
      <c r="O57" s="388"/>
      <c r="P57" s="388"/>
      <c r="Q57" s="388"/>
      <c r="R57" s="388"/>
      <c r="S57" s="388"/>
      <c r="T57" s="388"/>
      <c r="U57" s="388"/>
      <c r="V57" s="388"/>
      <c r="W57" s="388"/>
      <c r="X57" s="388"/>
    </row>
    <row r="58" spans="1:24" ht="15" customHeight="1">
      <c r="A58" s="363"/>
      <c r="B58" s="920"/>
      <c r="C58" s="923"/>
      <c r="D58" s="923"/>
      <c r="E58" s="923"/>
      <c r="F58" s="923"/>
      <c r="G58" s="923"/>
      <c r="H58" s="923"/>
      <c r="I58" s="923"/>
      <c r="J58" s="923"/>
      <c r="K58" s="923"/>
      <c r="L58" s="363"/>
      <c r="M58" s="387"/>
      <c r="N58" s="388"/>
      <c r="O58" s="388"/>
      <c r="P58" s="388"/>
      <c r="Q58" s="388"/>
      <c r="R58" s="388"/>
      <c r="S58" s="388"/>
      <c r="T58" s="388"/>
      <c r="U58" s="388"/>
      <c r="V58" s="388"/>
      <c r="W58" s="388"/>
      <c r="X58" s="388"/>
    </row>
    <row r="59" spans="1:24" ht="14.25">
      <c r="A59" s="363"/>
      <c r="B59" s="367" t="s">
        <v>639</v>
      </c>
      <c r="L59" s="363"/>
      <c r="M59" s="388"/>
      <c r="N59" s="388"/>
      <c r="O59" s="388"/>
      <c r="P59" s="388"/>
      <c r="Q59" s="388"/>
      <c r="R59" s="388"/>
      <c r="S59" s="388"/>
      <c r="T59" s="388"/>
      <c r="U59" s="388"/>
      <c r="V59" s="388"/>
      <c r="W59" s="388"/>
      <c r="X59" s="388"/>
    </row>
    <row r="60" spans="1:24" ht="14.25">
      <c r="A60" s="363"/>
      <c r="L60" s="363"/>
      <c r="M60" s="388"/>
      <c r="N60" s="388"/>
      <c r="O60" s="388"/>
      <c r="P60" s="388"/>
      <c r="Q60" s="388"/>
      <c r="R60" s="388"/>
      <c r="S60" s="388"/>
      <c r="T60" s="388"/>
      <c r="U60" s="388"/>
      <c r="V60" s="388"/>
      <c r="W60" s="388"/>
      <c r="X60" s="388"/>
    </row>
    <row r="61" spans="1:24" ht="14.25">
      <c r="A61" s="363"/>
      <c r="B61" s="364" t="s">
        <v>651</v>
      </c>
      <c r="L61" s="363"/>
      <c r="M61" s="388"/>
      <c r="N61" s="388"/>
      <c r="O61" s="388"/>
      <c r="P61" s="388"/>
      <c r="Q61" s="388"/>
      <c r="R61" s="388"/>
      <c r="S61" s="388"/>
      <c r="T61" s="388"/>
      <c r="U61" s="388"/>
      <c r="V61" s="388"/>
      <c r="W61" s="388"/>
      <c r="X61" s="388"/>
    </row>
    <row r="62" spans="1:24" ht="14.25">
      <c r="A62" s="363"/>
      <c r="B62" s="364" t="s">
        <v>652</v>
      </c>
      <c r="L62" s="363"/>
      <c r="M62" s="388"/>
      <c r="N62" s="388"/>
      <c r="O62" s="388"/>
      <c r="P62" s="388"/>
      <c r="Q62" s="388"/>
      <c r="R62" s="388"/>
      <c r="S62" s="388"/>
      <c r="T62" s="388"/>
      <c r="U62" s="388"/>
      <c r="V62" s="388"/>
      <c r="W62" s="388"/>
      <c r="X62" s="388"/>
    </row>
    <row r="63" spans="1:24" ht="14.25">
      <c r="A63" s="363"/>
      <c r="B63" s="364" t="s">
        <v>653</v>
      </c>
      <c r="L63" s="363"/>
      <c r="M63" s="388"/>
      <c r="N63" s="388"/>
      <c r="O63" s="388"/>
      <c r="P63" s="388"/>
      <c r="Q63" s="388"/>
      <c r="R63" s="388"/>
      <c r="S63" s="388"/>
      <c r="T63" s="388"/>
      <c r="U63" s="388"/>
      <c r="V63" s="388"/>
      <c r="W63" s="388"/>
      <c r="X63" s="388"/>
    </row>
    <row r="64" spans="1:24" ht="14.25">
      <c r="A64" s="363"/>
      <c r="L64" s="363"/>
      <c r="M64" s="388"/>
      <c r="N64" s="388"/>
      <c r="O64" s="388"/>
      <c r="P64" s="388"/>
      <c r="Q64" s="388"/>
      <c r="R64" s="388"/>
      <c r="S64" s="388"/>
      <c r="T64" s="388"/>
      <c r="U64" s="388"/>
      <c r="V64" s="388"/>
      <c r="W64" s="388"/>
      <c r="X64" s="388"/>
    </row>
    <row r="65" spans="1:24" ht="14.25">
      <c r="A65" s="363"/>
      <c r="B65" s="364" t="s">
        <v>654</v>
      </c>
      <c r="L65" s="363"/>
      <c r="M65" s="388"/>
      <c r="N65" s="388"/>
      <c r="O65" s="388"/>
      <c r="P65" s="388"/>
      <c r="Q65" s="388"/>
      <c r="R65" s="388"/>
      <c r="S65" s="388"/>
      <c r="T65" s="388"/>
      <c r="U65" s="388"/>
      <c r="V65" s="388"/>
      <c r="W65" s="388"/>
      <c r="X65" s="388"/>
    </row>
    <row r="66" spans="1:24" ht="14.25">
      <c r="A66" s="363"/>
      <c r="B66" s="364" t="s">
        <v>655</v>
      </c>
      <c r="L66" s="363"/>
      <c r="M66" s="388"/>
      <c r="N66" s="388"/>
      <c r="O66" s="388"/>
      <c r="P66" s="388"/>
      <c r="Q66" s="388"/>
      <c r="R66" s="388"/>
      <c r="S66" s="388"/>
      <c r="T66" s="388"/>
      <c r="U66" s="388"/>
      <c r="V66" s="388"/>
      <c r="W66" s="388"/>
      <c r="X66" s="388"/>
    </row>
    <row r="67" spans="1:24" ht="14.25">
      <c r="A67" s="363"/>
      <c r="L67" s="363"/>
      <c r="M67" s="388"/>
      <c r="N67" s="388"/>
      <c r="O67" s="388"/>
      <c r="P67" s="388"/>
      <c r="Q67" s="388"/>
      <c r="R67" s="388"/>
      <c r="S67" s="388"/>
      <c r="T67" s="388"/>
      <c r="U67" s="388"/>
      <c r="V67" s="388"/>
      <c r="W67" s="388"/>
      <c r="X67" s="388"/>
    </row>
    <row r="68" spans="1:24" ht="14.25">
      <c r="A68" s="363"/>
      <c r="B68" s="364" t="s">
        <v>656</v>
      </c>
      <c r="L68" s="363"/>
      <c r="M68" s="389"/>
      <c r="N68" s="390"/>
      <c r="O68" s="390"/>
      <c r="P68" s="390"/>
      <c r="Q68" s="390"/>
      <c r="R68" s="390"/>
      <c r="S68" s="390"/>
      <c r="T68" s="390"/>
      <c r="U68" s="390"/>
      <c r="V68" s="390"/>
      <c r="W68" s="390"/>
      <c r="X68" s="388"/>
    </row>
    <row r="69" spans="1:24" ht="14.25">
      <c r="A69" s="363"/>
      <c r="B69" s="364" t="s">
        <v>657</v>
      </c>
      <c r="L69" s="363"/>
      <c r="M69" s="388"/>
      <c r="N69" s="388"/>
      <c r="O69" s="388"/>
      <c r="P69" s="388"/>
      <c r="Q69" s="388"/>
      <c r="R69" s="388"/>
      <c r="S69" s="388"/>
      <c r="T69" s="388"/>
      <c r="U69" s="388"/>
      <c r="V69" s="388"/>
      <c r="W69" s="388"/>
      <c r="X69" s="388"/>
    </row>
    <row r="70" spans="1:24" ht="14.25">
      <c r="A70" s="363"/>
      <c r="B70" s="364" t="s">
        <v>658</v>
      </c>
      <c r="L70" s="363"/>
      <c r="M70" s="388"/>
      <c r="N70" s="388"/>
      <c r="O70" s="388"/>
      <c r="P70" s="388"/>
      <c r="Q70" s="388"/>
      <c r="R70" s="388"/>
      <c r="S70" s="388"/>
      <c r="T70" s="388"/>
      <c r="U70" s="388"/>
      <c r="V70" s="388"/>
      <c r="W70" s="388"/>
      <c r="X70" s="388"/>
    </row>
    <row r="71" spans="1:12" ht="15" thickBot="1">
      <c r="A71" s="363"/>
      <c r="B71" s="374"/>
      <c r="C71" s="374"/>
      <c r="D71" s="374"/>
      <c r="E71" s="374"/>
      <c r="F71" s="374"/>
      <c r="G71" s="374"/>
      <c r="H71" s="374"/>
      <c r="I71" s="374"/>
      <c r="J71" s="374"/>
      <c r="K71" s="374"/>
      <c r="L71" s="363"/>
    </row>
    <row r="72" spans="1:12" ht="14.25">
      <c r="A72" s="363"/>
      <c r="B72" s="370" t="s">
        <v>626</v>
      </c>
      <c r="C72" s="371"/>
      <c r="D72" s="371"/>
      <c r="E72" s="371"/>
      <c r="F72" s="371"/>
      <c r="G72" s="371"/>
      <c r="H72" s="371"/>
      <c r="I72" s="371"/>
      <c r="J72" s="371"/>
      <c r="K72" s="372"/>
      <c r="L72" s="391"/>
    </row>
    <row r="73" spans="1:12" ht="14.25">
      <c r="A73" s="363"/>
      <c r="B73" s="383"/>
      <c r="C73" s="374" t="s">
        <v>634</v>
      </c>
      <c r="D73" s="374"/>
      <c r="E73" s="374"/>
      <c r="F73" s="374"/>
      <c r="G73" s="374"/>
      <c r="H73" s="374"/>
      <c r="I73" s="374"/>
      <c r="J73" s="374"/>
      <c r="K73" s="377"/>
      <c r="L73" s="391"/>
    </row>
    <row r="74" spans="1:12" ht="14.25">
      <c r="A74" s="363"/>
      <c r="B74" s="383" t="s">
        <v>659</v>
      </c>
      <c r="C74" s="914">
        <v>133685008</v>
      </c>
      <c r="D74" s="914"/>
      <c r="E74" s="375" t="s">
        <v>633</v>
      </c>
      <c r="F74" s="375">
        <v>1000</v>
      </c>
      <c r="G74" s="375" t="s">
        <v>632</v>
      </c>
      <c r="H74" s="392">
        <f>C74/F74</f>
        <v>133685.008</v>
      </c>
      <c r="I74" s="374" t="s">
        <v>660</v>
      </c>
      <c r="J74" s="374"/>
      <c r="K74" s="377"/>
      <c r="L74" s="391"/>
    </row>
    <row r="75" spans="1:12" ht="14.25">
      <c r="A75" s="363"/>
      <c r="B75" s="383"/>
      <c r="C75" s="374"/>
      <c r="D75" s="374"/>
      <c r="E75" s="375"/>
      <c r="F75" s="374"/>
      <c r="G75" s="374"/>
      <c r="H75" s="374"/>
      <c r="I75" s="374"/>
      <c r="J75" s="374"/>
      <c r="K75" s="377"/>
      <c r="L75" s="391"/>
    </row>
    <row r="76" spans="1:12" ht="14.25">
      <c r="A76" s="363"/>
      <c r="B76" s="383"/>
      <c r="C76" s="374" t="s">
        <v>661</v>
      </c>
      <c r="D76" s="374"/>
      <c r="E76" s="375"/>
      <c r="F76" s="374" t="s">
        <v>660</v>
      </c>
      <c r="G76" s="374"/>
      <c r="H76" s="374"/>
      <c r="I76" s="374"/>
      <c r="J76" s="374"/>
      <c r="K76" s="377"/>
      <c r="L76" s="391"/>
    </row>
    <row r="77" spans="1:12" ht="14.25">
      <c r="A77" s="363"/>
      <c r="B77" s="383" t="s">
        <v>662</v>
      </c>
      <c r="C77" s="914">
        <v>5000</v>
      </c>
      <c r="D77" s="914"/>
      <c r="E77" s="375" t="s">
        <v>633</v>
      </c>
      <c r="F77" s="392">
        <f>H74</f>
        <v>133685.008</v>
      </c>
      <c r="G77" s="375" t="s">
        <v>632</v>
      </c>
      <c r="H77" s="385">
        <f>C77/F77</f>
        <v>0.03740135169083432</v>
      </c>
      <c r="I77" s="374" t="s">
        <v>663</v>
      </c>
      <c r="J77" s="374"/>
      <c r="K77" s="377"/>
      <c r="L77" s="391"/>
    </row>
    <row r="78" spans="1:12" ht="14.25">
      <c r="A78" s="363"/>
      <c r="B78" s="383"/>
      <c r="C78" s="374"/>
      <c r="D78" s="374"/>
      <c r="E78" s="375"/>
      <c r="F78" s="374"/>
      <c r="G78" s="374"/>
      <c r="H78" s="374"/>
      <c r="I78" s="374"/>
      <c r="J78" s="374"/>
      <c r="K78" s="377"/>
      <c r="L78" s="391"/>
    </row>
    <row r="79" spans="1:12" ht="14.25">
      <c r="A79" s="363"/>
      <c r="B79" s="393"/>
      <c r="C79" s="394" t="s">
        <v>664</v>
      </c>
      <c r="D79" s="394"/>
      <c r="E79" s="395"/>
      <c r="F79" s="394"/>
      <c r="G79" s="394"/>
      <c r="H79" s="394"/>
      <c r="I79" s="394"/>
      <c r="J79" s="394"/>
      <c r="K79" s="396"/>
      <c r="L79" s="391"/>
    </row>
    <row r="80" spans="1:12" ht="14.25">
      <c r="A80" s="363"/>
      <c r="B80" s="383" t="s">
        <v>665</v>
      </c>
      <c r="C80" s="914">
        <v>100000</v>
      </c>
      <c r="D80" s="914"/>
      <c r="E80" s="375" t="s">
        <v>231</v>
      </c>
      <c r="F80" s="375">
        <v>0.115</v>
      </c>
      <c r="G80" s="375" t="s">
        <v>632</v>
      </c>
      <c r="H80" s="392">
        <f>C80*F80</f>
        <v>11500</v>
      </c>
      <c r="I80" s="374" t="s">
        <v>666</v>
      </c>
      <c r="J80" s="374"/>
      <c r="K80" s="377"/>
      <c r="L80" s="391"/>
    </row>
    <row r="81" spans="1:12" ht="14.25">
      <c r="A81" s="363"/>
      <c r="B81" s="383"/>
      <c r="C81" s="374"/>
      <c r="D81" s="374"/>
      <c r="E81" s="375"/>
      <c r="F81" s="374"/>
      <c r="G81" s="374"/>
      <c r="H81" s="374"/>
      <c r="I81" s="374"/>
      <c r="J81" s="374"/>
      <c r="K81" s="377"/>
      <c r="L81" s="391"/>
    </row>
    <row r="82" spans="1:12" ht="14.25">
      <c r="A82" s="363"/>
      <c r="B82" s="393"/>
      <c r="C82" s="394" t="s">
        <v>667</v>
      </c>
      <c r="D82" s="394"/>
      <c r="E82" s="395"/>
      <c r="F82" s="394" t="s">
        <v>663</v>
      </c>
      <c r="G82" s="394"/>
      <c r="H82" s="394"/>
      <c r="I82" s="394"/>
      <c r="J82" s="394" t="s">
        <v>668</v>
      </c>
      <c r="K82" s="396"/>
      <c r="L82" s="391"/>
    </row>
    <row r="83" spans="1:12" ht="14.25">
      <c r="A83" s="363"/>
      <c r="B83" s="383" t="s">
        <v>669</v>
      </c>
      <c r="C83" s="929">
        <f>H80</f>
        <v>11500</v>
      </c>
      <c r="D83" s="929"/>
      <c r="E83" s="375" t="s">
        <v>231</v>
      </c>
      <c r="F83" s="385">
        <f>H77</f>
        <v>0.03740135169083432</v>
      </c>
      <c r="G83" s="375" t="s">
        <v>633</v>
      </c>
      <c r="H83" s="375">
        <v>1000</v>
      </c>
      <c r="I83" s="375" t="s">
        <v>632</v>
      </c>
      <c r="J83" s="397">
        <f>C83*F83/H83</f>
        <v>0.43011554444459466</v>
      </c>
      <c r="K83" s="377"/>
      <c r="L83" s="391"/>
    </row>
    <row r="84" spans="1:12" ht="15" thickBot="1">
      <c r="A84" s="363"/>
      <c r="B84" s="378"/>
      <c r="C84" s="398"/>
      <c r="D84" s="398"/>
      <c r="E84" s="399"/>
      <c r="F84" s="400"/>
      <c r="G84" s="399"/>
      <c r="H84" s="399"/>
      <c r="I84" s="399"/>
      <c r="J84" s="401"/>
      <c r="K84" s="380"/>
      <c r="L84" s="391"/>
    </row>
    <row r="85" spans="1:12" ht="40.5" customHeight="1">
      <c r="A85" s="363"/>
      <c r="B85" s="922" t="s">
        <v>622</v>
      </c>
      <c r="C85" s="922"/>
      <c r="D85" s="922"/>
      <c r="E85" s="922"/>
      <c r="F85" s="922"/>
      <c r="G85" s="922"/>
      <c r="H85" s="922"/>
      <c r="I85" s="922"/>
      <c r="J85" s="922"/>
      <c r="K85" s="922"/>
      <c r="L85" s="363"/>
    </row>
    <row r="86" spans="1:12" ht="14.25">
      <c r="A86" s="363"/>
      <c r="B86" s="915" t="s">
        <v>670</v>
      </c>
      <c r="C86" s="915"/>
      <c r="D86" s="915"/>
      <c r="E86" s="915"/>
      <c r="F86" s="915"/>
      <c r="G86" s="915"/>
      <c r="H86" s="915"/>
      <c r="I86" s="915"/>
      <c r="J86" s="915"/>
      <c r="K86" s="915"/>
      <c r="L86" s="363"/>
    </row>
    <row r="87" spans="1:12" ht="14.25">
      <c r="A87" s="363"/>
      <c r="B87" s="402"/>
      <c r="C87" s="402"/>
      <c r="D87" s="402"/>
      <c r="E87" s="402"/>
      <c r="F87" s="402"/>
      <c r="G87" s="402"/>
      <c r="H87" s="402"/>
      <c r="I87" s="402"/>
      <c r="J87" s="402"/>
      <c r="K87" s="402"/>
      <c r="L87" s="363"/>
    </row>
    <row r="88" spans="1:12" ht="14.25">
      <c r="A88" s="363"/>
      <c r="B88" s="915" t="s">
        <v>671</v>
      </c>
      <c r="C88" s="915"/>
      <c r="D88" s="915"/>
      <c r="E88" s="915"/>
      <c r="F88" s="915"/>
      <c r="G88" s="915"/>
      <c r="H88" s="915"/>
      <c r="I88" s="915"/>
      <c r="J88" s="915"/>
      <c r="K88" s="915"/>
      <c r="L88" s="363"/>
    </row>
    <row r="89" spans="1:12" ht="14.25">
      <c r="A89" s="363"/>
      <c r="B89" s="403"/>
      <c r="C89" s="403"/>
      <c r="D89" s="403"/>
      <c r="E89" s="403"/>
      <c r="F89" s="403"/>
      <c r="G89" s="403"/>
      <c r="H89" s="403"/>
      <c r="I89" s="403"/>
      <c r="J89" s="403"/>
      <c r="K89" s="403"/>
      <c r="L89" s="363"/>
    </row>
    <row r="90" spans="1:12" ht="45" customHeight="1">
      <c r="A90" s="363"/>
      <c r="B90" s="920" t="s">
        <v>672</v>
      </c>
      <c r="C90" s="920"/>
      <c r="D90" s="920"/>
      <c r="E90" s="920"/>
      <c r="F90" s="920"/>
      <c r="G90" s="920"/>
      <c r="H90" s="920"/>
      <c r="I90" s="920"/>
      <c r="J90" s="920"/>
      <c r="K90" s="920"/>
      <c r="L90" s="363"/>
    </row>
    <row r="91" spans="1:12" ht="15" customHeight="1" thickBot="1">
      <c r="A91" s="363"/>
      <c r="L91" s="363"/>
    </row>
    <row r="92" spans="1:12" ht="15" customHeight="1">
      <c r="A92" s="363"/>
      <c r="B92" s="404" t="s">
        <v>626</v>
      </c>
      <c r="C92" s="405"/>
      <c r="D92" s="405"/>
      <c r="E92" s="405"/>
      <c r="F92" s="405"/>
      <c r="G92" s="405"/>
      <c r="H92" s="405"/>
      <c r="I92" s="405"/>
      <c r="J92" s="405"/>
      <c r="K92" s="406"/>
      <c r="L92" s="363"/>
    </row>
    <row r="93" spans="1:12" ht="15" customHeight="1">
      <c r="A93" s="363"/>
      <c r="B93" s="407"/>
      <c r="C93" s="408" t="s">
        <v>634</v>
      </c>
      <c r="D93" s="408"/>
      <c r="E93" s="408"/>
      <c r="F93" s="408"/>
      <c r="G93" s="408"/>
      <c r="H93" s="408"/>
      <c r="I93" s="408"/>
      <c r="J93" s="408"/>
      <c r="K93" s="409"/>
      <c r="L93" s="363"/>
    </row>
    <row r="94" spans="1:12" ht="15" customHeight="1">
      <c r="A94" s="363"/>
      <c r="B94" s="407" t="s">
        <v>659</v>
      </c>
      <c r="C94" s="914">
        <v>133685008</v>
      </c>
      <c r="D94" s="914"/>
      <c r="E94" s="375" t="s">
        <v>633</v>
      </c>
      <c r="F94" s="375">
        <v>1000</v>
      </c>
      <c r="G94" s="375" t="s">
        <v>632</v>
      </c>
      <c r="H94" s="392">
        <f>C94/F94</f>
        <v>133685.008</v>
      </c>
      <c r="I94" s="408" t="s">
        <v>660</v>
      </c>
      <c r="J94" s="408"/>
      <c r="K94" s="409"/>
      <c r="L94" s="363"/>
    </row>
    <row r="95" spans="1:12" ht="15" customHeight="1">
      <c r="A95" s="363"/>
      <c r="B95" s="407"/>
      <c r="C95" s="408"/>
      <c r="D95" s="408"/>
      <c r="E95" s="375"/>
      <c r="F95" s="408"/>
      <c r="G95" s="408"/>
      <c r="H95" s="408"/>
      <c r="I95" s="408"/>
      <c r="J95" s="408"/>
      <c r="K95" s="409"/>
      <c r="L95" s="363"/>
    </row>
    <row r="96" spans="1:12" ht="15" customHeight="1">
      <c r="A96" s="363"/>
      <c r="B96" s="407"/>
      <c r="C96" s="408" t="s">
        <v>661</v>
      </c>
      <c r="D96" s="408"/>
      <c r="E96" s="375"/>
      <c r="F96" s="408" t="s">
        <v>660</v>
      </c>
      <c r="G96" s="408"/>
      <c r="H96" s="408"/>
      <c r="I96" s="408"/>
      <c r="J96" s="408"/>
      <c r="K96" s="409"/>
      <c r="L96" s="363"/>
    </row>
    <row r="97" spans="1:12" ht="15" customHeight="1">
      <c r="A97" s="363"/>
      <c r="B97" s="407" t="s">
        <v>662</v>
      </c>
      <c r="C97" s="914">
        <v>50000</v>
      </c>
      <c r="D97" s="914"/>
      <c r="E97" s="375" t="s">
        <v>633</v>
      </c>
      <c r="F97" s="392">
        <f>H94</f>
        <v>133685.008</v>
      </c>
      <c r="G97" s="375" t="s">
        <v>632</v>
      </c>
      <c r="H97" s="385">
        <f>C97/F97</f>
        <v>0.3740135169083432</v>
      </c>
      <c r="I97" s="408" t="s">
        <v>663</v>
      </c>
      <c r="J97" s="408"/>
      <c r="K97" s="409"/>
      <c r="L97" s="363"/>
    </row>
    <row r="98" spans="1:12" ht="15" customHeight="1">
      <c r="A98" s="363"/>
      <c r="B98" s="407"/>
      <c r="C98" s="408"/>
      <c r="D98" s="408"/>
      <c r="E98" s="375"/>
      <c r="F98" s="408"/>
      <c r="G98" s="408"/>
      <c r="H98" s="408"/>
      <c r="I98" s="408"/>
      <c r="J98" s="408"/>
      <c r="K98" s="409"/>
      <c r="L98" s="363"/>
    </row>
    <row r="99" spans="1:12" ht="15" customHeight="1">
      <c r="A99" s="363"/>
      <c r="B99" s="410"/>
      <c r="C99" s="411" t="s">
        <v>673</v>
      </c>
      <c r="D99" s="411"/>
      <c r="E99" s="395"/>
      <c r="F99" s="411"/>
      <c r="G99" s="411"/>
      <c r="H99" s="411"/>
      <c r="I99" s="411"/>
      <c r="J99" s="411"/>
      <c r="K99" s="412"/>
      <c r="L99" s="363"/>
    </row>
    <row r="100" spans="1:12" ht="15" customHeight="1">
      <c r="A100" s="363"/>
      <c r="B100" s="407" t="s">
        <v>665</v>
      </c>
      <c r="C100" s="914">
        <v>2500000</v>
      </c>
      <c r="D100" s="914"/>
      <c r="E100" s="375" t="s">
        <v>231</v>
      </c>
      <c r="F100" s="413">
        <v>0.3</v>
      </c>
      <c r="G100" s="375" t="s">
        <v>632</v>
      </c>
      <c r="H100" s="392">
        <f>C100*F100</f>
        <v>750000</v>
      </c>
      <c r="I100" s="408" t="s">
        <v>666</v>
      </c>
      <c r="J100" s="408"/>
      <c r="K100" s="409"/>
      <c r="L100" s="363"/>
    </row>
    <row r="101" spans="1:12" ht="15" customHeight="1">
      <c r="A101" s="363"/>
      <c r="B101" s="407"/>
      <c r="C101" s="408"/>
      <c r="D101" s="408"/>
      <c r="E101" s="375"/>
      <c r="F101" s="408"/>
      <c r="G101" s="408"/>
      <c r="H101" s="408"/>
      <c r="I101" s="408"/>
      <c r="J101" s="408"/>
      <c r="K101" s="409"/>
      <c r="L101" s="363"/>
    </row>
    <row r="102" spans="1:12" ht="15" customHeight="1">
      <c r="A102" s="363"/>
      <c r="B102" s="410"/>
      <c r="C102" s="411" t="s">
        <v>667</v>
      </c>
      <c r="D102" s="411"/>
      <c r="E102" s="395"/>
      <c r="F102" s="411" t="s">
        <v>663</v>
      </c>
      <c r="G102" s="411"/>
      <c r="H102" s="411"/>
      <c r="I102" s="411"/>
      <c r="J102" s="411" t="s">
        <v>668</v>
      </c>
      <c r="K102" s="412"/>
      <c r="L102" s="363"/>
    </row>
    <row r="103" spans="1:12" ht="15" customHeight="1">
      <c r="A103" s="363"/>
      <c r="B103" s="407" t="s">
        <v>669</v>
      </c>
      <c r="C103" s="929">
        <f>H100</f>
        <v>750000</v>
      </c>
      <c r="D103" s="929"/>
      <c r="E103" s="375" t="s">
        <v>231</v>
      </c>
      <c r="F103" s="385">
        <f>H97</f>
        <v>0.3740135169083432</v>
      </c>
      <c r="G103" s="375" t="s">
        <v>633</v>
      </c>
      <c r="H103" s="375">
        <v>1000</v>
      </c>
      <c r="I103" s="375" t="s">
        <v>632</v>
      </c>
      <c r="J103" s="397">
        <f>C103*F103/H103</f>
        <v>280.51013768125745</v>
      </c>
      <c r="K103" s="409"/>
      <c r="L103" s="363"/>
    </row>
    <row r="104" spans="1:12" ht="15" customHeight="1" thickBot="1">
      <c r="A104" s="363"/>
      <c r="B104" s="414"/>
      <c r="C104" s="398"/>
      <c r="D104" s="398"/>
      <c r="E104" s="399"/>
      <c r="F104" s="400"/>
      <c r="G104" s="399"/>
      <c r="H104" s="399"/>
      <c r="I104" s="399"/>
      <c r="J104" s="401"/>
      <c r="K104" s="415"/>
      <c r="L104" s="363"/>
    </row>
    <row r="105" spans="1:12" ht="40.5" customHeight="1">
      <c r="A105" s="363"/>
      <c r="B105" s="922" t="s">
        <v>622</v>
      </c>
      <c r="C105" s="930"/>
      <c r="D105" s="930"/>
      <c r="E105" s="930"/>
      <c r="F105" s="930"/>
      <c r="G105" s="930"/>
      <c r="H105" s="930"/>
      <c r="I105" s="930"/>
      <c r="J105" s="930"/>
      <c r="K105" s="930"/>
      <c r="L105" s="363"/>
    </row>
    <row r="106" spans="1:12" ht="15" customHeight="1">
      <c r="A106" s="363"/>
      <c r="B106" s="931" t="s">
        <v>674</v>
      </c>
      <c r="C106" s="916"/>
      <c r="D106" s="916"/>
      <c r="E106" s="916"/>
      <c r="F106" s="916"/>
      <c r="G106" s="916"/>
      <c r="H106" s="916"/>
      <c r="I106" s="916"/>
      <c r="J106" s="916"/>
      <c r="K106" s="916"/>
      <c r="L106" s="363"/>
    </row>
    <row r="107" spans="1:12" ht="15" customHeight="1">
      <c r="A107" s="363"/>
      <c r="B107" s="408"/>
      <c r="C107" s="416"/>
      <c r="D107" s="416"/>
      <c r="E107" s="375"/>
      <c r="F107" s="385"/>
      <c r="G107" s="375"/>
      <c r="H107" s="375"/>
      <c r="I107" s="375"/>
      <c r="J107" s="397"/>
      <c r="K107" s="408"/>
      <c r="L107" s="363"/>
    </row>
    <row r="108" spans="1:12" ht="15" customHeight="1">
      <c r="A108" s="363"/>
      <c r="B108" s="931" t="s">
        <v>675</v>
      </c>
      <c r="C108" s="932"/>
      <c r="D108" s="932"/>
      <c r="E108" s="932"/>
      <c r="F108" s="932"/>
      <c r="G108" s="932"/>
      <c r="H108" s="932"/>
      <c r="I108" s="932"/>
      <c r="J108" s="932"/>
      <c r="K108" s="932"/>
      <c r="L108" s="363"/>
    </row>
    <row r="109" spans="1:12" ht="15" customHeight="1">
      <c r="A109" s="363"/>
      <c r="B109" s="408"/>
      <c r="C109" s="416"/>
      <c r="D109" s="416"/>
      <c r="E109" s="375"/>
      <c r="F109" s="385"/>
      <c r="G109" s="375"/>
      <c r="H109" s="375"/>
      <c r="I109" s="375"/>
      <c r="J109" s="397"/>
      <c r="K109" s="408"/>
      <c r="L109" s="363"/>
    </row>
    <row r="110" spans="1:12" ht="59.25" customHeight="1">
      <c r="A110" s="363"/>
      <c r="B110" s="935" t="s">
        <v>676</v>
      </c>
      <c r="C110" s="923"/>
      <c r="D110" s="923"/>
      <c r="E110" s="923"/>
      <c r="F110" s="923"/>
      <c r="G110" s="923"/>
      <c r="H110" s="923"/>
      <c r="I110" s="923"/>
      <c r="J110" s="923"/>
      <c r="K110" s="923"/>
      <c r="L110" s="363"/>
    </row>
    <row r="111" spans="1:12" ht="15" thickBot="1">
      <c r="A111" s="363"/>
      <c r="B111" s="366"/>
      <c r="C111" s="366"/>
      <c r="D111" s="366"/>
      <c r="E111" s="366"/>
      <c r="F111" s="366"/>
      <c r="G111" s="366"/>
      <c r="H111" s="366"/>
      <c r="I111" s="366"/>
      <c r="J111" s="366"/>
      <c r="K111" s="366"/>
      <c r="L111" s="417"/>
    </row>
    <row r="112" spans="1:12" ht="14.25">
      <c r="A112" s="363"/>
      <c r="B112" s="370" t="s">
        <v>626</v>
      </c>
      <c r="C112" s="371"/>
      <c r="D112" s="371"/>
      <c r="E112" s="371"/>
      <c r="F112" s="371"/>
      <c r="G112" s="371"/>
      <c r="H112" s="371"/>
      <c r="I112" s="371"/>
      <c r="J112" s="371"/>
      <c r="K112" s="372"/>
      <c r="L112" s="363"/>
    </row>
    <row r="113" spans="1:12" ht="14.25">
      <c r="A113" s="363"/>
      <c r="B113" s="383"/>
      <c r="C113" s="374" t="s">
        <v>634</v>
      </c>
      <c r="D113" s="374"/>
      <c r="E113" s="374"/>
      <c r="F113" s="374"/>
      <c r="G113" s="374"/>
      <c r="H113" s="374"/>
      <c r="I113" s="374"/>
      <c r="J113" s="374"/>
      <c r="K113" s="377"/>
      <c r="L113" s="363"/>
    </row>
    <row r="114" spans="1:12" ht="14.25">
      <c r="A114" s="363"/>
      <c r="B114" s="383" t="s">
        <v>659</v>
      </c>
      <c r="C114" s="914">
        <v>133685008</v>
      </c>
      <c r="D114" s="914"/>
      <c r="E114" s="375" t="s">
        <v>633</v>
      </c>
      <c r="F114" s="375">
        <v>1000</v>
      </c>
      <c r="G114" s="375" t="s">
        <v>632</v>
      </c>
      <c r="H114" s="392">
        <f>C114/F114</f>
        <v>133685.008</v>
      </c>
      <c r="I114" s="374" t="s">
        <v>660</v>
      </c>
      <c r="J114" s="374"/>
      <c r="K114" s="377"/>
      <c r="L114" s="363"/>
    </row>
    <row r="115" spans="1:12" ht="14.25">
      <c r="A115" s="363"/>
      <c r="B115" s="383"/>
      <c r="C115" s="374"/>
      <c r="D115" s="374"/>
      <c r="E115" s="375"/>
      <c r="F115" s="374"/>
      <c r="G115" s="374"/>
      <c r="H115" s="374"/>
      <c r="I115" s="374"/>
      <c r="J115" s="374"/>
      <c r="K115" s="377"/>
      <c r="L115" s="363"/>
    </row>
    <row r="116" spans="1:12" ht="14.25">
      <c r="A116" s="363"/>
      <c r="B116" s="383"/>
      <c r="C116" s="374" t="s">
        <v>661</v>
      </c>
      <c r="D116" s="374"/>
      <c r="E116" s="375"/>
      <c r="F116" s="374" t="s">
        <v>660</v>
      </c>
      <c r="G116" s="374"/>
      <c r="H116" s="374"/>
      <c r="I116" s="374"/>
      <c r="J116" s="374"/>
      <c r="K116" s="377"/>
      <c r="L116" s="363"/>
    </row>
    <row r="117" spans="1:12" ht="14.25">
      <c r="A117" s="363"/>
      <c r="B117" s="383" t="s">
        <v>662</v>
      </c>
      <c r="C117" s="914">
        <v>50000</v>
      </c>
      <c r="D117" s="914"/>
      <c r="E117" s="375" t="s">
        <v>633</v>
      </c>
      <c r="F117" s="392">
        <f>H114</f>
        <v>133685.008</v>
      </c>
      <c r="G117" s="375" t="s">
        <v>632</v>
      </c>
      <c r="H117" s="385">
        <f>C117/F117</f>
        <v>0.3740135169083432</v>
      </c>
      <c r="I117" s="374" t="s">
        <v>663</v>
      </c>
      <c r="J117" s="374"/>
      <c r="K117" s="377"/>
      <c r="L117" s="363"/>
    </row>
    <row r="118" spans="1:12" ht="14.25">
      <c r="A118" s="363"/>
      <c r="B118" s="383"/>
      <c r="C118" s="374"/>
      <c r="D118" s="374"/>
      <c r="E118" s="375"/>
      <c r="F118" s="374"/>
      <c r="G118" s="374"/>
      <c r="H118" s="374"/>
      <c r="I118" s="374"/>
      <c r="J118" s="374"/>
      <c r="K118" s="377"/>
      <c r="L118" s="363"/>
    </row>
    <row r="119" spans="1:12" ht="14.25">
      <c r="A119" s="363"/>
      <c r="B119" s="393"/>
      <c r="C119" s="394" t="s">
        <v>673</v>
      </c>
      <c r="D119" s="394"/>
      <c r="E119" s="395"/>
      <c r="F119" s="394"/>
      <c r="G119" s="394"/>
      <c r="H119" s="394"/>
      <c r="I119" s="394"/>
      <c r="J119" s="394"/>
      <c r="K119" s="396"/>
      <c r="L119" s="363"/>
    </row>
    <row r="120" spans="1:12" ht="14.25">
      <c r="A120" s="363"/>
      <c r="B120" s="383" t="s">
        <v>665</v>
      </c>
      <c r="C120" s="914">
        <v>2500000</v>
      </c>
      <c r="D120" s="914"/>
      <c r="E120" s="375" t="s">
        <v>231</v>
      </c>
      <c r="F120" s="413">
        <v>0.25</v>
      </c>
      <c r="G120" s="375" t="s">
        <v>632</v>
      </c>
      <c r="H120" s="392">
        <f>C120*F120</f>
        <v>625000</v>
      </c>
      <c r="I120" s="374" t="s">
        <v>666</v>
      </c>
      <c r="J120" s="374"/>
      <c r="K120" s="377"/>
      <c r="L120" s="363"/>
    </row>
    <row r="121" spans="1:12" ht="14.25">
      <c r="A121" s="363"/>
      <c r="B121" s="383"/>
      <c r="C121" s="374"/>
      <c r="D121" s="374"/>
      <c r="E121" s="375"/>
      <c r="F121" s="374"/>
      <c r="G121" s="374"/>
      <c r="H121" s="374"/>
      <c r="I121" s="374"/>
      <c r="J121" s="374"/>
      <c r="K121" s="377"/>
      <c r="L121" s="363"/>
    </row>
    <row r="122" spans="1:12" ht="14.25">
      <c r="A122" s="363"/>
      <c r="B122" s="393"/>
      <c r="C122" s="394" t="s">
        <v>667</v>
      </c>
      <c r="D122" s="394"/>
      <c r="E122" s="395"/>
      <c r="F122" s="394" t="s">
        <v>663</v>
      </c>
      <c r="G122" s="394"/>
      <c r="H122" s="394"/>
      <c r="I122" s="394"/>
      <c r="J122" s="394" t="s">
        <v>668</v>
      </c>
      <c r="K122" s="396"/>
      <c r="L122" s="363"/>
    </row>
    <row r="123" spans="1:12" ht="14.25">
      <c r="A123" s="363"/>
      <c r="B123" s="383" t="s">
        <v>669</v>
      </c>
      <c r="C123" s="929">
        <f>H120</f>
        <v>625000</v>
      </c>
      <c r="D123" s="929"/>
      <c r="E123" s="375" t="s">
        <v>231</v>
      </c>
      <c r="F123" s="385">
        <f>H117</f>
        <v>0.3740135169083432</v>
      </c>
      <c r="G123" s="375" t="s">
        <v>633</v>
      </c>
      <c r="H123" s="375">
        <v>1000</v>
      </c>
      <c r="I123" s="375" t="s">
        <v>632</v>
      </c>
      <c r="J123" s="397">
        <f>C123*F123/H123</f>
        <v>233.7584480677145</v>
      </c>
      <c r="K123" s="377"/>
      <c r="L123" s="363"/>
    </row>
    <row r="124" spans="1:12" ht="15" thickBot="1">
      <c r="A124" s="363"/>
      <c r="B124" s="378"/>
      <c r="C124" s="398"/>
      <c r="D124" s="398"/>
      <c r="E124" s="399"/>
      <c r="F124" s="400"/>
      <c r="G124" s="399"/>
      <c r="H124" s="399"/>
      <c r="I124" s="399"/>
      <c r="J124" s="401"/>
      <c r="K124" s="380"/>
      <c r="L124" s="363"/>
    </row>
    <row r="125" spans="1:12" ht="40.5" customHeight="1">
      <c r="A125" s="363"/>
      <c r="B125" s="922" t="s">
        <v>622</v>
      </c>
      <c r="C125" s="922"/>
      <c r="D125" s="922"/>
      <c r="E125" s="922"/>
      <c r="F125" s="922"/>
      <c r="G125" s="922"/>
      <c r="H125" s="922"/>
      <c r="I125" s="922"/>
      <c r="J125" s="922"/>
      <c r="K125" s="922"/>
      <c r="L125" s="417"/>
    </row>
    <row r="126" spans="1:12" ht="14.25">
      <c r="A126" s="363"/>
      <c r="B126" s="915" t="s">
        <v>677</v>
      </c>
      <c r="C126" s="915"/>
      <c r="D126" s="915"/>
      <c r="E126" s="915"/>
      <c r="F126" s="915"/>
      <c r="G126" s="915"/>
      <c r="H126" s="915"/>
      <c r="I126" s="915"/>
      <c r="J126" s="915"/>
      <c r="K126" s="915"/>
      <c r="L126" s="417"/>
    </row>
    <row r="127" spans="1:12" ht="14.25">
      <c r="A127" s="363"/>
      <c r="B127" s="366"/>
      <c r="C127" s="366"/>
      <c r="D127" s="366"/>
      <c r="E127" s="366"/>
      <c r="F127" s="366"/>
      <c r="G127" s="366"/>
      <c r="H127" s="366"/>
      <c r="I127" s="366"/>
      <c r="J127" s="366"/>
      <c r="K127" s="366"/>
      <c r="L127" s="417"/>
    </row>
    <row r="128" spans="1:12" ht="14.25">
      <c r="A128" s="363"/>
      <c r="B128" s="915" t="s">
        <v>678</v>
      </c>
      <c r="C128" s="915"/>
      <c r="D128" s="915"/>
      <c r="E128" s="915"/>
      <c r="F128" s="915"/>
      <c r="G128" s="915"/>
      <c r="H128" s="915"/>
      <c r="I128" s="915"/>
      <c r="J128" s="915"/>
      <c r="K128" s="915"/>
      <c r="L128" s="417"/>
    </row>
    <row r="129" spans="1:12" ht="14.25">
      <c r="A129" s="363"/>
      <c r="B129" s="403"/>
      <c r="C129" s="403"/>
      <c r="D129" s="403"/>
      <c r="E129" s="403"/>
      <c r="F129" s="403"/>
      <c r="G129" s="403"/>
      <c r="H129" s="403"/>
      <c r="I129" s="403"/>
      <c r="J129" s="403"/>
      <c r="K129" s="403"/>
      <c r="L129" s="417"/>
    </row>
    <row r="130" spans="1:12" ht="74.25" customHeight="1">
      <c r="A130" s="363"/>
      <c r="B130" s="920" t="s">
        <v>679</v>
      </c>
      <c r="C130" s="920"/>
      <c r="D130" s="920"/>
      <c r="E130" s="920"/>
      <c r="F130" s="920"/>
      <c r="G130" s="920"/>
      <c r="H130" s="920"/>
      <c r="I130" s="920"/>
      <c r="J130" s="920"/>
      <c r="K130" s="920"/>
      <c r="L130" s="417"/>
    </row>
    <row r="131" spans="1:12" ht="15" thickBot="1">
      <c r="A131" s="363"/>
      <c r="L131" s="363"/>
    </row>
    <row r="132" spans="1:12" ht="14.25">
      <c r="A132" s="363"/>
      <c r="B132" s="370" t="s">
        <v>626</v>
      </c>
      <c r="C132" s="371"/>
      <c r="D132" s="371"/>
      <c r="E132" s="371"/>
      <c r="F132" s="371"/>
      <c r="G132" s="371"/>
      <c r="H132" s="371"/>
      <c r="I132" s="371"/>
      <c r="J132" s="371"/>
      <c r="K132" s="372"/>
      <c r="L132" s="363"/>
    </row>
    <row r="133" spans="1:12" ht="14.25">
      <c r="A133" s="363"/>
      <c r="B133" s="383"/>
      <c r="C133" s="943" t="s">
        <v>680</v>
      </c>
      <c r="D133" s="943"/>
      <c r="E133" s="374"/>
      <c r="F133" s="375" t="s">
        <v>681</v>
      </c>
      <c r="G133" s="374"/>
      <c r="H133" s="943" t="s">
        <v>666</v>
      </c>
      <c r="I133" s="943"/>
      <c r="J133" s="374"/>
      <c r="K133" s="377"/>
      <c r="L133" s="363"/>
    </row>
    <row r="134" spans="1:12" ht="14.25">
      <c r="A134" s="363"/>
      <c r="B134" s="383" t="s">
        <v>659</v>
      </c>
      <c r="C134" s="914">
        <v>100000</v>
      </c>
      <c r="D134" s="914"/>
      <c r="E134" s="375" t="s">
        <v>231</v>
      </c>
      <c r="F134" s="375">
        <v>0.115</v>
      </c>
      <c r="G134" s="375" t="s">
        <v>632</v>
      </c>
      <c r="H134" s="933">
        <f>C134*F134</f>
        <v>11500</v>
      </c>
      <c r="I134" s="933"/>
      <c r="J134" s="374"/>
      <c r="K134" s="377"/>
      <c r="L134" s="363"/>
    </row>
    <row r="135" spans="1:12" ht="14.25">
      <c r="A135" s="363"/>
      <c r="B135" s="383"/>
      <c r="C135" s="374"/>
      <c r="D135" s="374"/>
      <c r="E135" s="374"/>
      <c r="F135" s="374"/>
      <c r="G135" s="374"/>
      <c r="H135" s="374"/>
      <c r="I135" s="374"/>
      <c r="J135" s="374"/>
      <c r="K135" s="377"/>
      <c r="L135" s="363"/>
    </row>
    <row r="136" spans="1:12" ht="14.25">
      <c r="A136" s="363"/>
      <c r="B136" s="393"/>
      <c r="C136" s="934" t="s">
        <v>666</v>
      </c>
      <c r="D136" s="934"/>
      <c r="E136" s="394"/>
      <c r="F136" s="395" t="s">
        <v>682</v>
      </c>
      <c r="G136" s="395"/>
      <c r="H136" s="394"/>
      <c r="I136" s="394"/>
      <c r="J136" s="394" t="s">
        <v>683</v>
      </c>
      <c r="K136" s="396"/>
      <c r="L136" s="363"/>
    </row>
    <row r="137" spans="1:12" ht="14.25">
      <c r="A137" s="363"/>
      <c r="B137" s="383" t="s">
        <v>662</v>
      </c>
      <c r="C137" s="933">
        <f>H134</f>
        <v>11500</v>
      </c>
      <c r="D137" s="933"/>
      <c r="E137" s="375" t="s">
        <v>231</v>
      </c>
      <c r="F137" s="418">
        <v>52.869</v>
      </c>
      <c r="G137" s="375" t="s">
        <v>633</v>
      </c>
      <c r="H137" s="375">
        <v>1000</v>
      </c>
      <c r="I137" s="375" t="s">
        <v>632</v>
      </c>
      <c r="J137" s="419">
        <f>C137*F137/H137</f>
        <v>607.9935</v>
      </c>
      <c r="K137" s="377"/>
      <c r="L137" s="363"/>
    </row>
    <row r="138" spans="1:12" ht="15" thickBot="1">
      <c r="A138" s="363"/>
      <c r="B138" s="378"/>
      <c r="C138" s="420"/>
      <c r="D138" s="420"/>
      <c r="E138" s="399"/>
      <c r="F138" s="421"/>
      <c r="G138" s="399"/>
      <c r="H138" s="399"/>
      <c r="I138" s="399"/>
      <c r="J138" s="422"/>
      <c r="K138" s="380"/>
      <c r="L138" s="363"/>
    </row>
    <row r="139" spans="1:12" ht="40.5" customHeight="1">
      <c r="A139" s="363"/>
      <c r="B139" s="423" t="s">
        <v>622</v>
      </c>
      <c r="C139" s="424"/>
      <c r="D139" s="424"/>
      <c r="E139" s="425"/>
      <c r="F139" s="426"/>
      <c r="G139" s="425"/>
      <c r="H139" s="425"/>
      <c r="I139" s="425"/>
      <c r="J139" s="427"/>
      <c r="K139" s="428"/>
      <c r="L139" s="363"/>
    </row>
    <row r="140" spans="1:12" ht="14.25">
      <c r="A140" s="363"/>
      <c r="B140" s="429" t="s">
        <v>684</v>
      </c>
      <c r="C140" s="430"/>
      <c r="D140" s="430"/>
      <c r="E140" s="431"/>
      <c r="F140" s="432"/>
      <c r="G140" s="431"/>
      <c r="H140" s="431"/>
      <c r="I140" s="431"/>
      <c r="J140" s="433"/>
      <c r="K140" s="434"/>
      <c r="L140" s="363"/>
    </row>
    <row r="141" spans="1:12" ht="14.25">
      <c r="A141" s="363"/>
      <c r="B141" s="383"/>
      <c r="C141" s="392"/>
      <c r="D141" s="392"/>
      <c r="E141" s="375"/>
      <c r="F141" s="435"/>
      <c r="G141" s="375"/>
      <c r="H141" s="375"/>
      <c r="I141" s="375"/>
      <c r="J141" s="419"/>
      <c r="K141" s="377"/>
      <c r="L141" s="363"/>
    </row>
    <row r="142" spans="1:12" ht="14.25">
      <c r="A142" s="363"/>
      <c r="B142" s="429" t="s">
        <v>685</v>
      </c>
      <c r="C142" s="430"/>
      <c r="D142" s="430"/>
      <c r="E142" s="431"/>
      <c r="F142" s="432"/>
      <c r="G142" s="431"/>
      <c r="H142" s="431"/>
      <c r="I142" s="431"/>
      <c r="J142" s="433"/>
      <c r="K142" s="434"/>
      <c r="L142" s="363"/>
    </row>
    <row r="143" spans="1:12" ht="14.25">
      <c r="A143" s="363"/>
      <c r="B143" s="383"/>
      <c r="C143" s="392"/>
      <c r="D143" s="392"/>
      <c r="E143" s="375"/>
      <c r="F143" s="435"/>
      <c r="G143" s="375"/>
      <c r="H143" s="375"/>
      <c r="I143" s="375"/>
      <c r="J143" s="419"/>
      <c r="K143" s="377"/>
      <c r="L143" s="363"/>
    </row>
    <row r="144" spans="1:12" ht="76.5" customHeight="1">
      <c r="A144" s="363"/>
      <c r="B144" s="936" t="s">
        <v>686</v>
      </c>
      <c r="C144" s="937"/>
      <c r="D144" s="937"/>
      <c r="E144" s="937"/>
      <c r="F144" s="937"/>
      <c r="G144" s="937"/>
      <c r="H144" s="937"/>
      <c r="I144" s="937"/>
      <c r="J144" s="937"/>
      <c r="K144" s="938"/>
      <c r="L144" s="363"/>
    </row>
    <row r="145" spans="1:12" ht="15" thickBot="1">
      <c r="A145" s="363"/>
      <c r="B145" s="383"/>
      <c r="C145" s="392"/>
      <c r="D145" s="392"/>
      <c r="E145" s="375"/>
      <c r="F145" s="435"/>
      <c r="G145" s="375"/>
      <c r="H145" s="375"/>
      <c r="I145" s="375"/>
      <c r="J145" s="419"/>
      <c r="K145" s="377"/>
      <c r="L145" s="363"/>
    </row>
    <row r="146" spans="1:12" ht="14.25">
      <c r="A146" s="363"/>
      <c r="B146" s="370" t="s">
        <v>626</v>
      </c>
      <c r="C146" s="436"/>
      <c r="D146" s="436"/>
      <c r="E146" s="437"/>
      <c r="F146" s="438"/>
      <c r="G146" s="437"/>
      <c r="H146" s="437"/>
      <c r="I146" s="437"/>
      <c r="J146" s="439"/>
      <c r="K146" s="372"/>
      <c r="L146" s="363"/>
    </row>
    <row r="147" spans="1:12" ht="14.25">
      <c r="A147" s="363"/>
      <c r="B147" s="383"/>
      <c r="C147" s="933" t="s">
        <v>687</v>
      </c>
      <c r="D147" s="933"/>
      <c r="E147" s="375"/>
      <c r="F147" s="435" t="s">
        <v>688</v>
      </c>
      <c r="G147" s="375"/>
      <c r="H147" s="375"/>
      <c r="I147" s="375"/>
      <c r="J147" s="939" t="s">
        <v>689</v>
      </c>
      <c r="K147" s="940"/>
      <c r="L147" s="363"/>
    </row>
    <row r="148" spans="1:12" ht="14.25">
      <c r="A148" s="363"/>
      <c r="B148" s="383"/>
      <c r="C148" s="941">
        <v>52.869</v>
      </c>
      <c r="D148" s="941"/>
      <c r="E148" s="375" t="s">
        <v>231</v>
      </c>
      <c r="F148" s="440">
        <v>133685008</v>
      </c>
      <c r="G148" s="441" t="s">
        <v>633</v>
      </c>
      <c r="H148" s="375">
        <v>1000</v>
      </c>
      <c r="I148" s="375" t="s">
        <v>632</v>
      </c>
      <c r="J148" s="933">
        <f>C148*(F148/1000)</f>
        <v>7067792.687952</v>
      </c>
      <c r="K148" s="942"/>
      <c r="L148" s="363"/>
    </row>
    <row r="149" spans="1:12" ht="15" thickBot="1">
      <c r="A149" s="363"/>
      <c r="B149" s="378"/>
      <c r="C149" s="420"/>
      <c r="D149" s="420"/>
      <c r="E149" s="399"/>
      <c r="F149" s="421"/>
      <c r="G149" s="399"/>
      <c r="H149" s="399"/>
      <c r="I149" s="399"/>
      <c r="J149" s="422"/>
      <c r="K149" s="380"/>
      <c r="L149" s="363"/>
    </row>
    <row r="150" spans="1:12" ht="15" thickBot="1">
      <c r="A150" s="363"/>
      <c r="B150" s="378"/>
      <c r="C150" s="379"/>
      <c r="D150" s="379"/>
      <c r="E150" s="379"/>
      <c r="F150" s="379"/>
      <c r="G150" s="379"/>
      <c r="H150" s="379"/>
      <c r="I150" s="379"/>
      <c r="J150" s="379"/>
      <c r="K150" s="380"/>
      <c r="L150" s="363"/>
    </row>
    <row r="151" spans="1:12" ht="14.25">
      <c r="A151" s="363"/>
      <c r="B151" s="363"/>
      <c r="C151" s="363"/>
      <c r="D151" s="363"/>
      <c r="E151" s="363"/>
      <c r="F151" s="363"/>
      <c r="G151" s="363"/>
      <c r="H151" s="363"/>
      <c r="I151" s="363"/>
      <c r="J151" s="363"/>
      <c r="K151" s="363"/>
      <c r="L151" s="363"/>
    </row>
    <row r="152" spans="1:12" ht="14.25">
      <c r="A152" s="363"/>
      <c r="B152" s="363"/>
      <c r="C152" s="363"/>
      <c r="D152" s="363"/>
      <c r="E152" s="363"/>
      <c r="F152" s="363"/>
      <c r="G152" s="363"/>
      <c r="H152" s="363"/>
      <c r="I152" s="363"/>
      <c r="J152" s="363"/>
      <c r="K152" s="363"/>
      <c r="L152" s="363"/>
    </row>
    <row r="153" spans="1:12" ht="14.25">
      <c r="A153" s="363"/>
      <c r="B153" s="363"/>
      <c r="C153" s="363"/>
      <c r="D153" s="363"/>
      <c r="E153" s="363"/>
      <c r="F153" s="363"/>
      <c r="G153" s="363"/>
      <c r="H153" s="363"/>
      <c r="I153" s="363"/>
      <c r="J153" s="363"/>
      <c r="K153" s="363"/>
      <c r="L153" s="363"/>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5" t="s">
        <v>600</v>
      </c>
    </row>
    <row r="3" ht="31.5">
      <c r="A3" s="457" t="s">
        <v>601</v>
      </c>
    </row>
    <row r="4" ht="15.75">
      <c r="A4" s="458" t="s">
        <v>602</v>
      </c>
    </row>
    <row r="7" ht="31.5">
      <c r="A7" s="457" t="s">
        <v>603</v>
      </c>
    </row>
    <row r="8" ht="15.75">
      <c r="A8" s="458" t="s">
        <v>604</v>
      </c>
    </row>
    <row r="11" ht="15.75">
      <c r="A11" s="456" t="s">
        <v>605</v>
      </c>
    </row>
    <row r="12" ht="15.75">
      <c r="A12" s="458" t="s">
        <v>606</v>
      </c>
    </row>
    <row r="15" ht="15.75">
      <c r="A15" s="456" t="s">
        <v>607</v>
      </c>
    </row>
    <row r="16" ht="15.75">
      <c r="A16" s="458" t="s">
        <v>608</v>
      </c>
    </row>
    <row r="19" ht="15.75">
      <c r="A19" s="456" t="s">
        <v>609</v>
      </c>
    </row>
    <row r="20" ht="15.75">
      <c r="A20" s="458" t="s">
        <v>610</v>
      </c>
    </row>
    <row r="23" ht="15.75">
      <c r="A23" s="456" t="s">
        <v>611</v>
      </c>
    </row>
    <row r="24" ht="15.75">
      <c r="A24" s="458" t="s">
        <v>612</v>
      </c>
    </row>
    <row r="27" ht="15.75">
      <c r="A27" s="456" t="s">
        <v>613</v>
      </c>
    </row>
    <row r="28" ht="15.75">
      <c r="A28" s="458" t="s">
        <v>614</v>
      </c>
    </row>
    <row r="31" ht="15.75">
      <c r="A31" s="456" t="s">
        <v>615</v>
      </c>
    </row>
    <row r="32" ht="15.75">
      <c r="A32" s="458" t="s">
        <v>616</v>
      </c>
    </row>
    <row r="35" ht="15.75">
      <c r="A35" s="456" t="s">
        <v>617</v>
      </c>
    </row>
    <row r="36" ht="15.75">
      <c r="A36" s="458" t="s">
        <v>618</v>
      </c>
    </row>
    <row r="39" ht="15.75">
      <c r="A39" s="456" t="s">
        <v>619</v>
      </c>
    </row>
    <row r="40" ht="15.75">
      <c r="A40" s="458" t="s">
        <v>620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3" customWidth="1"/>
    <col min="2" max="16384" width="8.796875" style="93" customWidth="1"/>
  </cols>
  <sheetData>
    <row r="1" ht="15.75">
      <c r="A1" s="525" t="s">
        <v>935</v>
      </c>
    </row>
    <row r="2" ht="15.75">
      <c r="A2" s="773" t="s">
        <v>934</v>
      </c>
    </row>
    <row r="4" ht="15.75">
      <c r="A4" s="525" t="s">
        <v>936</v>
      </c>
    </row>
    <row r="5" ht="15.75">
      <c r="A5" s="722" t="s">
        <v>907</v>
      </c>
    </row>
    <row r="7" ht="15.75">
      <c r="A7" s="525" t="s">
        <v>937</v>
      </c>
    </row>
    <row r="8" ht="15.75">
      <c r="A8" s="93" t="s">
        <v>906</v>
      </c>
    </row>
    <row r="10" ht="15.75">
      <c r="A10" s="525" t="s">
        <v>938</v>
      </c>
    </row>
    <row r="11" ht="15.75">
      <c r="A11" s="704" t="s">
        <v>905</v>
      </c>
    </row>
    <row r="13" ht="15.75">
      <c r="A13" s="525" t="s">
        <v>939</v>
      </c>
    </row>
    <row r="14" ht="15.75">
      <c r="A14" s="704" t="s">
        <v>903</v>
      </c>
    </row>
    <row r="16" ht="15.75">
      <c r="A16" s="525" t="s">
        <v>940</v>
      </c>
    </row>
    <row r="17" ht="15.75">
      <c r="A17" s="707" t="s">
        <v>901</v>
      </c>
    </row>
    <row r="19" ht="15.75">
      <c r="A19" s="525" t="s">
        <v>940</v>
      </c>
    </row>
    <row r="20" ht="15.75">
      <c r="A20" s="707" t="s">
        <v>902</v>
      </c>
    </row>
    <row r="22" ht="15.75">
      <c r="A22" s="525" t="s">
        <v>941</v>
      </c>
    </row>
    <row r="23" ht="15.75">
      <c r="A23" s="704" t="s">
        <v>900</v>
      </c>
    </row>
    <row r="25" ht="15.75">
      <c r="A25" s="525" t="s">
        <v>942</v>
      </c>
    </row>
    <row r="26" ht="15.75">
      <c r="A26" s="701" t="s">
        <v>868</v>
      </c>
    </row>
    <row r="27" ht="15.75">
      <c r="A27" s="701" t="s">
        <v>869</v>
      </c>
    </row>
    <row r="28" ht="15.75">
      <c r="A28" s="701" t="s">
        <v>870</v>
      </c>
    </row>
    <row r="29" ht="15.75">
      <c r="A29" s="701" t="s">
        <v>871</v>
      </c>
    </row>
    <row r="30" ht="15.75">
      <c r="A30" s="701" t="s">
        <v>872</v>
      </c>
    </row>
    <row r="31" ht="15.75">
      <c r="A31" s="701" t="s">
        <v>873</v>
      </c>
    </row>
    <row r="32" ht="15.75">
      <c r="A32" s="701" t="s">
        <v>874</v>
      </c>
    </row>
    <row r="33" ht="15.75">
      <c r="A33" s="701" t="s">
        <v>875</v>
      </c>
    </row>
    <row r="34" ht="15.75">
      <c r="A34" s="701" t="s">
        <v>876</v>
      </c>
    </row>
    <row r="35" ht="15.75">
      <c r="A35" s="701" t="s">
        <v>877</v>
      </c>
    </row>
    <row r="36" ht="15.75">
      <c r="A36" s="701" t="s">
        <v>878</v>
      </c>
    </row>
    <row r="37" ht="15.75">
      <c r="A37" s="701" t="s">
        <v>879</v>
      </c>
    </row>
    <row r="38" ht="15.75">
      <c r="A38" s="701" t="s">
        <v>880</v>
      </c>
    </row>
    <row r="39" ht="15.75">
      <c r="A39" s="701" t="s">
        <v>881</v>
      </c>
    </row>
    <row r="40" ht="15.75">
      <c r="A40" s="701" t="s">
        <v>882</v>
      </c>
    </row>
    <row r="41" ht="15.75">
      <c r="A41" s="701" t="s">
        <v>883</v>
      </c>
    </row>
    <row r="42" ht="15.75">
      <c r="A42" s="701" t="s">
        <v>884</v>
      </c>
    </row>
    <row r="43" ht="15.75">
      <c r="A43" s="701" t="s">
        <v>885</v>
      </c>
    </row>
    <row r="44" ht="15.75">
      <c r="A44" s="701" t="s">
        <v>886</v>
      </c>
    </row>
    <row r="45" ht="15.75">
      <c r="A45" s="701" t="s">
        <v>887</v>
      </c>
    </row>
    <row r="46" ht="15.75">
      <c r="A46" s="701" t="s">
        <v>888</v>
      </c>
    </row>
    <row r="47" ht="15.75">
      <c r="A47" s="701" t="s">
        <v>889</v>
      </c>
    </row>
    <row r="48" ht="15.75">
      <c r="A48" s="701" t="s">
        <v>890</v>
      </c>
    </row>
    <row r="49" ht="15.75">
      <c r="A49" s="701" t="s">
        <v>891</v>
      </c>
    </row>
    <row r="50" ht="15.75">
      <c r="A50" s="701" t="s">
        <v>892</v>
      </c>
    </row>
    <row r="51" ht="15.75">
      <c r="A51" s="701" t="s">
        <v>893</v>
      </c>
    </row>
    <row r="52" ht="15.75">
      <c r="A52" s="701" t="s">
        <v>894</v>
      </c>
    </row>
    <row r="53" ht="15.75">
      <c r="A53" s="701" t="s">
        <v>895</v>
      </c>
    </row>
    <row r="54" ht="15.75">
      <c r="A54" s="701" t="s">
        <v>896</v>
      </c>
    </row>
    <row r="56" ht="15.75">
      <c r="A56" s="525" t="s">
        <v>943</v>
      </c>
    </row>
    <row r="57" ht="15.75">
      <c r="A57" s="93" t="s">
        <v>739</v>
      </c>
    </row>
    <row r="58" ht="15.75">
      <c r="A58" s="93" t="s">
        <v>740</v>
      </c>
    </row>
    <row r="60" ht="15.75">
      <c r="A60" s="525" t="s">
        <v>944</v>
      </c>
    </row>
    <row r="61" ht="15.75">
      <c r="A61" s="509" t="s">
        <v>737</v>
      </c>
    </row>
    <row r="63" ht="15.75">
      <c r="A63" s="352" t="s">
        <v>945</v>
      </c>
    </row>
    <row r="64" ht="15.75">
      <c r="A64" s="509" t="s">
        <v>711</v>
      </c>
    </row>
    <row r="65" ht="15.75">
      <c r="A65" s="509" t="s">
        <v>712</v>
      </c>
    </row>
    <row r="66" ht="31.5">
      <c r="A66" s="508" t="s">
        <v>713</v>
      </c>
    </row>
    <row r="67" ht="15.75">
      <c r="A67" s="509" t="s">
        <v>714</v>
      </c>
    </row>
    <row r="68" ht="15.75">
      <c r="A68" s="509" t="s">
        <v>715</v>
      </c>
    </row>
    <row r="69" ht="15.75">
      <c r="A69" s="509" t="s">
        <v>716</v>
      </c>
    </row>
    <row r="70" ht="15.75">
      <c r="A70" s="509" t="s">
        <v>717</v>
      </c>
    </row>
    <row r="71" ht="15.75">
      <c r="A71" s="509" t="s">
        <v>718</v>
      </c>
    </row>
    <row r="72" ht="15.75">
      <c r="A72" s="509" t="s">
        <v>719</v>
      </c>
    </row>
    <row r="73" ht="15.75">
      <c r="A73" s="509" t="s">
        <v>720</v>
      </c>
    </row>
    <row r="74" ht="15.75">
      <c r="A74" s="509" t="s">
        <v>721</v>
      </c>
    </row>
    <row r="75" ht="15.75">
      <c r="A75" s="509" t="s">
        <v>722</v>
      </c>
    </row>
    <row r="76" ht="15.75">
      <c r="A76" s="509" t="s">
        <v>723</v>
      </c>
    </row>
    <row r="77" ht="15.75">
      <c r="A77" s="509" t="s">
        <v>724</v>
      </c>
    </row>
    <row r="78" ht="15.75">
      <c r="A78" s="509" t="s">
        <v>725</v>
      </c>
    </row>
    <row r="79" ht="15.75">
      <c r="A79" s="509" t="s">
        <v>726</v>
      </c>
    </row>
    <row r="80" ht="15.75">
      <c r="A80" s="509" t="s">
        <v>727</v>
      </c>
    </row>
    <row r="81" ht="15.75">
      <c r="A81" s="509" t="s">
        <v>728</v>
      </c>
    </row>
    <row r="82" ht="15.75">
      <c r="A82" s="509" t="s">
        <v>729</v>
      </c>
    </row>
    <row r="83" ht="15.75">
      <c r="A83" s="509" t="s">
        <v>730</v>
      </c>
    </row>
    <row r="84" ht="15.75">
      <c r="A84" s="509" t="s">
        <v>731</v>
      </c>
    </row>
    <row r="85" ht="15.75">
      <c r="A85" s="509" t="s">
        <v>732</v>
      </c>
    </row>
    <row r="86" ht="15.75">
      <c r="A86" s="93" t="s">
        <v>736</v>
      </c>
    </row>
    <row r="88" ht="15.75">
      <c r="A88" s="352" t="s">
        <v>946</v>
      </c>
    </row>
    <row r="89" ht="36" customHeight="1">
      <c r="A89" s="191" t="s">
        <v>599</v>
      </c>
    </row>
    <row r="91" ht="15.75">
      <c r="A91" s="352" t="s">
        <v>947</v>
      </c>
    </row>
    <row r="92" ht="15.75">
      <c r="A92" s="93" t="s">
        <v>596</v>
      </c>
    </row>
    <row r="93" ht="15.75">
      <c r="A93" s="93" t="s">
        <v>597</v>
      </c>
    </row>
    <row r="94" ht="15.75">
      <c r="A94" s="93" t="s">
        <v>598</v>
      </c>
    </row>
    <row r="96" ht="15.75">
      <c r="A96" s="352" t="s">
        <v>948</v>
      </c>
    </row>
    <row r="97" ht="15.75">
      <c r="A97" s="93" t="s">
        <v>595</v>
      </c>
    </row>
    <row r="99" ht="15.75">
      <c r="A99" s="351" t="s">
        <v>949</v>
      </c>
    </row>
    <row r="100" ht="15.75">
      <c r="A100" s="93" t="s">
        <v>354</v>
      </c>
    </row>
    <row r="101" ht="15.75">
      <c r="A101" s="93" t="s">
        <v>355</v>
      </c>
    </row>
    <row r="102" ht="15.75">
      <c r="A102" s="93" t="s">
        <v>373</v>
      </c>
    </row>
    <row r="103" ht="15.75">
      <c r="A103" s="93" t="s">
        <v>374</v>
      </c>
    </row>
    <row r="104" ht="15.75">
      <c r="A104" s="93" t="s">
        <v>375</v>
      </c>
    </row>
    <row r="105" ht="15.75">
      <c r="A105" s="93" t="s">
        <v>584</v>
      </c>
    </row>
    <row r="107" ht="15.75">
      <c r="A107" s="351" t="s">
        <v>950</v>
      </c>
    </row>
    <row r="108" ht="15.75">
      <c r="A108" s="93" t="s">
        <v>295</v>
      </c>
    </row>
    <row r="109" ht="15.75">
      <c r="A109" s="93" t="s">
        <v>296</v>
      </c>
    </row>
    <row r="110" ht="15.75">
      <c r="A110" s="93" t="s">
        <v>297</v>
      </c>
    </row>
    <row r="111" ht="15.75">
      <c r="A111" s="93" t="s">
        <v>298</v>
      </c>
    </row>
    <row r="112" ht="15.75">
      <c r="A112" s="93" t="s">
        <v>299</v>
      </c>
    </row>
    <row r="113" ht="15.75">
      <c r="A113" s="93" t="s">
        <v>300</v>
      </c>
    </row>
    <row r="114" ht="15.75">
      <c r="A114" s="93" t="s">
        <v>301</v>
      </c>
    </row>
    <row r="115" ht="15.75">
      <c r="A115" s="93" t="s">
        <v>303</v>
      </c>
    </row>
    <row r="116" ht="15.75">
      <c r="A116" s="93" t="s">
        <v>304</v>
      </c>
    </row>
    <row r="117" ht="15.75">
      <c r="A117" s="93" t="s">
        <v>320</v>
      </c>
    </row>
    <row r="118" ht="15.75">
      <c r="A118" s="93" t="s">
        <v>321</v>
      </c>
    </row>
    <row r="119" ht="15.75">
      <c r="A119" s="93" t="s">
        <v>322</v>
      </c>
    </row>
    <row r="120" ht="15.75">
      <c r="A120" s="93" t="s">
        <v>323</v>
      </c>
    </row>
    <row r="121" ht="15.75">
      <c r="A121" s="93" t="s">
        <v>337</v>
      </c>
    </row>
    <row r="122" ht="15.75">
      <c r="A122" s="93" t="s">
        <v>338</v>
      </c>
    </row>
    <row r="123" ht="15.75">
      <c r="A123" s="93" t="s">
        <v>350</v>
      </c>
    </row>
    <row r="124" ht="15.75">
      <c r="A124" s="334" t="s">
        <v>351</v>
      </c>
    </row>
    <row r="126" ht="15.75">
      <c r="A126" s="351" t="s">
        <v>951</v>
      </c>
    </row>
    <row r="127" ht="15.75">
      <c r="A127" s="93" t="s">
        <v>291</v>
      </c>
    </row>
    <row r="129" ht="15.75">
      <c r="A129" s="351" t="s">
        <v>952</v>
      </c>
    </row>
    <row r="130" ht="15.75">
      <c r="A130" s="93" t="s">
        <v>290</v>
      </c>
    </row>
    <row r="132" ht="15.75">
      <c r="A132" s="351" t="s">
        <v>286</v>
      </c>
    </row>
    <row r="133" ht="15.75">
      <c r="A133" s="93" t="s">
        <v>287</v>
      </c>
    </row>
    <row r="134" ht="15.75">
      <c r="A134" s="93" t="s">
        <v>288</v>
      </c>
    </row>
    <row r="135" ht="15.75">
      <c r="A135" s="93" t="s">
        <v>289</v>
      </c>
    </row>
    <row r="137" ht="15.75">
      <c r="A137" s="351" t="s">
        <v>282</v>
      </c>
    </row>
    <row r="138" ht="15.75">
      <c r="A138" s="93" t="s">
        <v>283</v>
      </c>
    </row>
    <row r="139" ht="15.75">
      <c r="A139" s="93" t="s">
        <v>284</v>
      </c>
    </row>
    <row r="141" ht="15.75">
      <c r="A141" s="351" t="s">
        <v>198</v>
      </c>
    </row>
    <row r="142" ht="15.75">
      <c r="A142" s="93" t="s">
        <v>170</v>
      </c>
    </row>
    <row r="143" ht="31.5">
      <c r="A143" s="191" t="s">
        <v>171</v>
      </c>
    </row>
    <row r="144" ht="15.75">
      <c r="A144" s="93" t="s">
        <v>184</v>
      </c>
    </row>
    <row r="145" ht="15.75">
      <c r="A145" s="93" t="s">
        <v>185</v>
      </c>
    </row>
    <row r="146" ht="15.75">
      <c r="A146" s="93" t="s">
        <v>186</v>
      </c>
    </row>
    <row r="147" ht="15.75">
      <c r="A147" s="93" t="s">
        <v>187</v>
      </c>
    </row>
    <row r="148" ht="31.5">
      <c r="A148" s="191" t="s">
        <v>179</v>
      </c>
    </row>
    <row r="149" ht="31.5">
      <c r="A149" s="191" t="s">
        <v>188</v>
      </c>
    </row>
    <row r="150" ht="31.5">
      <c r="A150" s="191" t="s">
        <v>189</v>
      </c>
    </row>
    <row r="151" ht="15.75">
      <c r="A151" s="191" t="s">
        <v>190</v>
      </c>
    </row>
    <row r="152" ht="31.5">
      <c r="A152" s="191" t="s">
        <v>191</v>
      </c>
    </row>
    <row r="153" ht="15.75">
      <c r="A153" s="93" t="s">
        <v>192</v>
      </c>
    </row>
    <row r="154" ht="15.75">
      <c r="A154" s="93" t="s">
        <v>193</v>
      </c>
    </row>
    <row r="155" ht="15.75">
      <c r="A155" s="93" t="s">
        <v>194</v>
      </c>
    </row>
    <row r="156" ht="15.75">
      <c r="A156" s="93" t="s">
        <v>195</v>
      </c>
    </row>
    <row r="157" ht="31.5">
      <c r="A157" s="191" t="s">
        <v>196</v>
      </c>
    </row>
    <row r="158" ht="15.75">
      <c r="A158" s="191" t="s">
        <v>172</v>
      </c>
    </row>
    <row r="159" ht="31.5">
      <c r="A159" s="191" t="s">
        <v>180</v>
      </c>
    </row>
    <row r="160" ht="15.75">
      <c r="A160" s="191" t="s">
        <v>173</v>
      </c>
    </row>
    <row r="161" ht="15.75">
      <c r="A161" s="191" t="s">
        <v>174</v>
      </c>
    </row>
    <row r="162" ht="15.75">
      <c r="A162" s="191" t="s">
        <v>175</v>
      </c>
    </row>
    <row r="163" ht="31.5">
      <c r="A163" s="191" t="s">
        <v>176</v>
      </c>
    </row>
    <row r="164" ht="31.5">
      <c r="A164" s="191" t="s">
        <v>181</v>
      </c>
    </row>
    <row r="165" ht="31.5">
      <c r="A165" s="191" t="s">
        <v>177</v>
      </c>
    </row>
    <row r="166" ht="31.5">
      <c r="A166" s="191" t="s">
        <v>182</v>
      </c>
    </row>
    <row r="167" ht="15.75">
      <c r="A167" s="191" t="s">
        <v>183</v>
      </c>
    </row>
    <row r="168" ht="15.75">
      <c r="A168" s="191"/>
    </row>
    <row r="169" ht="15.75">
      <c r="A169" s="351" t="s">
        <v>110</v>
      </c>
    </row>
    <row r="170" ht="47.25">
      <c r="A170" s="191" t="s">
        <v>141</v>
      </c>
    </row>
    <row r="171" ht="15.75">
      <c r="A171" s="93" t="s">
        <v>111</v>
      </c>
    </row>
    <row r="172" ht="15.75">
      <c r="A172" s="93" t="s">
        <v>115</v>
      </c>
    </row>
    <row r="173" ht="15.75">
      <c r="A173" s="93" t="s">
        <v>116</v>
      </c>
    </row>
    <row r="174" ht="15.75">
      <c r="A174" s="93" t="s">
        <v>112</v>
      </c>
    </row>
    <row r="175" ht="15.75">
      <c r="A175" s="93" t="s">
        <v>113</v>
      </c>
    </row>
    <row r="176" ht="15.75">
      <c r="A176" s="93" t="s">
        <v>114</v>
      </c>
    </row>
    <row r="177" ht="15.75">
      <c r="A177" s="191" t="s">
        <v>209</v>
      </c>
    </row>
    <row r="178" ht="15.75">
      <c r="A178" s="93" t="s">
        <v>117</v>
      </c>
    </row>
    <row r="179" ht="15.75">
      <c r="A179" s="93" t="s">
        <v>118</v>
      </c>
    </row>
    <row r="180" ht="15.75">
      <c r="A180" s="93" t="s">
        <v>142</v>
      </c>
    </row>
    <row r="181" ht="15.75">
      <c r="A181" s="93" t="s">
        <v>132</v>
      </c>
    </row>
    <row r="182" ht="15.75">
      <c r="A182" s="93" t="s">
        <v>143</v>
      </c>
    </row>
    <row r="183" ht="15.75">
      <c r="A183" s="93" t="s">
        <v>119</v>
      </c>
    </row>
    <row r="184" ht="15.75">
      <c r="A184" s="93" t="s">
        <v>210</v>
      </c>
    </row>
    <row r="185" ht="15.75">
      <c r="A185" s="93" t="s">
        <v>120</v>
      </c>
    </row>
    <row r="186" ht="15.75">
      <c r="A186" s="93" t="s">
        <v>133</v>
      </c>
    </row>
    <row r="187" ht="31.5">
      <c r="A187" s="191" t="s">
        <v>134</v>
      </c>
    </row>
    <row r="188" ht="15.75">
      <c r="A188" s="93" t="s">
        <v>135</v>
      </c>
    </row>
    <row r="189" ht="15.75">
      <c r="A189" s="93" t="s">
        <v>144</v>
      </c>
    </row>
    <row r="190" ht="15.75">
      <c r="A190" s="93" t="s">
        <v>178</v>
      </c>
    </row>
    <row r="191" ht="15.75">
      <c r="A191" s="93" t="s">
        <v>208</v>
      </c>
    </row>
    <row r="192" ht="15.75">
      <c r="A192" s="93" t="s">
        <v>146</v>
      </c>
    </row>
    <row r="193" ht="15.75">
      <c r="A193" s="93" t="s">
        <v>207</v>
      </c>
    </row>
    <row r="194" ht="15.75">
      <c r="A194" s="93" t="s">
        <v>147</v>
      </c>
    </row>
    <row r="195" ht="15.75">
      <c r="A195" s="93" t="s">
        <v>152</v>
      </c>
    </row>
    <row r="196" ht="15.75">
      <c r="A196" s="93" t="s">
        <v>153</v>
      </c>
    </row>
    <row r="197" ht="15.75">
      <c r="A197" s="93" t="s">
        <v>161</v>
      </c>
    </row>
    <row r="198" ht="15.75">
      <c r="A198" s="93" t="s">
        <v>162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335" customWidth="1"/>
    <col min="2" max="2" width="16" style="335" bestFit="1" customWidth="1"/>
    <col min="3" max="16384" width="8.796875" style="335" customWidth="1"/>
  </cols>
  <sheetData>
    <row r="1" ht="15.75">
      <c r="J1" s="534" t="s">
        <v>752</v>
      </c>
    </row>
    <row r="2" spans="1:10" ht="31.5" customHeight="1">
      <c r="A2" s="811" t="s">
        <v>361</v>
      </c>
      <c r="B2" s="812"/>
      <c r="C2" s="812"/>
      <c r="D2" s="812"/>
      <c r="E2" s="812"/>
      <c r="F2" s="812"/>
      <c r="J2" s="534" t="s">
        <v>753</v>
      </c>
    </row>
    <row r="3" ht="15.75">
      <c r="J3" s="534" t="s">
        <v>754</v>
      </c>
    </row>
    <row r="4" spans="1:10" ht="15.75">
      <c r="A4" s="1" t="s">
        <v>764</v>
      </c>
      <c r="B4" s="788" t="s">
        <v>959</v>
      </c>
      <c r="J4" s="534" t="s">
        <v>755</v>
      </c>
    </row>
    <row r="5" spans="1:10" ht="15.75">
      <c r="A5" s="1"/>
      <c r="B5" s="787"/>
      <c r="J5" s="534" t="s">
        <v>756</v>
      </c>
    </row>
    <row r="6" spans="1:10" ht="15.75">
      <c r="A6" s="1" t="s">
        <v>765</v>
      </c>
      <c r="B6" s="788" t="s">
        <v>960</v>
      </c>
      <c r="J6" s="534" t="s">
        <v>757</v>
      </c>
    </row>
    <row r="7" spans="2:10" ht="15.75">
      <c r="B7"/>
      <c r="D7" s="336"/>
      <c r="J7" s="534" t="s">
        <v>758</v>
      </c>
    </row>
    <row r="8" spans="1:10" ht="15.75">
      <c r="A8" s="190" t="s">
        <v>356</v>
      </c>
      <c r="B8" s="786" t="s">
        <v>972</v>
      </c>
      <c r="C8" s="337"/>
      <c r="D8" s="190" t="s">
        <v>751</v>
      </c>
      <c r="J8" s="534" t="s">
        <v>759</v>
      </c>
    </row>
    <row r="9" spans="1:10" ht="15.75">
      <c r="A9" s="190"/>
      <c r="B9" s="338"/>
      <c r="C9" s="339"/>
      <c r="D9" s="535" t="str">
        <f>IF(B8="","",CONCATENATE("Latest date for notice to be published in your newspaper: ",G19," ",G23,", ",G24))</f>
        <v>Latest date for notice to be published in your newspaper: July 25, 2014</v>
      </c>
      <c r="J9" s="534" t="s">
        <v>760</v>
      </c>
    </row>
    <row r="10" spans="1:10" ht="15.75">
      <c r="A10" s="190" t="s">
        <v>357</v>
      </c>
      <c r="B10" s="786" t="s">
        <v>971</v>
      </c>
      <c r="C10" s="340"/>
      <c r="D10" s="190"/>
      <c r="J10" s="534" t="s">
        <v>761</v>
      </c>
    </row>
    <row r="11" spans="1:10" ht="15.75">
      <c r="A11" s="190"/>
      <c r="B11" s="190"/>
      <c r="C11" s="190"/>
      <c r="D11" s="190"/>
      <c r="J11" s="534" t="s">
        <v>762</v>
      </c>
    </row>
    <row r="12" spans="1:10" ht="15.75">
      <c r="A12" s="190" t="s">
        <v>358</v>
      </c>
      <c r="B12" s="789" t="s">
        <v>961</v>
      </c>
      <c r="C12" s="713"/>
      <c r="D12" s="713"/>
      <c r="E12" s="714"/>
      <c r="J12" s="534" t="s">
        <v>763</v>
      </c>
    </row>
    <row r="13" spans="1:4" ht="15.75">
      <c r="A13" s="190"/>
      <c r="B13" s="190"/>
      <c r="C13" s="190"/>
      <c r="D13" s="190"/>
    </row>
    <row r="14" spans="1:4" ht="15.75">
      <c r="A14" s="190"/>
      <c r="B14" s="190"/>
      <c r="C14" s="190"/>
      <c r="D14" s="190"/>
    </row>
    <row r="15" spans="1:5" ht="15.75">
      <c r="A15" s="190" t="s">
        <v>359</v>
      </c>
      <c r="B15" s="789" t="s">
        <v>962</v>
      </c>
      <c r="C15" s="713"/>
      <c r="D15" s="713"/>
      <c r="E15" s="714"/>
    </row>
    <row r="18" spans="1:5" ht="15.75">
      <c r="A18" s="813" t="s">
        <v>362</v>
      </c>
      <c r="B18" s="813"/>
      <c r="C18" s="190"/>
      <c r="D18" s="190"/>
      <c r="E18" s="190"/>
    </row>
    <row r="19" spans="1:7" ht="15.75">
      <c r="A19" s="190"/>
      <c r="B19" s="190"/>
      <c r="C19" s="190"/>
      <c r="D19" s="190"/>
      <c r="E19" s="190"/>
      <c r="G19" s="534" t="str">
        <f ca="1">IF(B8="","",INDIRECT(G20))</f>
        <v>July</v>
      </c>
    </row>
    <row r="20" spans="1:7" ht="15.75">
      <c r="A20" s="190" t="s">
        <v>356</v>
      </c>
      <c r="B20" s="338" t="s">
        <v>360</v>
      </c>
      <c r="C20" s="190"/>
      <c r="D20" s="190"/>
      <c r="E20" s="190"/>
      <c r="G20" s="536" t="str">
        <f>IF(B8="","",CONCATENATE("J",G22))</f>
        <v>J7</v>
      </c>
    </row>
    <row r="21" spans="1:7" ht="15.75">
      <c r="A21" s="190"/>
      <c r="B21" s="190"/>
      <c r="C21" s="190"/>
      <c r="D21" s="190"/>
      <c r="E21" s="190"/>
      <c r="G21" s="537">
        <f>B8-10</f>
        <v>41845</v>
      </c>
    </row>
    <row r="22" spans="1:7" ht="15.75">
      <c r="A22" s="190" t="s">
        <v>357</v>
      </c>
      <c r="B22" s="190" t="s">
        <v>363</v>
      </c>
      <c r="C22" s="190"/>
      <c r="D22" s="190"/>
      <c r="E22" s="190"/>
      <c r="G22" s="538">
        <f>IF(B8="","",MONTH(G21))</f>
        <v>7</v>
      </c>
    </row>
    <row r="23" spans="1:7" ht="15.75">
      <c r="A23" s="190"/>
      <c r="B23" s="190"/>
      <c r="C23" s="190"/>
      <c r="D23" s="190"/>
      <c r="E23" s="190"/>
      <c r="G23" s="539">
        <f>IF(B8="","",DAY(G21))</f>
        <v>25</v>
      </c>
    </row>
    <row r="24" spans="1:7" ht="15.75">
      <c r="A24" s="190" t="s">
        <v>358</v>
      </c>
      <c r="B24" s="190" t="s">
        <v>364</v>
      </c>
      <c r="C24" s="190"/>
      <c r="D24" s="190"/>
      <c r="E24" s="190"/>
      <c r="G24" s="540">
        <f>IF(B8="","",YEAR(G21))</f>
        <v>2014</v>
      </c>
    </row>
    <row r="25" spans="1:5" ht="15.75">
      <c r="A25" s="190"/>
      <c r="B25" s="190"/>
      <c r="C25" s="190"/>
      <c r="D25" s="190"/>
      <c r="E25" s="190"/>
    </row>
    <row r="26" spans="1:5" ht="15.75">
      <c r="A26" s="190" t="s">
        <v>359</v>
      </c>
      <c r="B26" s="190" t="s">
        <v>365</v>
      </c>
      <c r="C26" s="190"/>
      <c r="D26" s="190"/>
      <c r="E26" s="190"/>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0">
      <selection activeCell="D45" sqref="D45"/>
    </sheetView>
  </sheetViews>
  <sheetFormatPr defaultColWidth="8.796875" defaultRowHeight="15.75"/>
  <cols>
    <col min="1" max="1" width="22.3984375" style="93" customWidth="1"/>
    <col min="2" max="2" width="10.8984375" style="93" customWidth="1"/>
    <col min="3" max="3" width="5.69921875" style="93" customWidth="1"/>
    <col min="4" max="4" width="15.69921875" style="93" customWidth="1"/>
    <col min="5" max="5" width="12.69921875" style="93" customWidth="1"/>
    <col min="6" max="6" width="10.69921875" style="93" customWidth="1"/>
    <col min="7" max="16384" width="8.796875" style="93" customWidth="1"/>
  </cols>
  <sheetData>
    <row r="1" spans="1:7" s="46" customFormat="1" ht="15.75">
      <c r="A1" s="829" t="s">
        <v>22</v>
      </c>
      <c r="B1" s="829"/>
      <c r="C1" s="829"/>
      <c r="D1" s="829"/>
      <c r="E1" s="829"/>
      <c r="F1" s="829"/>
      <c r="G1" s="46">
        <f>inputPrYr!D9</f>
        <v>2015</v>
      </c>
    </row>
    <row r="2" spans="2:6" s="46" customFormat="1" ht="15.75">
      <c r="B2" s="47"/>
      <c r="C2" s="47"/>
      <c r="D2" s="47"/>
      <c r="E2" s="47"/>
      <c r="F2" s="48"/>
    </row>
    <row r="3" spans="1:6" s="46" customFormat="1" ht="15.75">
      <c r="A3" s="826" t="str">
        <f>CONCATENATE("To the Clerk of ",inputPrYr!D4,", State of Kansas")</f>
        <v>To the Clerk of SEDGWICK COUNTY, State of Kansas</v>
      </c>
      <c r="B3" s="815"/>
      <c r="C3" s="815"/>
      <c r="D3" s="815"/>
      <c r="E3" s="815"/>
      <c r="F3" s="815"/>
    </row>
    <row r="4" spans="1:6" s="46" customFormat="1" ht="15.75">
      <c r="A4" s="826" t="s">
        <v>79</v>
      </c>
      <c r="B4" s="827"/>
      <c r="C4" s="827"/>
      <c r="D4" s="827"/>
      <c r="E4" s="827"/>
      <c r="F4" s="827"/>
    </row>
    <row r="5" spans="1:6" s="46" customFormat="1" ht="15.75">
      <c r="A5" s="828" t="str">
        <f>inputPrYr!D3</f>
        <v>VIOLA TOWNSHIP</v>
      </c>
      <c r="B5" s="827"/>
      <c r="C5" s="827"/>
      <c r="D5" s="827"/>
      <c r="E5" s="827"/>
      <c r="F5" s="827"/>
    </row>
    <row r="6" spans="1:6" s="46" customFormat="1" ht="15.75">
      <c r="A6" s="836" t="s">
        <v>77</v>
      </c>
      <c r="B6" s="837"/>
      <c r="C6" s="837"/>
      <c r="D6" s="837"/>
      <c r="E6" s="837"/>
      <c r="F6" s="837"/>
    </row>
    <row r="7" spans="1:6" s="46" customFormat="1" ht="15.75" customHeight="1">
      <c r="A7" s="826" t="s">
        <v>78</v>
      </c>
      <c r="B7" s="838"/>
      <c r="C7" s="838"/>
      <c r="D7" s="838"/>
      <c r="E7" s="838"/>
      <c r="F7" s="838"/>
    </row>
    <row r="8" spans="1:6" s="46" customFormat="1" ht="15.75" customHeight="1">
      <c r="A8" s="826" t="str">
        <f>CONCATENATE("maximum expenditures for the various funds for the year ",G1,"; and (3) the")</f>
        <v>maximum expenditures for the various funds for the year 2015; and (3) the</v>
      </c>
      <c r="B8" s="827"/>
      <c r="C8" s="827"/>
      <c r="D8" s="827"/>
      <c r="E8" s="827"/>
      <c r="F8" s="827"/>
    </row>
    <row r="9" spans="1:6" s="46" customFormat="1" ht="15.75" customHeight="1">
      <c r="A9" s="826" t="str">
        <f>CONCATENATE("Amount(s) of ",G1-1," Ad Valorem Tax are within statutory limitations for the ",G1," Budget.")</f>
        <v>Amount(s) of 2014 Ad Valorem Tax are within statutory limitations for the 2015 Budget.</v>
      </c>
      <c r="B9" s="827"/>
      <c r="C9" s="827"/>
      <c r="D9" s="827"/>
      <c r="E9" s="827"/>
      <c r="F9" s="827"/>
    </row>
    <row r="10" spans="4:6" s="46" customFormat="1" ht="15.75" customHeight="1">
      <c r="D10" s="51"/>
      <c r="E10" s="51"/>
      <c r="F10" s="51"/>
    </row>
    <row r="11" spans="3:6" s="46" customFormat="1" ht="15.75">
      <c r="C11" s="52"/>
      <c r="D11" s="833" t="str">
        <f>CONCATENATE("",G1," Adopted Budget")</f>
        <v>2015 Adopted Budget</v>
      </c>
      <c r="E11" s="834"/>
      <c r="F11" s="835"/>
    </row>
    <row r="12" spans="1:6" s="46" customFormat="1" ht="15.75">
      <c r="A12" s="53"/>
      <c r="C12" s="51"/>
      <c r="D12" s="54" t="s">
        <v>219</v>
      </c>
      <c r="E12" s="830" t="str">
        <f>CONCATENATE("Amount of ",G1-1," Ad Valorem Tax")</f>
        <v>Amount of 2014 Ad Valorem Tax</v>
      </c>
      <c r="F12" s="55" t="s">
        <v>220</v>
      </c>
    </row>
    <row r="13" spans="3:6" s="46" customFormat="1" ht="15.75">
      <c r="C13" s="55" t="s">
        <v>221</v>
      </c>
      <c r="D13" s="464" t="s">
        <v>149</v>
      </c>
      <c r="E13" s="831"/>
      <c r="F13" s="57" t="s">
        <v>222</v>
      </c>
    </row>
    <row r="14" spans="1:6" s="46" customFormat="1" ht="15.75">
      <c r="A14" s="58" t="s">
        <v>223</v>
      </c>
      <c r="B14" s="59"/>
      <c r="C14" s="60" t="s">
        <v>224</v>
      </c>
      <c r="D14" s="465" t="s">
        <v>690</v>
      </c>
      <c r="E14" s="832"/>
      <c r="F14" s="60" t="s">
        <v>226</v>
      </c>
    </row>
    <row r="15" spans="1:6" s="46" customFormat="1" ht="15.75">
      <c r="A15" s="61" t="str">
        <f>CONCATENATE("Computation to Determine Limit for ",G1,"")</f>
        <v>Computation to Determine Limit for 2015</v>
      </c>
      <c r="B15" s="62"/>
      <c r="C15" s="55">
        <v>2</v>
      </c>
      <c r="D15" s="52"/>
      <c r="E15" s="52"/>
      <c r="F15" s="63"/>
    </row>
    <row r="16" spans="1:6" s="46" customFormat="1" ht="15.75">
      <c r="A16" s="61" t="s">
        <v>741</v>
      </c>
      <c r="B16" s="62"/>
      <c r="C16" s="64">
        <v>3</v>
      </c>
      <c r="D16" s="52"/>
      <c r="E16" s="52"/>
      <c r="F16" s="65"/>
    </row>
    <row r="17" spans="1:6" s="46" customFormat="1" ht="15.75">
      <c r="A17" s="66" t="s">
        <v>92</v>
      </c>
      <c r="B17" s="62"/>
      <c r="C17" s="64">
        <v>4</v>
      </c>
      <c r="D17" s="52"/>
      <c r="E17" s="52"/>
      <c r="F17" s="65"/>
    </row>
    <row r="18" spans="1:6" s="46" customFormat="1" ht="15.75">
      <c r="A18" s="66" t="s">
        <v>68</v>
      </c>
      <c r="B18" s="62"/>
      <c r="C18" s="64">
        <v>5</v>
      </c>
      <c r="D18" s="52"/>
      <c r="E18" s="52"/>
      <c r="F18" s="65"/>
    </row>
    <row r="19" spans="1:6" s="46" customFormat="1" ht="15.75">
      <c r="A19" s="66" t="str">
        <f>IF(inputPrYr!D22="","","Computation to Determine State Library Grant")</f>
        <v>Computation to Determine State Library Grant</v>
      </c>
      <c r="B19" s="62"/>
      <c r="C19" s="64">
        <f>IF(inputPrYr!D22="","",'Library Grant'!F40)</f>
        <v>6</v>
      </c>
      <c r="D19" s="52"/>
      <c r="E19" s="52"/>
      <c r="F19" s="65"/>
    </row>
    <row r="20" spans="1:6" s="46" customFormat="1" ht="15.75">
      <c r="A20" s="67" t="s">
        <v>227</v>
      </c>
      <c r="B20" s="68" t="s">
        <v>228</v>
      </c>
      <c r="C20" s="69"/>
      <c r="F20" s="70"/>
    </row>
    <row r="21" spans="1:6" s="46" customFormat="1" ht="15.75">
      <c r="A21" s="71" t="str">
        <f>inputPrYr!B20</f>
        <v>General</v>
      </c>
      <c r="B21" s="72" t="str">
        <f>inputPrYr!C20</f>
        <v>79-1962</v>
      </c>
      <c r="C21" s="73">
        <f>IF(gen!C61&gt;0,gen!C61,"  ")</f>
        <v>7</v>
      </c>
      <c r="D21" s="541">
        <f>IF(gen!$E$50&lt;&gt;0,gen!$E$50,"  ")</f>
        <v>22385</v>
      </c>
      <c r="E21" s="541">
        <f>IF(gen!$E$57&lt;&gt;0,gen!$E$57,0)</f>
        <v>20308.7</v>
      </c>
      <c r="F21" s="542" t="str">
        <f>IF(AND(gen!E57=0,$B$47&gt;=0)," ",IF(AND(E21&gt;0,$B$47=0)," ",IF(AND(E21&gt;0,$B$47&gt;0),ROUND(E21/$B$47*1000,3))))</f>
        <v> </v>
      </c>
    </row>
    <row r="22" spans="1:6" s="46" customFormat="1" ht="15.75">
      <c r="A22" s="71" t="s">
        <v>285</v>
      </c>
      <c r="B22" s="72" t="str">
        <f>IF(inputPrYr!C21&gt;0,inputPrYr!C21,"")</f>
        <v>10-113</v>
      </c>
      <c r="C22" s="73">
        <f>IF('DebtSvs-Library'!C83&gt;0,'DebtSvs-Library'!C83,"  ")</f>
        <v>9</v>
      </c>
      <c r="D22" s="541" t="str">
        <f>IF('DebtSvs-Library'!E33&lt;&gt;0,'DebtSvs-Library'!E33,"  ")</f>
        <v>  </v>
      </c>
      <c r="E22" s="541" t="str">
        <f>IF('DebtSvs-Library'!E40&lt;&gt;0,'DebtSvs-Library'!E40,"  ")</f>
        <v>  </v>
      </c>
      <c r="F22" s="542" t="str">
        <f>IF(AND('DebtSvs-Library'!E40=0,$B$47&gt;=0)," ",IF(AND(E22&gt;0,$B$47=0)," ",IF(AND(E22&gt;0,$B$47&gt;0),ROUND(E22/$B$47*1000,3))))</f>
        <v> </v>
      </c>
    </row>
    <row r="23" spans="1:6" s="46" customFormat="1" ht="15.75">
      <c r="A23" s="71" t="str">
        <f>IF(inputPrYr!$B22&gt;"  ",inputPrYr!$B22,"  ")</f>
        <v>Library</v>
      </c>
      <c r="B23" s="72" t="str">
        <f>IF(inputPrYr!C22&gt;0,inputPrYr!C22,"")</f>
        <v>12-1220</v>
      </c>
      <c r="C23" s="73">
        <f>IF('DebtSvs-Library'!C83&gt;0,'DebtSvs-Library'!C83,"  ")</f>
        <v>9</v>
      </c>
      <c r="D23" s="541">
        <f>IF('DebtSvs-Library'!E73&lt;&gt;0,'DebtSvs-Library'!E73,"  ")</f>
        <v>2562</v>
      </c>
      <c r="E23" s="541">
        <f>IF('DebtSvs-Library'!E80&lt;&gt;0,'DebtSvs-Library'!E80,"  ")</f>
        <v>1919.9</v>
      </c>
      <c r="F23" s="542" t="str">
        <f>IF(AND('DebtSvs-Library'!E80=0,$B$47&gt;=0)," ",IF(AND(E23&gt;0,$B$47=0)," ",IF(AND(E23&gt;0,$B$47&gt;0),ROUND(E23/$B$47*1000,3))))</f>
        <v> </v>
      </c>
    </row>
    <row r="24" spans="1:6" s="46" customFormat="1" ht="15.75">
      <c r="A24" s="71" t="str">
        <f>IF(inputPrYr!$B23&gt;"  ",inputPrYr!$B23,"  ")</f>
        <v>Road</v>
      </c>
      <c r="B24" s="72" t="str">
        <f>IF(inputPrYr!C23&gt;0,inputPrYr!C23,"  ")</f>
        <v>68-518c</v>
      </c>
      <c r="C24" s="73">
        <f>IF(road!C67&gt;0,road!C67,"  ")</f>
        <v>8</v>
      </c>
      <c r="D24" s="541">
        <f>IF(road!$E$43&lt;&gt;0,road!$E$43,"  ")</f>
        <v>80776</v>
      </c>
      <c r="E24" s="541">
        <f>IF(road!$E$50&lt;&gt;0,road!$E$50,"  ")</f>
        <v>39421.99000000001</v>
      </c>
      <c r="F24" s="542" t="str">
        <f>IF(AND(road!E50=0,$B$44&gt;=0)," ",IF(AND(E24&gt;0,$B$44=0)," ",IF(AND(E24&gt;0,$B$44&gt;0),ROUND(E24/$B$44*1000,3))))</f>
        <v> </v>
      </c>
    </row>
    <row r="25" spans="1:6" s="46" customFormat="1" ht="15.75">
      <c r="A25" s="71" t="str">
        <f>IF(inputPrYr!$B24&gt;"  ",inputPrYr!$B24,"  ")</f>
        <v>Special Road</v>
      </c>
      <c r="B25" s="72" t="str">
        <f>IF(inputPrYr!C24&gt;0,inputPrYr!C24,"  ")</f>
        <v>80-1413</v>
      </c>
      <c r="C25" s="73" t="str">
        <f>IF('SpecRoad&amp;Noxious'!C81&gt;0,'SpecRoad&amp;Noxious'!C81,"  ")</f>
        <v>  </v>
      </c>
      <c r="D25" s="541" t="str">
        <f>IF('SpecRoad&amp;Noxious'!$E$33&lt;&gt;0,'SpecRoad&amp;Noxious'!$E$33,"  ")</f>
        <v>  </v>
      </c>
      <c r="E25" s="541" t="str">
        <f>IF('SpecRoad&amp;Noxious'!$E$40&lt;&gt;0,'SpecRoad&amp;Noxious'!$E$40,"  ")</f>
        <v>  </v>
      </c>
      <c r="F25" s="542" t="str">
        <f>IF(AND('SpecRoad&amp;Noxious'!E40=0,$B$44&gt;=0)," ",IF(AND(E25&gt;0,$B$44=0)," ",IF(AND(E25&gt;0,$B$44&gt;0),ROUND(E25/$B$44*1000,3))))</f>
        <v> </v>
      </c>
    </row>
    <row r="26" spans="1:6" s="46" customFormat="1" ht="15.75">
      <c r="A26" s="71" t="str">
        <f>IF(inputPrYr!$B25&gt;"  ",inputPrYr!$B25,"  ")</f>
        <v>Noxious Weed</v>
      </c>
      <c r="B26" s="72" t="str">
        <f>IF(inputPrYr!C25&gt;0,inputPrYr!C25,"  ")</f>
        <v>2-1318</v>
      </c>
      <c r="C26" s="73" t="str">
        <f>IF('SpecRoad&amp;Noxious'!C81&gt;0,'SpecRoad&amp;Noxious'!C81,"  ")</f>
        <v>  </v>
      </c>
      <c r="D26" s="541" t="str">
        <f>IF('SpecRoad&amp;Noxious'!$E$73&lt;&gt;0,'SpecRoad&amp;Noxious'!$E$73,"  ")</f>
        <v>  </v>
      </c>
      <c r="E26" s="541" t="str">
        <f>IF('SpecRoad&amp;Noxious'!$E$80&lt;&gt;0,'SpecRoad&amp;Noxious'!$E$80,"  ")</f>
        <v>  </v>
      </c>
      <c r="F26" s="542" t="str">
        <f>IF(AND('SpecRoad&amp;Noxious'!E80=0,$B$44&gt;=0)," ",IF(AND(E26&gt;0,$B$44=0)," ",IF(AND(E26&gt;0,$B$44&gt;0),ROUND(E26/$B$44*1000,3))))</f>
        <v> </v>
      </c>
    </row>
    <row r="27" spans="1:6" s="46" customFormat="1" ht="15.75">
      <c r="A27" s="71" t="str">
        <f>IF(inputPrYr!$B26&gt;"  ",inputPrYr!$B26,"  ")</f>
        <v>Fire Protection</v>
      </c>
      <c r="B27" s="72" t="str">
        <f>IF(inputPrYr!C26&gt;0,inputPrYr!C26,"  ")</f>
        <v>80-1503</v>
      </c>
      <c r="C27" s="73">
        <f>IF(Cem!C81&gt;0,Cem!C81,"  ")</f>
        <v>10</v>
      </c>
      <c r="D27" s="541" t="str">
        <f>IF(Cem!$E$33&lt;&gt;0,Cem!$E$33,"  ")</f>
        <v>  </v>
      </c>
      <c r="E27" s="541" t="str">
        <f>IF(Cem!$E$40&lt;&gt;0,Cem!$E$40,"  ")</f>
        <v>  </v>
      </c>
      <c r="F27" s="542" t="str">
        <f>IF(AND(Cem!$E$40=0,$B$44&gt;=0)," ",IF(AND(E27&gt;0,$B$44=0)," ",IF(AND(E27&gt;0,$B$44&gt;0),ROUND(E27/$B$44*1000,3))))</f>
        <v> </v>
      </c>
    </row>
    <row r="28" spans="1:6" s="46" customFormat="1" ht="15.75">
      <c r="A28" s="71" t="str">
        <f>IF(inputPrYr!$B27&gt;"  ",inputPrYr!$B27,"  ")</f>
        <v>Cemetery</v>
      </c>
      <c r="B28" s="72" t="str">
        <f>IF(inputPrYr!C27&gt;0,inputPrYr!C27,"  ")</f>
        <v>  </v>
      </c>
      <c r="C28" s="73">
        <f>IF(Cem!C81&gt;0,Cem!C81,"  ")</f>
        <v>10</v>
      </c>
      <c r="D28" s="541" t="str">
        <f>IF(Cem!$E$73&lt;&gt;0,Cem!$E$73,"  ")</f>
        <v>  </v>
      </c>
      <c r="E28" s="541" t="str">
        <f>IF(Cem!$E$80&lt;&gt;0,Cem!$E$80,"  ")</f>
        <v>  </v>
      </c>
      <c r="F28" s="542" t="str">
        <f>IF(AND(Cem!$E$80=0,$B$47&gt;=0)," ",IF(AND(E28&gt;0,$B$47=0)," ",IF(AND(E28&gt;0,$B$47&gt;0),ROUND(E28/$B$47*1000,3))))</f>
        <v> </v>
      </c>
    </row>
    <row r="29" spans="1:6" s="46" customFormat="1" ht="15.75">
      <c r="A29" s="71" t="str">
        <f>IF(inputPrYr!$B28&gt;"  ",inputPrYr!$B28,"  ")</f>
        <v>Township Hall</v>
      </c>
      <c r="B29" s="72" t="str">
        <f>IF(inputPrYr!C28&gt;0,inputPrYr!C28,"  ")</f>
        <v>  </v>
      </c>
      <c r="C29" s="73">
        <f>IF(TSHall!C81&gt;0,TSHall!C81,"  ")</f>
        <v>11</v>
      </c>
      <c r="D29" s="541" t="str">
        <f>IF(TSHall!$E$33&lt;&gt;0,TSHall!$E$33,"  ")</f>
        <v>  </v>
      </c>
      <c r="E29" s="541" t="str">
        <f>IF(TSHall!$E$40&lt;&gt;0,TSHall!$E$40,"  ")</f>
        <v>  </v>
      </c>
      <c r="F29" s="542" t="str">
        <f>IF(AND(TSHall!$E$40=0,$B$47&gt;=0)," ",IF(AND(E29&gt;0,$B$47=0)," ",IF(AND(E29&gt;0,$B$47&gt;0),ROUND(E29/$B$47*1000,3))))</f>
        <v> </v>
      </c>
    </row>
    <row r="30" spans="1:6" s="46" customFormat="1" ht="15.75">
      <c r="A30" s="71" t="str">
        <f>IF(inputPrYr!$B29&gt;"  ",inputPrYr!$B29,"  ")</f>
        <v>  </v>
      </c>
      <c r="B30" s="72" t="str">
        <f>IF(inputPrYr!C29&gt;0,inputPrYr!C29,"  ")</f>
        <v>  </v>
      </c>
      <c r="C30" s="73">
        <f>IF(TSHall!C81&gt;0,TSHall!C81,"  ")</f>
        <v>11</v>
      </c>
      <c r="D30" s="541" t="str">
        <f>IF(TSHall!$E$73&lt;&gt;0,TSHall!$E$73,"  ")</f>
        <v>  </v>
      </c>
      <c r="E30" s="541" t="str">
        <f>IF(TSHall!$E$80&lt;&gt;0,TSHall!$E$80,"  ")</f>
        <v>  </v>
      </c>
      <c r="F30" s="542" t="str">
        <f>IF(AND(TSHall!$E$80=0,$B$47&gt;=0)," ",IF(AND(E30&gt;0,$B$47=0)," ",IF(AND(E30&gt;0,$B$47&gt;0),ROUND(E30/$B$47*1000,3))))</f>
        <v> </v>
      </c>
    </row>
    <row r="31" spans="1:6" s="46" customFormat="1" ht="15.75">
      <c r="A31" s="71" t="str">
        <f>IF(inputPrYr!$B30&gt;"  ",inputPrYr!$B30,"  ")</f>
        <v>  </v>
      </c>
      <c r="B31" s="72" t="str">
        <f>IF(inputPrYr!C30&gt;0,inputPrYr!C30,"  ")</f>
        <v>  </v>
      </c>
      <c r="C31" s="73" t="str">
        <f>IF(levypage12!C81&gt;0,levypage12!C81,"  ")</f>
        <v>  </v>
      </c>
      <c r="D31" s="541" t="str">
        <f>IF(levypage12!$E$33&lt;&gt;0,levypage12!$E$33,"  ")</f>
        <v>  </v>
      </c>
      <c r="E31" s="541" t="str">
        <f>IF(levypage12!$E$40&lt;&gt;0,levypage12!$E$40,"  ")</f>
        <v>  </v>
      </c>
      <c r="F31" s="542" t="str">
        <f>IF(AND(levypage12!$E$40=0,$B$47&gt;=0)," ",IF(AND(E31&gt;0,$B$47=0)," ",IF(AND(E31&gt;0,$B$47&gt;0),ROUND(E31/$B$47*1000,3))))</f>
        <v> </v>
      </c>
    </row>
    <row r="32" spans="1:6" s="46" customFormat="1" ht="15.75">
      <c r="A32" s="71" t="str">
        <f>IF(inputPrYr!$B31&gt;"  ",inputPrYr!$B31,"  ")</f>
        <v>  </v>
      </c>
      <c r="B32" s="72" t="str">
        <f>IF(inputPrYr!C31&gt;0,inputPrYr!C31,"  ")</f>
        <v>  </v>
      </c>
      <c r="C32" s="73" t="str">
        <f>IF(levypage12!C81&gt;0,levypage12!C81,"  ")</f>
        <v>  </v>
      </c>
      <c r="D32" s="541" t="str">
        <f>IF(levypage12!$E$73&lt;&gt;0,levypage12!$E$73,"  ")</f>
        <v>  </v>
      </c>
      <c r="E32" s="541" t="str">
        <f>IF(levypage12!$E$80&lt;&gt;0,levypage12!$E$80,"  ")</f>
        <v>  </v>
      </c>
      <c r="F32" s="542" t="str">
        <f>IF(AND(levypage12!$E$80=0,$B$47&gt;=0)," ",IF(AND(E32&gt;0,$B$47=0)," ",IF(AND(E32&gt;0,$B$47&gt;0),ROUND(E32/$B$47*1000,3))))</f>
        <v> </v>
      </c>
    </row>
    <row r="33" spans="1:6" s="46" customFormat="1" ht="15.75">
      <c r="A33" s="75" t="str">
        <f>IF(inputPrYr!$B35&gt;"  ",inputPrYr!$B35,"  ")</f>
        <v>  </v>
      </c>
      <c r="B33" s="76"/>
      <c r="C33" s="77" t="str">
        <f>IF(nolevypage13!$C$65&gt;0,nolevypage13!$C$65,"  ")</f>
        <v>  </v>
      </c>
      <c r="D33" s="541" t="str">
        <f>IF(nolevypage13!$E$28&lt;&gt;0,nolevypage13!$E$28,"  ")</f>
        <v>  </v>
      </c>
      <c r="E33" s="541"/>
      <c r="F33" s="542"/>
    </row>
    <row r="34" spans="1:6" s="46" customFormat="1" ht="15.75">
      <c r="A34" s="75" t="str">
        <f>IF(inputPrYr!$B36&gt;"  ",inputPrYr!$B36,"  ")</f>
        <v>  </v>
      </c>
      <c r="B34" s="78"/>
      <c r="C34" s="77" t="str">
        <f>IF(nolevypage13!$C$65&gt;0,nolevypage13!$C$65,"  ")</f>
        <v>  </v>
      </c>
      <c r="D34" s="541" t="str">
        <f>IF(nolevypage13!$E$59&lt;&gt;0,nolevypage13!$E$59,"  ")</f>
        <v>  </v>
      </c>
      <c r="E34" s="541"/>
      <c r="F34" s="542"/>
    </row>
    <row r="35" spans="1:6" s="46" customFormat="1" ht="15.75">
      <c r="A35" s="75" t="str">
        <f>IF(inputPrYr!$B37&gt;"  ",inputPrYr!$B37,"  ")</f>
        <v>  </v>
      </c>
      <c r="B35" s="76"/>
      <c r="C35" s="77" t="str">
        <f>IF(nolevypage14!$C$65&gt;0,nolevypage14!$C$65,"  ")</f>
        <v>  </v>
      </c>
      <c r="D35" s="541" t="str">
        <f>IF(nolevypage14!$E$28&lt;&gt;0,nolevypage14!$E$28,"  ")</f>
        <v>  </v>
      </c>
      <c r="E35" s="541"/>
      <c r="F35" s="542"/>
    </row>
    <row r="36" spans="1:6" s="46" customFormat="1" ht="15.75">
      <c r="A36" s="75" t="str">
        <f>IF(inputPrYr!$B38&gt;"  ",inputPrYr!$B38,"  ")</f>
        <v>  </v>
      </c>
      <c r="B36" s="76"/>
      <c r="C36" s="77" t="str">
        <f>IF(nolevypage14!$C$65&gt;0,nolevypage14!$C$65,"  ")</f>
        <v>  </v>
      </c>
      <c r="D36" s="541" t="str">
        <f>IF(nolevypage14!$E$59&lt;&gt;0,nolevypage14!$E$59,"  ")</f>
        <v>  </v>
      </c>
      <c r="E36" s="541"/>
      <c r="F36" s="542"/>
    </row>
    <row r="37" spans="1:6" s="46" customFormat="1" ht="15.75">
      <c r="A37" s="75">
        <f>IF(inputPrYr!B41&gt;"",nonbud!A3,"")</f>
      </c>
      <c r="B37" s="78"/>
      <c r="C37" s="77" t="str">
        <f>IF(nonbud!F33&gt;0,nonbud!F33,"  ")</f>
        <v>  </v>
      </c>
      <c r="D37" s="541"/>
      <c r="E37" s="541"/>
      <c r="F37" s="542"/>
    </row>
    <row r="38" spans="1:6" s="46" customFormat="1" ht="15.75">
      <c r="A38" s="61" t="s">
        <v>229</v>
      </c>
      <c r="B38" s="76"/>
      <c r="C38" s="77">
        <f>IF(road!C67&gt;0,road!C67,"  ")</f>
        <v>8</v>
      </c>
      <c r="D38" s="543"/>
      <c r="E38" s="543"/>
      <c r="F38" s="542"/>
    </row>
    <row r="39" spans="1:6" s="46" customFormat="1" ht="16.5" thickBot="1">
      <c r="A39" s="79" t="s">
        <v>230</v>
      </c>
      <c r="B39" s="70"/>
      <c r="C39" s="80" t="s">
        <v>231</v>
      </c>
      <c r="D39" s="544">
        <f>SUM(D21:D38)</f>
        <v>105723</v>
      </c>
      <c r="E39" s="544">
        <f>SUM(E21:E38)</f>
        <v>61650.59000000001</v>
      </c>
      <c r="F39" s="545">
        <f>IF(SUM(F21:F38)&gt;0,SUM(F21:F38),"")</f>
      </c>
    </row>
    <row r="40" spans="1:3" s="46" customFormat="1" ht="16.5" thickTop="1">
      <c r="A40" s="66" t="s">
        <v>91</v>
      </c>
      <c r="B40" s="62"/>
      <c r="C40" s="77">
        <f>summ!C54</f>
        <v>12</v>
      </c>
    </row>
    <row r="41" spans="1:5" s="46" customFormat="1" ht="15.75">
      <c r="A41" s="731" t="s">
        <v>145</v>
      </c>
      <c r="B41" s="63"/>
      <c r="C41" s="730">
        <f>IF(nhood!C40&gt;0,nhood!C40,"")</f>
      </c>
      <c r="D41" s="743" t="s">
        <v>927</v>
      </c>
      <c r="E41" s="82" t="str">
        <f>IF(E39&gt;1000,IF(E35&gt;computation!J41,"Yes","No"),"No")</f>
        <v>No</v>
      </c>
    </row>
    <row r="42" spans="1:5" s="46" customFormat="1" ht="15.75">
      <c r="A42" s="728"/>
      <c r="B42" s="153"/>
      <c r="C42" s="729"/>
      <c r="D42" s="83"/>
      <c r="E42" s="84"/>
    </row>
    <row r="43" spans="1:6" s="46" customFormat="1" ht="15.75">
      <c r="A43" s="66" t="s">
        <v>50</v>
      </c>
      <c r="B43" s="821" t="s">
        <v>66</v>
      </c>
      <c r="C43" s="822"/>
      <c r="D43" s="86"/>
      <c r="F43" s="53" t="s">
        <v>232</v>
      </c>
    </row>
    <row r="44" spans="1:6" s="46" customFormat="1" ht="15.75">
      <c r="A44" s="61" t="str">
        <f>inputPrYr!D3</f>
        <v>VIOLA TOWNSHIP</v>
      </c>
      <c r="B44" s="818"/>
      <c r="C44" s="823"/>
      <c r="D44" s="87"/>
      <c r="F44" s="53"/>
    </row>
    <row r="45" spans="1:6" s="46" customFormat="1" ht="15.75">
      <c r="A45" s="61" t="str">
        <f>inputPrYr!D6</f>
        <v>Viola</v>
      </c>
      <c r="B45" s="818"/>
      <c r="C45" s="819"/>
      <c r="D45" s="87"/>
      <c r="F45" s="53"/>
    </row>
    <row r="46" spans="1:6" s="46" customFormat="1" ht="15.75">
      <c r="A46" s="61">
        <f>inputPrYr!D7</f>
        <v>0</v>
      </c>
      <c r="B46" s="818"/>
      <c r="C46" s="819"/>
      <c r="D46" s="87"/>
      <c r="F46" s="53"/>
    </row>
    <row r="47" spans="1:6" s="46" customFormat="1" ht="15.75">
      <c r="A47" s="61" t="s">
        <v>156</v>
      </c>
      <c r="B47" s="816">
        <f>SUM(B44:C46)</f>
        <v>0</v>
      </c>
      <c r="C47" s="817"/>
      <c r="D47" s="87"/>
      <c r="F47" s="53"/>
    </row>
    <row r="48" spans="1:6" s="46" customFormat="1" ht="15.75">
      <c r="A48" s="88"/>
      <c r="B48" s="824" t="str">
        <f>CONCATENATE("Nov. 1, ",G1-1," Valuation")</f>
        <v>Nov. 1, 2014 Valuation</v>
      </c>
      <c r="C48" s="825"/>
      <c r="D48" s="86"/>
      <c r="F48" s="53"/>
    </row>
    <row r="49" spans="1:6" s="46" customFormat="1" ht="15.75">
      <c r="A49" s="88" t="s">
        <v>233</v>
      </c>
      <c r="D49" s="52"/>
      <c r="F49" s="53"/>
    </row>
    <row r="50" spans="1:6" s="46" customFormat="1" ht="15.75">
      <c r="A50" s="90"/>
      <c r="D50" s="86"/>
      <c r="E50" s="52"/>
      <c r="F50" s="52"/>
    </row>
    <row r="51" spans="1:6" s="46" customFormat="1" ht="15.75">
      <c r="A51" s="91"/>
      <c r="B51" s="51"/>
      <c r="D51" s="820" t="s">
        <v>767</v>
      </c>
      <c r="E51" s="820"/>
      <c r="F51" s="820"/>
    </row>
    <row r="52" spans="1:6" s="46" customFormat="1" ht="15.75">
      <c r="A52" s="88" t="s">
        <v>72</v>
      </c>
      <c r="D52" s="820"/>
      <c r="E52" s="820"/>
      <c r="F52" s="820"/>
    </row>
    <row r="53" spans="1:6" s="46" customFormat="1" ht="15.75">
      <c r="A53" s="90"/>
      <c r="C53" s="53"/>
      <c r="D53" s="820" t="s">
        <v>767</v>
      </c>
      <c r="E53" s="820"/>
      <c r="F53" s="820"/>
    </row>
    <row r="54" spans="1:6" s="46" customFormat="1" ht="15.75">
      <c r="A54" s="91"/>
      <c r="B54" s="53"/>
      <c r="D54" s="820"/>
      <c r="E54" s="820"/>
      <c r="F54" s="820"/>
    </row>
    <row r="55" spans="1:7" ht="15.75">
      <c r="A55" s="88" t="s">
        <v>766</v>
      </c>
      <c r="B55" s="51"/>
      <c r="C55" s="46"/>
      <c r="D55" s="820" t="s">
        <v>767</v>
      </c>
      <c r="E55" s="820"/>
      <c r="F55" s="820"/>
      <c r="G55" s="92"/>
    </row>
    <row r="56" spans="1:7" ht="15.75">
      <c r="A56" s="90"/>
      <c r="B56" s="51"/>
      <c r="C56" s="46"/>
      <c r="D56" s="820"/>
      <c r="E56" s="820"/>
      <c r="F56" s="820"/>
      <c r="G56" s="92"/>
    </row>
    <row r="57" spans="1:7" ht="15.75">
      <c r="A57" s="51"/>
      <c r="B57" s="46"/>
      <c r="C57" s="46"/>
      <c r="D57" s="820" t="s">
        <v>767</v>
      </c>
      <c r="E57" s="820"/>
      <c r="F57" s="820"/>
      <c r="G57" s="92"/>
    </row>
    <row r="58" spans="1:7" ht="15.75">
      <c r="A58" s="450" t="s">
        <v>76</v>
      </c>
      <c r="B58" s="96">
        <f>G1-1</f>
        <v>2014</v>
      </c>
      <c r="C58" s="46"/>
      <c r="D58" s="820"/>
      <c r="E58" s="820"/>
      <c r="F58" s="820"/>
      <c r="G58" s="92"/>
    </row>
    <row r="59" spans="1:7" ht="15.75">
      <c r="A59" s="46"/>
      <c r="B59" s="46"/>
      <c r="C59" s="46"/>
      <c r="D59" s="52"/>
      <c r="E59" s="88"/>
      <c r="F59" s="52"/>
      <c r="G59" s="92"/>
    </row>
    <row r="60" spans="1:7" ht="15.75">
      <c r="A60" s="449"/>
      <c r="B60" s="46"/>
      <c r="C60" s="46"/>
      <c r="D60" s="52" t="s">
        <v>767</v>
      </c>
      <c r="E60" s="52"/>
      <c r="F60" s="52"/>
      <c r="G60" s="92"/>
    </row>
    <row r="61" spans="1:6" ht="15.75">
      <c r="A61" s="49" t="s">
        <v>235</v>
      </c>
      <c r="B61" s="46"/>
      <c r="C61" s="46"/>
      <c r="D61" s="814" t="s">
        <v>234</v>
      </c>
      <c r="E61" s="815"/>
      <c r="F61" s="815"/>
    </row>
    <row r="62" spans="1:6" ht="15.75">
      <c r="A62" s="46"/>
      <c r="B62" s="46"/>
      <c r="C62" s="46"/>
      <c r="D62" s="46"/>
      <c r="E62" s="46"/>
      <c r="F62" s="46"/>
    </row>
    <row r="63" spans="1:6" ht="15.75">
      <c r="A63" s="46"/>
      <c r="B63" s="46"/>
      <c r="C63" s="46"/>
      <c r="D63" s="46"/>
      <c r="E63" s="46"/>
      <c r="F63" s="46"/>
    </row>
    <row r="64" spans="1:6" ht="15.75">
      <c r="A64" s="46"/>
      <c r="B64" s="46"/>
      <c r="C64" s="46"/>
      <c r="D64" s="46"/>
      <c r="E64" s="46"/>
      <c r="F64" s="46"/>
    </row>
    <row r="65" spans="1:6" ht="15.75">
      <c r="A65" s="95" t="s">
        <v>236</v>
      </c>
      <c r="B65" s="94"/>
      <c r="C65" s="94"/>
      <c r="D65" s="94"/>
      <c r="E65" s="94"/>
      <c r="F65" s="46"/>
    </row>
    <row r="66" spans="1:6" ht="15.75">
      <c r="A66" s="95" t="s">
        <v>237</v>
      </c>
      <c r="B66" s="94"/>
      <c r="C66" s="94"/>
      <c r="D66" s="94"/>
      <c r="E66" s="94"/>
      <c r="F66" s="46"/>
    </row>
    <row r="67" spans="1:6" ht="15.75">
      <c r="A67" s="95"/>
      <c r="B67" s="94"/>
      <c r="C67" s="94"/>
      <c r="D67" s="94"/>
      <c r="E67" s="94"/>
      <c r="F67" s="46"/>
    </row>
    <row r="68" spans="1:6" ht="15.75">
      <c r="A68" s="46"/>
      <c r="B68" s="46"/>
      <c r="C68" s="46"/>
      <c r="D68" s="46"/>
      <c r="E68" s="46"/>
      <c r="F68" s="46"/>
    </row>
    <row r="69" spans="1:6" ht="15.75">
      <c r="A69" s="522"/>
      <c r="B69" s="523"/>
      <c r="C69" s="523"/>
      <c r="D69" s="523"/>
      <c r="E69" s="523"/>
      <c r="F69" s="523"/>
    </row>
    <row r="70" spans="1:6" ht="15.75">
      <c r="A70" s="522"/>
      <c r="B70" s="523"/>
      <c r="C70" s="523"/>
      <c r="D70" s="523"/>
      <c r="E70" s="523"/>
      <c r="F70" s="523"/>
    </row>
    <row r="71" spans="1:6" ht="15.75">
      <c r="A71" s="522"/>
      <c r="B71" s="523"/>
      <c r="C71" s="523"/>
      <c r="D71" s="524"/>
      <c r="E71" s="521"/>
      <c r="F71" s="523"/>
    </row>
  </sheetData>
  <sheetProtection/>
  <mergeCells count="21">
    <mergeCell ref="A1:F1"/>
    <mergeCell ref="E12:E14"/>
    <mergeCell ref="D11:F11"/>
    <mergeCell ref="A6:F6"/>
    <mergeCell ref="A7:F7"/>
    <mergeCell ref="A3:F3"/>
    <mergeCell ref="B43:C43"/>
    <mergeCell ref="B44:C44"/>
    <mergeCell ref="B48:C48"/>
    <mergeCell ref="A9:F9"/>
    <mergeCell ref="A4:F4"/>
    <mergeCell ref="A5:F5"/>
    <mergeCell ref="A8:F8"/>
    <mergeCell ref="D61:F61"/>
    <mergeCell ref="B47:C47"/>
    <mergeCell ref="B45:C45"/>
    <mergeCell ref="B46:C46"/>
    <mergeCell ref="D51:F52"/>
    <mergeCell ref="D57:F58"/>
    <mergeCell ref="D55:F56"/>
    <mergeCell ref="D53:F54"/>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7">
      <selection activeCell="J36" sqref="J36"/>
    </sheetView>
  </sheetViews>
  <sheetFormatPr defaultColWidth="8.796875" defaultRowHeight="15.75"/>
  <cols>
    <col min="1" max="2" width="3" style="93" customWidth="1"/>
    <col min="3" max="3" width="28.19921875" style="93" customWidth="1"/>
    <col min="4" max="4" width="2.09765625" style="93" customWidth="1"/>
    <col min="5" max="5" width="15.69921875" style="93" customWidth="1"/>
    <col min="6" max="6" width="1.796875" style="93" customWidth="1"/>
    <col min="7" max="7" width="15.69921875" style="93" customWidth="1"/>
    <col min="8" max="8" width="1.69921875" style="93" customWidth="1"/>
    <col min="9" max="9" width="1.59765625" style="93" customWidth="1"/>
    <col min="10" max="10" width="15.69921875" style="93" customWidth="1"/>
    <col min="11" max="16384" width="8.796875" style="93" customWidth="1"/>
  </cols>
  <sheetData>
    <row r="1" spans="1:10" ht="15.75">
      <c r="A1" s="46"/>
      <c r="B1" s="46"/>
      <c r="C1" s="200" t="str">
        <f>inputPrYr!D3</f>
        <v>VIOLA TOWNSHIP</v>
      </c>
      <c r="D1" s="46"/>
      <c r="E1" s="46"/>
      <c r="F1" s="46"/>
      <c r="G1" s="46"/>
      <c r="H1" s="46"/>
      <c r="I1" s="46"/>
      <c r="J1" s="46">
        <f>inputPrYr!D9</f>
        <v>2015</v>
      </c>
    </row>
    <row r="2" spans="1:10" ht="15.75">
      <c r="A2" s="46"/>
      <c r="B2" s="46"/>
      <c r="C2" s="46"/>
      <c r="D2" s="46"/>
      <c r="E2" s="46"/>
      <c r="F2" s="46"/>
      <c r="G2" s="46"/>
      <c r="H2" s="46"/>
      <c r="I2" s="46"/>
      <c r="J2" s="46"/>
    </row>
    <row r="3" spans="1:10" ht="15.75">
      <c r="A3" s="839" t="str">
        <f>CONCATENATE("Computation to Determine Limit for ",J1,"")</f>
        <v>Computation to Determine Limit for 2015</v>
      </c>
      <c r="B3" s="829"/>
      <c r="C3" s="829"/>
      <c r="D3" s="829"/>
      <c r="E3" s="829"/>
      <c r="F3" s="829"/>
      <c r="G3" s="829"/>
      <c r="H3" s="829"/>
      <c r="I3" s="829"/>
      <c r="J3" s="829"/>
    </row>
    <row r="4" spans="1:10" ht="15.75">
      <c r="A4" s="46"/>
      <c r="B4" s="46"/>
      <c r="C4" s="46"/>
      <c r="D4" s="46"/>
      <c r="E4" s="829"/>
      <c r="F4" s="829"/>
      <c r="G4" s="829"/>
      <c r="H4" s="45"/>
      <c r="I4" s="46"/>
      <c r="J4" s="237" t="s">
        <v>32</v>
      </c>
    </row>
    <row r="5" spans="1:10" ht="15.75">
      <c r="A5" s="238" t="s">
        <v>33</v>
      </c>
      <c r="B5" s="46" t="str">
        <f>CONCATENATE("Total tax levy amount in ",J1-1,"")</f>
        <v>Total tax levy amount in 2014</v>
      </c>
      <c r="C5" s="46"/>
      <c r="D5" s="46"/>
      <c r="E5" s="166"/>
      <c r="F5" s="166"/>
      <c r="G5" s="166"/>
      <c r="H5" s="239" t="s">
        <v>251</v>
      </c>
      <c r="I5" s="166" t="s">
        <v>238</v>
      </c>
      <c r="J5" s="240">
        <f>inputPrYr!E32</f>
        <v>60278</v>
      </c>
    </row>
    <row r="6" spans="1:10" ht="15.75">
      <c r="A6" s="238" t="s">
        <v>34</v>
      </c>
      <c r="B6" s="46" t="str">
        <f>CONCATENATE("Debt service levy in ",J1-1,"")</f>
        <v>Debt service levy in 2014</v>
      </c>
      <c r="C6" s="46"/>
      <c r="D6" s="46"/>
      <c r="E6" s="166"/>
      <c r="F6" s="166"/>
      <c r="G6" s="166"/>
      <c r="H6" s="239" t="s">
        <v>35</v>
      </c>
      <c r="I6" s="166" t="s">
        <v>238</v>
      </c>
      <c r="J6" s="241">
        <f>inputPrYr!E21</f>
        <v>0</v>
      </c>
    </row>
    <row r="7" spans="1:10" ht="15.75">
      <c r="A7" s="238" t="s">
        <v>36</v>
      </c>
      <c r="B7" s="46" t="s">
        <v>921</v>
      </c>
      <c r="C7" s="46"/>
      <c r="D7" s="46"/>
      <c r="E7" s="166"/>
      <c r="F7" s="166"/>
      <c r="G7" s="166"/>
      <c r="H7" s="166"/>
      <c r="I7" s="166" t="s">
        <v>238</v>
      </c>
      <c r="J7" s="242">
        <f>J5-J6</f>
        <v>60278</v>
      </c>
    </row>
    <row r="8" spans="1:10" ht="15.75">
      <c r="A8" s="46"/>
      <c r="B8" s="46"/>
      <c r="C8" s="46"/>
      <c r="D8" s="46"/>
      <c r="E8" s="166"/>
      <c r="F8" s="166"/>
      <c r="G8" s="166"/>
      <c r="H8" s="166"/>
      <c r="I8" s="166"/>
      <c r="J8" s="166"/>
    </row>
    <row r="9" spans="1:10" ht="15.75">
      <c r="A9" s="829" t="str">
        <f>CONCATENATE("",J1-1," Valuation Information for Valuation Adjustments")</f>
        <v>2014 Valuation Information for Valuation Adjustments</v>
      </c>
      <c r="B9" s="827"/>
      <c r="C9" s="827"/>
      <c r="D9" s="827"/>
      <c r="E9" s="827"/>
      <c r="F9" s="827"/>
      <c r="G9" s="827"/>
      <c r="H9" s="827"/>
      <c r="I9" s="827"/>
      <c r="J9" s="827"/>
    </row>
    <row r="10" spans="1:10" ht="15.75">
      <c r="A10" s="46"/>
      <c r="B10" s="46"/>
      <c r="C10" s="46"/>
      <c r="D10" s="46"/>
      <c r="E10" s="166"/>
      <c r="F10" s="166"/>
      <c r="G10" s="166"/>
      <c r="H10" s="166"/>
      <c r="I10" s="166"/>
      <c r="J10" s="166"/>
    </row>
    <row r="11" spans="1:10" ht="15.75">
      <c r="A11" s="238" t="s">
        <v>37</v>
      </c>
      <c r="B11" s="46" t="str">
        <f>CONCATENATE("New improvements for ",J1-1,":")</f>
        <v>New improvements for 2014:</v>
      </c>
      <c r="C11" s="46"/>
      <c r="D11" s="46"/>
      <c r="E11" s="239"/>
      <c r="F11" s="239" t="s">
        <v>251</v>
      </c>
      <c r="G11" s="723">
        <f>inputOth!E16</f>
        <v>19384</v>
      </c>
      <c r="H11" s="243"/>
      <c r="I11" s="166"/>
      <c r="J11" s="166"/>
    </row>
    <row r="12" spans="1:10" ht="15.75">
      <c r="A12" s="238"/>
      <c r="B12" s="238"/>
      <c r="C12" s="46"/>
      <c r="D12" s="46"/>
      <c r="E12" s="239"/>
      <c r="F12" s="239"/>
      <c r="G12" s="243"/>
      <c r="H12" s="243"/>
      <c r="I12" s="166"/>
      <c r="J12" s="166"/>
    </row>
    <row r="13" spans="1:10" ht="15.75">
      <c r="A13" s="238" t="s">
        <v>38</v>
      </c>
      <c r="B13" s="46" t="str">
        <f>CONCATENATE("Increase in personal property for ",J1-1,":")</f>
        <v>Increase in personal property for 2014:</v>
      </c>
      <c r="C13" s="46"/>
      <c r="D13" s="46"/>
      <c r="E13" s="239"/>
      <c r="F13" s="239"/>
      <c r="G13" s="243"/>
      <c r="H13" s="243"/>
      <c r="I13" s="166"/>
      <c r="J13" s="166"/>
    </row>
    <row r="14" spans="1:10" ht="15.75">
      <c r="A14" s="46"/>
      <c r="B14" s="46" t="s">
        <v>39</v>
      </c>
      <c r="C14" s="46" t="str">
        <f>CONCATENATE("Personal property ",J1-1,"")</f>
        <v>Personal property 2014</v>
      </c>
      <c r="D14" s="238" t="s">
        <v>251</v>
      </c>
      <c r="E14" s="723">
        <f>inputOth!E21</f>
        <v>59061</v>
      </c>
      <c r="F14" s="239"/>
      <c r="G14" s="166"/>
      <c r="H14" s="166"/>
      <c r="I14" s="243"/>
      <c r="J14" s="166"/>
    </row>
    <row r="15" spans="1:10" ht="15.75">
      <c r="A15" s="238"/>
      <c r="B15" s="46" t="s">
        <v>40</v>
      </c>
      <c r="C15" s="46" t="str">
        <f>CONCATENATE("Personal property ",J1-2,"")</f>
        <v>Personal property 2013</v>
      </c>
      <c r="D15" s="238" t="s">
        <v>35</v>
      </c>
      <c r="E15" s="242">
        <f>inputOth!E31</f>
        <v>89981</v>
      </c>
      <c r="F15" s="239"/>
      <c r="G15" s="243"/>
      <c r="H15" s="243"/>
      <c r="I15" s="166"/>
      <c r="J15" s="166"/>
    </row>
    <row r="16" spans="1:10" ht="15.75">
      <c r="A16" s="238"/>
      <c r="B16" s="46" t="s">
        <v>41</v>
      </c>
      <c r="C16" s="46" t="s">
        <v>922</v>
      </c>
      <c r="D16" s="46"/>
      <c r="E16" s="166"/>
      <c r="F16" s="166" t="s">
        <v>251</v>
      </c>
      <c r="G16" s="723">
        <f>IF(E14&gt;E15,E14-E15,0)</f>
        <v>0</v>
      </c>
      <c r="H16" s="243"/>
      <c r="I16" s="166"/>
      <c r="J16" s="166"/>
    </row>
    <row r="17" spans="1:10" ht="15.75">
      <c r="A17" s="238"/>
      <c r="B17" s="238"/>
      <c r="C17" s="46"/>
      <c r="D17" s="46"/>
      <c r="E17" s="166"/>
      <c r="F17" s="166"/>
      <c r="G17" s="243" t="s">
        <v>49</v>
      </c>
      <c r="H17" s="243"/>
      <c r="I17" s="166"/>
      <c r="J17" s="166"/>
    </row>
    <row r="18" spans="1:10" ht="15.75">
      <c r="A18" s="238" t="s">
        <v>42</v>
      </c>
      <c r="B18" s="46" t="str">
        <f>CONCATENATE("Valuation of property that has changed in use during ",J1-1,":")</f>
        <v>Valuation of property that has changed in use during 2014:</v>
      </c>
      <c r="C18" s="46"/>
      <c r="D18" s="46"/>
      <c r="E18" s="166"/>
      <c r="F18" s="239" t="s">
        <v>251</v>
      </c>
      <c r="G18" s="723">
        <f>inputOth!E26</f>
        <v>14559</v>
      </c>
      <c r="H18" s="166"/>
      <c r="I18" s="166"/>
      <c r="J18" s="166"/>
    </row>
    <row r="19" spans="1:10" ht="15.75">
      <c r="A19" s="46" t="s">
        <v>219</v>
      </c>
      <c r="B19" s="46"/>
      <c r="C19" s="46"/>
      <c r="D19" s="238"/>
      <c r="E19" s="243"/>
      <c r="F19" s="243"/>
      <c r="G19" s="243"/>
      <c r="H19" s="166"/>
      <c r="I19" s="166"/>
      <c r="J19" s="166"/>
    </row>
    <row r="20" spans="1:10" ht="15.75">
      <c r="A20" s="238" t="s">
        <v>43</v>
      </c>
      <c r="B20" s="46" t="s">
        <v>923</v>
      </c>
      <c r="C20" s="46"/>
      <c r="D20" s="46"/>
      <c r="E20" s="166"/>
      <c r="F20" s="166"/>
      <c r="G20" s="723">
        <f>G11+G16+G18</f>
        <v>33943</v>
      </c>
      <c r="H20" s="243"/>
      <c r="I20" s="166"/>
      <c r="J20" s="166"/>
    </row>
    <row r="21" spans="1:10" ht="15.75">
      <c r="A21" s="238"/>
      <c r="B21" s="238"/>
      <c r="C21" s="46"/>
      <c r="D21" s="46"/>
      <c r="E21" s="166"/>
      <c r="F21" s="166"/>
      <c r="G21" s="243"/>
      <c r="H21" s="243"/>
      <c r="I21" s="166"/>
      <c r="J21" s="166"/>
    </row>
    <row r="22" spans="1:10" ht="15.75">
      <c r="A22" s="238" t="s">
        <v>44</v>
      </c>
      <c r="B22" s="46" t="str">
        <f>CONCATENATE("Total estimated valuation July 1,",J1-1,"")</f>
        <v>Total estimated valuation July 1,2014</v>
      </c>
      <c r="C22" s="46"/>
      <c r="D22" s="46"/>
      <c r="E22" s="723">
        <f>inputOth!E11</f>
        <v>4400523</v>
      </c>
      <c r="F22" s="166"/>
      <c r="G22" s="166"/>
      <c r="H22" s="166"/>
      <c r="I22" s="239"/>
      <c r="J22" s="166"/>
    </row>
    <row r="23" spans="1:10" ht="15.75">
      <c r="A23" s="238"/>
      <c r="B23" s="238"/>
      <c r="C23" s="46"/>
      <c r="D23" s="46"/>
      <c r="E23" s="243"/>
      <c r="F23" s="166"/>
      <c r="G23" s="166"/>
      <c r="H23" s="166"/>
      <c r="I23" s="239"/>
      <c r="J23" s="166"/>
    </row>
    <row r="24" spans="1:10" ht="15.75">
      <c r="A24" s="238" t="s">
        <v>45</v>
      </c>
      <c r="B24" s="46" t="s">
        <v>924</v>
      </c>
      <c r="C24" s="46"/>
      <c r="D24" s="46"/>
      <c r="E24" s="166"/>
      <c r="F24" s="166"/>
      <c r="G24" s="723">
        <f>E22-G20</f>
        <v>4366580</v>
      </c>
      <c r="H24" s="243"/>
      <c r="I24" s="239"/>
      <c r="J24" s="166"/>
    </row>
    <row r="25" spans="1:10" ht="15.75">
      <c r="A25" s="238"/>
      <c r="B25" s="238"/>
      <c r="C25" s="46"/>
      <c r="D25" s="46"/>
      <c r="E25" s="46"/>
      <c r="F25" s="46"/>
      <c r="G25" s="724"/>
      <c r="H25" s="52"/>
      <c r="I25" s="238"/>
      <c r="J25" s="46"/>
    </row>
    <row r="26" spans="1:10" ht="15.75">
      <c r="A26" s="238" t="s">
        <v>46</v>
      </c>
      <c r="B26" s="46" t="s">
        <v>925</v>
      </c>
      <c r="C26" s="46"/>
      <c r="D26" s="46"/>
      <c r="E26" s="46"/>
      <c r="F26" s="46"/>
      <c r="G26" s="725">
        <f>IF(G20&gt;0,G20/G24,0)</f>
        <v>0.007773360387305397</v>
      </c>
      <c r="H26" s="52"/>
      <c r="I26" s="46"/>
      <c r="J26" s="46"/>
    </row>
    <row r="27" spans="1:10" ht="15.75">
      <c r="A27" s="238"/>
      <c r="B27" s="238"/>
      <c r="C27" s="46"/>
      <c r="D27" s="46"/>
      <c r="E27" s="46"/>
      <c r="F27" s="46"/>
      <c r="G27" s="52"/>
      <c r="H27" s="52"/>
      <c r="I27" s="46"/>
      <c r="J27" s="46"/>
    </row>
    <row r="28" spans="1:10" ht="15.75">
      <c r="A28" s="238" t="s">
        <v>47</v>
      </c>
      <c r="B28" s="46" t="s">
        <v>926</v>
      </c>
      <c r="C28" s="46"/>
      <c r="D28" s="46"/>
      <c r="E28" s="46"/>
      <c r="F28" s="46"/>
      <c r="G28" s="52"/>
      <c r="H28" s="726" t="s">
        <v>251</v>
      </c>
      <c r="I28" s="46" t="s">
        <v>238</v>
      </c>
      <c r="J28" s="723">
        <f>ROUND(G26*J7,0)</f>
        <v>469</v>
      </c>
    </row>
    <row r="29" spans="1:10" ht="15.75">
      <c r="A29" s="238"/>
      <c r="B29" s="238"/>
      <c r="C29" s="46"/>
      <c r="D29" s="46"/>
      <c r="E29" s="46"/>
      <c r="F29" s="46"/>
      <c r="G29" s="52"/>
      <c r="H29" s="726"/>
      <c r="I29" s="46"/>
      <c r="J29" s="243"/>
    </row>
    <row r="30" spans="1:10" ht="16.5" thickBot="1">
      <c r="A30" s="238" t="s">
        <v>48</v>
      </c>
      <c r="B30" s="46" t="str">
        <f>CONCATENATE(J1," budget tax levy, excluding debt service,  prior to CPI adjustment (3 plus 11)")</f>
        <v>2015 budget tax levy, excluding debt service,  prior to CPI adjustment (3 plus 11)</v>
      </c>
      <c r="C30" s="46"/>
      <c r="D30" s="46"/>
      <c r="E30" s="46"/>
      <c r="F30" s="46"/>
      <c r="G30" s="46"/>
      <c r="H30" s="46"/>
      <c r="I30" s="46" t="s">
        <v>238</v>
      </c>
      <c r="J30" s="727">
        <f>J7+J28</f>
        <v>60747</v>
      </c>
    </row>
    <row r="31" spans="1:10" ht="16.5" thickTop="1">
      <c r="A31" s="46"/>
      <c r="B31" s="46"/>
      <c r="C31" s="46"/>
      <c r="D31" s="46"/>
      <c r="E31" s="46"/>
      <c r="F31" s="46"/>
      <c r="G31" s="46"/>
      <c r="H31" s="46"/>
      <c r="I31" s="46"/>
      <c r="J31" s="46"/>
    </row>
    <row r="32" spans="1:10" ht="15.75">
      <c r="A32" s="238" t="s">
        <v>58</v>
      </c>
      <c r="B32" s="46" t="str">
        <f>CONCATENATE("Debt service levy in this ",J1," budget")</f>
        <v>Debt service levy in this 2015 budget</v>
      </c>
      <c r="C32" s="46"/>
      <c r="D32" s="46"/>
      <c r="E32" s="46"/>
      <c r="F32" s="46"/>
      <c r="G32" s="46"/>
      <c r="H32" s="46"/>
      <c r="I32" s="46"/>
      <c r="J32" s="723">
        <f>'DebtSvs-Library'!E40</f>
        <v>0</v>
      </c>
    </row>
    <row r="33" spans="1:10" ht="15.75">
      <c r="A33" s="238"/>
      <c r="B33" s="46"/>
      <c r="C33" s="46"/>
      <c r="D33" s="46"/>
      <c r="E33" s="46"/>
      <c r="F33" s="46"/>
      <c r="G33" s="46"/>
      <c r="H33" s="46"/>
      <c r="I33" s="46"/>
      <c r="J33" s="52"/>
    </row>
    <row r="34" spans="1:10" ht="16.5" thickBot="1">
      <c r="A34" s="238" t="s">
        <v>59</v>
      </c>
      <c r="B34" s="46" t="str">
        <f>CONCATENATE(J1," budget tax levy, including debt service, prior to CPI adjustment (12 plus 13)")</f>
        <v>2015 budget tax levy, including debt service, prior to CPI adjustment (12 plus 13)</v>
      </c>
      <c r="C34" s="46"/>
      <c r="D34" s="46"/>
      <c r="E34" s="46"/>
      <c r="F34" s="46"/>
      <c r="G34" s="46"/>
      <c r="H34" s="46"/>
      <c r="I34" s="46"/>
      <c r="J34" s="727">
        <f>J30+J32</f>
        <v>60747</v>
      </c>
    </row>
    <row r="35" spans="1:10" ht="16.5" thickTop="1">
      <c r="A35" s="737"/>
      <c r="B35" s="736"/>
      <c r="C35" s="736"/>
      <c r="D35" s="736"/>
      <c r="E35" s="736"/>
      <c r="F35" s="736"/>
      <c r="G35" s="736"/>
      <c r="H35" s="736"/>
      <c r="I35" s="736"/>
      <c r="J35" s="735"/>
    </row>
    <row r="36" spans="1:10" ht="15.75">
      <c r="A36" s="739" t="s">
        <v>913</v>
      </c>
      <c r="B36" s="736" t="str">
        <f>CONCATENATE("Consumer Price Index for all urban consumers for calendar year ",J1-2)</f>
        <v>Consumer Price Index for all urban consumers for calendar year 2013</v>
      </c>
      <c r="C36" s="736"/>
      <c r="D36" s="736"/>
      <c r="E36" s="736"/>
      <c r="F36" s="736"/>
      <c r="G36" s="736"/>
      <c r="H36" s="736"/>
      <c r="I36" s="736"/>
      <c r="J36" s="740">
        <v>0.015</v>
      </c>
    </row>
    <row r="37" spans="1:10" ht="15.75">
      <c r="A37" s="739"/>
      <c r="B37" s="736"/>
      <c r="C37" s="736"/>
      <c r="D37" s="736"/>
      <c r="E37" s="736"/>
      <c r="F37" s="736"/>
      <c r="G37" s="736"/>
      <c r="H37" s="736"/>
      <c r="I37" s="736"/>
      <c r="J37" s="741"/>
    </row>
    <row r="38" spans="1:10" ht="15.75">
      <c r="A38" s="739" t="s">
        <v>914</v>
      </c>
      <c r="B38" s="736" t="s">
        <v>915</v>
      </c>
      <c r="C38" s="736"/>
      <c r="D38" s="736"/>
      <c r="E38" s="736"/>
      <c r="F38" s="736"/>
      <c r="G38" s="736"/>
      <c r="H38" s="736"/>
      <c r="I38" s="718" t="s">
        <v>238</v>
      </c>
      <c r="J38" s="734">
        <f>J7*J36</f>
        <v>904.17</v>
      </c>
    </row>
    <row r="39" spans="1:10" ht="15.75">
      <c r="A39" s="737"/>
      <c r="B39" s="736"/>
      <c r="C39" s="736"/>
      <c r="D39" s="736"/>
      <c r="E39" s="736"/>
      <c r="F39" s="736"/>
      <c r="G39" s="736"/>
      <c r="H39" s="736"/>
      <c r="I39" s="736"/>
      <c r="J39" s="735"/>
    </row>
    <row r="40" spans="1:10" ht="15.75">
      <c r="A40" s="737" t="s">
        <v>916</v>
      </c>
      <c r="B40" s="736" t="str">
        <f>CONCATENATE("Maximum levy for budget year ",J1,", including debt service, not requiring 'notice of vote publication.'")</f>
        <v>Maximum levy for budget year 2015, including debt service, not requiring 'notice of vote publication.'</v>
      </c>
      <c r="C40" s="736"/>
      <c r="D40" s="736"/>
      <c r="E40" s="736"/>
      <c r="F40" s="736"/>
      <c r="G40" s="736"/>
      <c r="H40" s="736"/>
      <c r="I40" s="736"/>
      <c r="J40" s="733"/>
    </row>
    <row r="41" spans="1:10" ht="19.5" thickBot="1">
      <c r="A41" s="732"/>
      <c r="B41" s="718" t="s">
        <v>917</v>
      </c>
      <c r="C41" s="732"/>
      <c r="D41" s="732"/>
      <c r="E41" s="732"/>
      <c r="F41" s="732"/>
      <c r="G41" s="732"/>
      <c r="H41" s="732"/>
      <c r="I41" s="718" t="s">
        <v>238</v>
      </c>
      <c r="J41" s="738">
        <f>J34+J38</f>
        <v>61651.17</v>
      </c>
    </row>
    <row r="42" spans="1:10" ht="19.5" thickTop="1">
      <c r="A42" s="732"/>
      <c r="B42" s="742"/>
      <c r="C42" s="732"/>
      <c r="D42" s="732"/>
      <c r="E42" s="732"/>
      <c r="F42" s="732"/>
      <c r="G42" s="732"/>
      <c r="H42" s="732"/>
      <c r="I42" s="718"/>
      <c r="J42" s="735"/>
    </row>
    <row r="43" spans="1:10" ht="18.75">
      <c r="A43" s="732"/>
      <c r="B43" s="742"/>
      <c r="C43" s="732"/>
      <c r="D43" s="732"/>
      <c r="E43" s="732"/>
      <c r="F43" s="732"/>
      <c r="G43" s="732"/>
      <c r="H43" s="732"/>
      <c r="I43" s="718"/>
      <c r="J43" s="735"/>
    </row>
    <row r="44" spans="1:10" ht="15.75">
      <c r="A44" s="841" t="str">
        <f>CONCATENATE("If the ",J1," adopted budget includes a total property tax levy exceeding the dollar amount in line 17")</f>
        <v>If the 2015 adopted budget includes a total property tax levy exceeding the dollar amount in line 17</v>
      </c>
      <c r="B44" s="841"/>
      <c r="C44" s="841"/>
      <c r="D44" s="841"/>
      <c r="E44" s="841"/>
      <c r="F44" s="841"/>
      <c r="G44" s="841"/>
      <c r="H44" s="841"/>
      <c r="I44" s="841"/>
      <c r="J44" s="841"/>
    </row>
    <row r="45" spans="1:10" ht="15.75">
      <c r="A45" s="841" t="s">
        <v>918</v>
      </c>
      <c r="B45" s="841"/>
      <c r="C45" s="841"/>
      <c r="D45" s="841"/>
      <c r="E45" s="841"/>
      <c r="F45" s="841"/>
      <c r="G45" s="841"/>
      <c r="H45" s="841"/>
      <c r="I45" s="841"/>
      <c r="J45" s="841"/>
    </row>
    <row r="46" spans="1:10" ht="15.75">
      <c r="A46" s="840" t="s">
        <v>919</v>
      </c>
      <c r="B46" s="840"/>
      <c r="C46" s="840"/>
      <c r="D46" s="840"/>
      <c r="E46" s="840"/>
      <c r="F46" s="840"/>
      <c r="G46" s="840"/>
      <c r="H46" s="840"/>
      <c r="I46" s="840"/>
      <c r="J46" s="840"/>
    </row>
    <row r="47" spans="1:10" ht="15.75">
      <c r="A47" s="840" t="s">
        <v>920</v>
      </c>
      <c r="B47" s="840"/>
      <c r="C47" s="840"/>
      <c r="D47" s="840"/>
      <c r="E47" s="840"/>
      <c r="F47" s="840"/>
      <c r="G47" s="840"/>
      <c r="H47" s="840"/>
      <c r="I47" s="840"/>
      <c r="J47" s="840"/>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4">
      <selection activeCell="J13" sqref="J13"/>
    </sheetView>
  </sheetViews>
  <sheetFormatPr defaultColWidth="8.796875" defaultRowHeight="15.75"/>
  <cols>
    <col min="1" max="1" width="12.296875" style="202" customWidth="1"/>
    <col min="2" max="2" width="19.796875" style="202" customWidth="1"/>
    <col min="3" max="3" width="8.69921875" style="202" hidden="1" customWidth="1"/>
    <col min="4" max="4" width="12.8984375" style="202" customWidth="1"/>
    <col min="5" max="5" width="12.09765625" style="202" hidden="1" customWidth="1"/>
    <col min="6" max="6" width="0.1015625" style="202" hidden="1" customWidth="1"/>
    <col min="7" max="7" width="13.69921875" style="202" customWidth="1"/>
    <col min="8" max="8" width="0.1015625" style="202" customWidth="1"/>
    <col min="9" max="11" width="13.69921875" style="202" customWidth="1"/>
    <col min="12" max="16384" width="8.796875" style="202" customWidth="1"/>
  </cols>
  <sheetData>
    <row r="1" spans="1:11" ht="15.75">
      <c r="A1" s="46"/>
      <c r="B1" s="200" t="str">
        <f>inputPrYr!D3</f>
        <v>VIOLA TOWNSHIP</v>
      </c>
      <c r="C1" s="46"/>
      <c r="D1" s="46"/>
      <c r="E1" s="46"/>
      <c r="F1" s="46"/>
      <c r="G1" s="46"/>
      <c r="H1" s="46"/>
      <c r="I1" s="46"/>
      <c r="J1" s="46"/>
      <c r="K1" s="201">
        <f>inputPrYr!D9</f>
        <v>2015</v>
      </c>
    </row>
    <row r="2" spans="1:11" ht="15.75">
      <c r="A2" s="46"/>
      <c r="B2" s="200"/>
      <c r="C2" s="46"/>
      <c r="D2" s="46"/>
      <c r="E2" s="46"/>
      <c r="F2" s="46"/>
      <c r="G2" s="46"/>
      <c r="H2" s="46"/>
      <c r="I2" s="46"/>
      <c r="J2" s="187"/>
      <c r="K2" s="187"/>
    </row>
    <row r="3" spans="1:11" ht="15.75">
      <c r="A3" s="46"/>
      <c r="B3" s="200"/>
      <c r="C3" s="46"/>
      <c r="D3" s="46"/>
      <c r="E3" s="46"/>
      <c r="F3" s="46"/>
      <c r="G3" s="46"/>
      <c r="H3" s="46"/>
      <c r="I3" s="46"/>
      <c r="J3" s="187"/>
      <c r="K3" s="187"/>
    </row>
    <row r="4" spans="1:11" ht="15.75">
      <c r="A4" s="46"/>
      <c r="B4" s="200"/>
      <c r="C4" s="46"/>
      <c r="D4" s="46"/>
      <c r="E4" s="46"/>
      <c r="F4" s="46"/>
      <c r="G4" s="46"/>
      <c r="H4" s="46"/>
      <c r="I4" s="46"/>
      <c r="J4" s="187"/>
      <c r="K4" s="187"/>
    </row>
    <row r="5" spans="1:11" ht="15.75">
      <c r="A5" s="46"/>
      <c r="B5" s="46"/>
      <c r="C5" s="46"/>
      <c r="D5" s="46"/>
      <c r="E5" s="46"/>
      <c r="F5" s="46"/>
      <c r="G5" s="46"/>
      <c r="H5" s="46"/>
      <c r="I5" s="46"/>
      <c r="J5" s="46"/>
      <c r="K5" s="46"/>
    </row>
    <row r="6" spans="1:11" ht="15.75">
      <c r="A6" s="46"/>
      <c r="B6" s="842" t="s">
        <v>744</v>
      </c>
      <c r="C6" s="815"/>
      <c r="D6" s="815"/>
      <c r="E6" s="815"/>
      <c r="F6" s="815"/>
      <c r="G6" s="815"/>
      <c r="H6" s="815"/>
      <c r="I6" s="815"/>
      <c r="J6" s="815"/>
      <c r="K6" s="815"/>
    </row>
    <row r="7" spans="1:11" ht="16.5">
      <c r="A7" s="46"/>
      <c r="B7" s="829"/>
      <c r="C7" s="843"/>
      <c r="D7" s="843"/>
      <c r="E7" s="843"/>
      <c r="F7" s="843"/>
      <c r="G7" s="843"/>
      <c r="H7" s="843"/>
      <c r="I7" s="843"/>
      <c r="J7" s="843"/>
      <c r="K7" s="843"/>
    </row>
    <row r="8" spans="1:11" ht="15.75">
      <c r="A8" s="46"/>
      <c r="B8" s="46"/>
      <c r="C8" s="203"/>
      <c r="D8" s="203"/>
      <c r="E8" s="203"/>
      <c r="F8" s="203"/>
      <c r="G8" s="204"/>
      <c r="H8" s="47"/>
      <c r="I8" s="47"/>
      <c r="J8" s="46"/>
      <c r="K8" s="46"/>
    </row>
    <row r="9" spans="1:11" ht="21" customHeight="1">
      <c r="A9" s="46"/>
      <c r="B9" s="224" t="s">
        <v>745</v>
      </c>
      <c r="C9" s="205"/>
      <c r="D9" s="528" t="s">
        <v>746</v>
      </c>
      <c r="E9" s="844" t="str">
        <f>CONCATENATE("Budget Tax Levy Rate for ",K1-1,"")</f>
        <v>Budget Tax Levy Rate for 2014</v>
      </c>
      <c r="F9" s="64"/>
      <c r="G9" s="846" t="str">
        <f>CONCATENATE("Allocation for Year ",K1,"")</f>
        <v>Allocation for Year 2015</v>
      </c>
      <c r="H9" s="847"/>
      <c r="I9" s="847"/>
      <c r="J9" s="848"/>
      <c r="K9" s="187"/>
    </row>
    <row r="10" spans="1:11" ht="15.75">
      <c r="A10" s="46"/>
      <c r="B10" s="527" t="str">
        <f>CONCATENATE("for ",K1-1,"")</f>
        <v>for 2014</v>
      </c>
      <c r="C10" s="207"/>
      <c r="D10" s="99" t="str">
        <f>CONCATENATE("Amount for ",K1,"")</f>
        <v>Amount for 2015</v>
      </c>
      <c r="E10" s="845"/>
      <c r="F10" s="60"/>
      <c r="G10" s="60" t="s">
        <v>30</v>
      </c>
      <c r="H10" s="60"/>
      <c r="I10" s="60" t="s">
        <v>31</v>
      </c>
      <c r="J10" s="64" t="s">
        <v>63</v>
      </c>
      <c r="K10" s="187"/>
    </row>
    <row r="11" spans="1:11" ht="15.75">
      <c r="A11" s="46"/>
      <c r="B11" s="71" t="str">
        <f>inputPrYr!B20</f>
        <v>General</v>
      </c>
      <c r="C11" s="208"/>
      <c r="D11" s="71">
        <f>IF(inputPrYr!E20&gt;0,inputPrYr!E20,"  ")</f>
        <v>12507</v>
      </c>
      <c r="E11" s="209">
        <f>IF(inputOth!D37&gt;0,inputOth!D37,"  ")</f>
        <v>3.053</v>
      </c>
      <c r="F11" s="210"/>
      <c r="G11" s="71">
        <f>IF(inputPrYr!E20=0,0,G25-SUM(G12:G22))</f>
        <v>1953.6299999999992</v>
      </c>
      <c r="H11" s="211"/>
      <c r="I11" s="71">
        <f>IF(inputPrYr!E20=0,0,I27-SUM(I12:I22))</f>
        <v>20.679999999999993</v>
      </c>
      <c r="J11" s="71">
        <f>IF(inputPrYr!E20=0,0,J29-SUM(J12:J22))</f>
        <v>73.18</v>
      </c>
      <c r="K11" s="187"/>
    </row>
    <row r="12" spans="1:11" ht="15.75">
      <c r="A12" s="46"/>
      <c r="B12" s="71" t="str">
        <f>inputPrYr!B21</f>
        <v>Debt Service</v>
      </c>
      <c r="C12" s="208"/>
      <c r="D12" s="71" t="str">
        <f>IF(inputPrYr!E21&gt;0,inputPrYr!E21,"  ")</f>
        <v>  </v>
      </c>
      <c r="E12" s="209" t="str">
        <f>IF(inputOth!D38&gt;0,inputOth!D38,"  ")</f>
        <v>  </v>
      </c>
      <c r="F12" s="210"/>
      <c r="G12" s="71">
        <f>IF(inputPrYr!E21=0,0,ROUND(D12*$G$31,0))</f>
        <v>0</v>
      </c>
      <c r="H12" s="211"/>
      <c r="I12" s="71">
        <f>IF(inputPrYr!$E$21=0,0,ROUND($D$12*$I$33,0))</f>
        <v>0</v>
      </c>
      <c r="J12" s="71">
        <f>IF(inputPrYr!E21=0,0,ROUND($D12*$J$35,0))</f>
        <v>0</v>
      </c>
      <c r="K12" s="187"/>
    </row>
    <row r="13" spans="1:11" ht="15.75">
      <c r="A13" s="46"/>
      <c r="B13" s="71" t="str">
        <f>IF(inputPrYr!$B22&gt;"  ",inputPrYr!$B22,"  ")</f>
        <v>Library</v>
      </c>
      <c r="C13" s="208"/>
      <c r="D13" s="71">
        <f>IF(inputPrYr!E22&gt;0,inputPrYr!E22,"  ")</f>
        <v>2444</v>
      </c>
      <c r="E13" s="209"/>
      <c r="F13" s="210"/>
      <c r="G13" s="71">
        <f>IF(inputPrYr!E22=0,0,ROUND(D13*$G$31,0))</f>
        <v>382</v>
      </c>
      <c r="H13" s="211"/>
      <c r="I13" s="71">
        <f>IF(inputPrYr!$E$22=0,0,ROUND($D$13*$I$33,0))</f>
        <v>4</v>
      </c>
      <c r="J13" s="71">
        <f>IF(inputPrYr!E22=0,0,ROUND($D13*$J$35,0))</f>
        <v>14</v>
      </c>
      <c r="K13" s="187"/>
    </row>
    <row r="14" spans="1:11" ht="15.75">
      <c r="A14" s="46"/>
      <c r="B14" s="71" t="str">
        <f>IF(inputPrYr!$B23&gt;"  ",inputPrYr!$B23,"  ")</f>
        <v>Road</v>
      </c>
      <c r="C14" s="208"/>
      <c r="D14" s="71">
        <f>IF(inputPrYr!E23&gt;0,inputPrYr!E23,"  ")</f>
        <v>38500</v>
      </c>
      <c r="E14" s="209">
        <f>IF(inputOth!D40&gt;0,inputOth!D40,"  ")</f>
        <v>11.038</v>
      </c>
      <c r="F14" s="210"/>
      <c r="G14" s="71">
        <f>IF(inputPrYr!E23=0,0,ROUND(D14*$G$31,0))</f>
        <v>6015</v>
      </c>
      <c r="H14" s="211"/>
      <c r="I14" s="71">
        <f>IF(inputPrYr!$E$23=0,0,ROUND($D$14*$I$33,0))</f>
        <v>65</v>
      </c>
      <c r="J14" s="71">
        <f>IF(inputPrYr!E23=0,0,ROUND($D14*$J$35,0))</f>
        <v>226</v>
      </c>
      <c r="K14" s="187"/>
    </row>
    <row r="15" spans="1:11" ht="15.75">
      <c r="A15" s="46"/>
      <c r="B15" s="71" t="str">
        <f>IF(inputPrYr!$B24&gt;"  ",inputPrYr!$B24,"  ")</f>
        <v>Special Road</v>
      </c>
      <c r="C15" s="208"/>
      <c r="D15" s="71" t="str">
        <f>IF(inputPrYr!E24&gt;0,inputPrYr!E24,"  ")</f>
        <v>  </v>
      </c>
      <c r="E15" s="209" t="str">
        <f>IF(inputOth!D41&gt;0,inputOth!D41,"  ")</f>
        <v>  </v>
      </c>
      <c r="F15" s="210"/>
      <c r="G15" s="71">
        <f>IF(inputPrYr!E24=0,0,ROUND(D15*$G$31,0))</f>
        <v>0</v>
      </c>
      <c r="H15" s="211"/>
      <c r="I15" s="71">
        <f>IF(inputPrYr!$E$24=0,0,ROUND($D$15*$I$33,0))</f>
        <v>0</v>
      </c>
      <c r="J15" s="71">
        <f>IF(inputPrYr!E24=0,0,ROUND($D15*$J$35,0))</f>
        <v>0</v>
      </c>
      <c r="K15" s="187"/>
    </row>
    <row r="16" spans="1:11" ht="15.75">
      <c r="A16" s="46"/>
      <c r="B16" s="71" t="str">
        <f>IF(inputPrYr!$B25&gt;"  ",inputPrYr!$B25,"  ")</f>
        <v>Noxious Weed</v>
      </c>
      <c r="C16" s="208"/>
      <c r="D16" s="71" t="str">
        <f>IF(inputPrYr!E25&gt;0,inputPrYr!E25,"  ")</f>
        <v>  </v>
      </c>
      <c r="E16" s="209" t="str">
        <f>IF(inputOth!D42&gt;0,inputOth!D42,"  ")</f>
        <v>  </v>
      </c>
      <c r="F16" s="210"/>
      <c r="G16" s="71">
        <f>IF(inputPrYr!E25=0,0,ROUND(D16*$G$31,0))</f>
        <v>0</v>
      </c>
      <c r="H16" s="211"/>
      <c r="I16" s="71">
        <f>IF(inputPrYr!$E$25=0,0,ROUND($D$16*$I$33,0))</f>
        <v>0</v>
      </c>
      <c r="J16" s="71">
        <f>IF(inputPrYr!E25=0,0,ROUND($D16*$J$35,0))</f>
        <v>0</v>
      </c>
      <c r="K16" s="187"/>
    </row>
    <row r="17" spans="1:11" ht="15.75">
      <c r="A17" s="46"/>
      <c r="B17" s="71" t="str">
        <f>IF(inputPrYr!$B26&gt;"  ",inputPrYr!$B26,"  ")</f>
        <v>Fire Protection</v>
      </c>
      <c r="C17" s="208"/>
      <c r="D17" s="71" t="str">
        <f>IF(inputPrYr!E26&gt;0,inputPrYr!E26,"  ")</f>
        <v>  </v>
      </c>
      <c r="E17" s="209" t="str">
        <f>IF(inputOth!D43&gt;0,inputOth!D43,"  ")</f>
        <v>  </v>
      </c>
      <c r="F17" s="210"/>
      <c r="G17" s="71">
        <f>IF(inputPrYr!E26=0,0,ROUND(D17*$G$31,0))</f>
        <v>0</v>
      </c>
      <c r="H17" s="211"/>
      <c r="I17" s="71">
        <f>IF(inputPrYr!$E$26=0,0,ROUND($D$17*$I$33,0))</f>
        <v>0</v>
      </c>
      <c r="J17" s="71">
        <f>IF(inputPrYr!E26=0,0,ROUND($D17*$J$35,0))</f>
        <v>0</v>
      </c>
      <c r="K17" s="187"/>
    </row>
    <row r="18" spans="1:11" ht="15.75">
      <c r="A18" s="46"/>
      <c r="B18" s="71" t="str">
        <f>IF(inputPrYr!$B27&gt;"  ",inputPrYr!$B27,"  ")</f>
        <v>Cemetery</v>
      </c>
      <c r="C18" s="208"/>
      <c r="D18" s="71">
        <f>IF(inputPrYr!E27&gt;0,inputPrYr!E27,"  ")</f>
        <v>1523</v>
      </c>
      <c r="E18" s="209">
        <f>IF(inputOth!D44&gt;0,inputOth!D44,"  ")</f>
        <v>0.372</v>
      </c>
      <c r="F18" s="210"/>
      <c r="G18" s="71">
        <f>IF(inputPrYr!E27=0,0,ROUND(D18*$G$31,0))</f>
        <v>238</v>
      </c>
      <c r="H18" s="211"/>
      <c r="I18" s="71">
        <f>IF(inputPrYr!$E$27=0,0,ROUND($D$18*$I$33,0))</f>
        <v>3</v>
      </c>
      <c r="J18" s="71">
        <f>IF(inputPrYr!E27=0,0,ROUND($D18*$J$35,0))</f>
        <v>9</v>
      </c>
      <c r="K18" s="187"/>
    </row>
    <row r="19" spans="1:11" ht="15.75">
      <c r="A19" s="46"/>
      <c r="B19" s="71" t="str">
        <f>IF(inputPrYr!$B28&gt;"  ",inputPrYr!$B28,"  ")</f>
        <v>Township Hall</v>
      </c>
      <c r="C19" s="208"/>
      <c r="D19" s="71">
        <f>IF(inputPrYr!E28&gt;0,inputPrYr!E28,"  ")</f>
        <v>5304</v>
      </c>
      <c r="E19" s="209">
        <f>IF(inputOth!D45&gt;0,inputOth!D45,"  ")</f>
        <v>1.295</v>
      </c>
      <c r="F19" s="210"/>
      <c r="G19" s="71">
        <f>IF(inputPrYr!E28=0,0,ROUND(D19*$G$31,0))</f>
        <v>829</v>
      </c>
      <c r="H19" s="211"/>
      <c r="I19" s="71">
        <f>IF(inputPrYr!$E$28=0,0,ROUND($D$19*$I$33,0))</f>
        <v>9</v>
      </c>
      <c r="J19" s="71">
        <f>IF(inputPrYr!E28=0,0,ROUND($D19*$J$35,0))</f>
        <v>31</v>
      </c>
      <c r="K19" s="187"/>
    </row>
    <row r="20" spans="1:11" ht="15.75">
      <c r="A20" s="46"/>
      <c r="B20" s="71" t="str">
        <f>IF(inputPrYr!$B29&gt;"  ",inputPrYr!$B29,"  ")</f>
        <v>  </v>
      </c>
      <c r="C20" s="208"/>
      <c r="D20" s="71" t="str">
        <f>IF(inputPrYr!E29&gt;0,inputPrYr!E29,"  ")</f>
        <v>  </v>
      </c>
      <c r="E20" s="209" t="str">
        <f>IF(inputOth!D46&gt;0,inputOth!D46,"  ")</f>
        <v>  </v>
      </c>
      <c r="F20" s="210"/>
      <c r="G20" s="71">
        <f>IF(inputPrYr!E29=0,0,ROUND(D20*$G$31,0))</f>
        <v>0</v>
      </c>
      <c r="H20" s="211"/>
      <c r="I20" s="71">
        <f>IF(inputPrYr!$E$29=0,0,ROUND($D$20*$I$33,0))</f>
        <v>0</v>
      </c>
      <c r="J20" s="71">
        <f>IF(inputPrYr!E29=0,0,ROUND($D20*$J$35,0))</f>
        <v>0</v>
      </c>
      <c r="K20" s="187"/>
    </row>
    <row r="21" spans="1:11" ht="15.75">
      <c r="A21" s="46"/>
      <c r="B21" s="71" t="str">
        <f>IF(inputPrYr!$B30&gt;"  ",inputPrYr!$B30,"  ")</f>
        <v>  </v>
      </c>
      <c r="C21" s="208"/>
      <c r="D21" s="71" t="str">
        <f>IF(inputPrYr!E30&gt;0,inputPrYr!E30,"  ")</f>
        <v>  </v>
      </c>
      <c r="E21" s="209" t="str">
        <f>IF(inputOth!D47&gt;0,inputOth!D47,"  ")</f>
        <v>  </v>
      </c>
      <c r="F21" s="210"/>
      <c r="G21" s="71">
        <f>IF(inputPrYr!E30=0,0,ROUND(D21*$G$31,0))</f>
        <v>0</v>
      </c>
      <c r="H21" s="211"/>
      <c r="I21" s="71">
        <f>IF(inputPrYr!$E$30=0,0,ROUND($D$21*$I$33,0))</f>
        <v>0</v>
      </c>
      <c r="J21" s="71">
        <f>IF(inputPrYr!E30=0,0,ROUND($D21*$J$35,0))</f>
        <v>0</v>
      </c>
      <c r="K21" s="187"/>
    </row>
    <row r="22" spans="1:11" ht="15.75">
      <c r="A22" s="46"/>
      <c r="B22" s="71" t="str">
        <f>IF(inputPrYr!$B31&gt;"  ",inputPrYr!$B31,"  ")</f>
        <v>  </v>
      </c>
      <c r="C22" s="208"/>
      <c r="D22" s="71" t="str">
        <f>IF(inputPrYr!E31&gt;0,inputPrYr!E31,"  ")</f>
        <v>  </v>
      </c>
      <c r="E22" s="209" t="str">
        <f>IF(inputOth!D48&gt;0,inputOth!D48,"  ")</f>
        <v>  </v>
      </c>
      <c r="F22" s="210"/>
      <c r="G22" s="71">
        <f>IF(inputPrYr!E31=0,0,ROUND(D22*$G$31,0))</f>
        <v>0</v>
      </c>
      <c r="H22" s="211"/>
      <c r="I22" s="71">
        <f>IF(inputPrYr!E31=0,0,ROUND($D$22*$I$33,0))</f>
        <v>0</v>
      </c>
      <c r="J22" s="71">
        <f>IF(inputPrYr!E31=0,0,ROUND($D22*$J$35,0))</f>
        <v>0</v>
      </c>
      <c r="K22" s="187"/>
    </row>
    <row r="23" spans="1:11" ht="16.5" thickBot="1">
      <c r="A23" s="46"/>
      <c r="B23" s="85" t="s">
        <v>217</v>
      </c>
      <c r="C23" s="212"/>
      <c r="D23" s="213">
        <f aca="true" t="shared" si="0" ref="D23:J23">SUM(D11:D22)</f>
        <v>60278</v>
      </c>
      <c r="E23" s="214">
        <f>SUM(E11:E22)</f>
        <v>15.758000000000001</v>
      </c>
      <c r="F23" s="215"/>
      <c r="G23" s="213">
        <f t="shared" si="0"/>
        <v>9417.63</v>
      </c>
      <c r="H23" s="213"/>
      <c r="I23" s="213">
        <f t="shared" si="0"/>
        <v>101.67999999999999</v>
      </c>
      <c r="J23" s="213">
        <f t="shared" si="0"/>
        <v>353.18</v>
      </c>
      <c r="K23" s="187"/>
    </row>
    <row r="24" spans="1:11" ht="16.5" thickTop="1">
      <c r="A24" s="46"/>
      <c r="B24" s="46"/>
      <c r="C24" s="46"/>
      <c r="D24" s="46"/>
      <c r="E24" s="46"/>
      <c r="F24" s="46"/>
      <c r="G24" s="46"/>
      <c r="H24" s="46"/>
      <c r="I24" s="46"/>
      <c r="J24" s="46"/>
      <c r="K24" s="46"/>
    </row>
    <row r="25" spans="1:11" ht="15.75">
      <c r="A25" s="46"/>
      <c r="B25" s="53" t="s">
        <v>241</v>
      </c>
      <c r="C25" s="184"/>
      <c r="D25" s="46"/>
      <c r="E25" s="46"/>
      <c r="F25" s="46"/>
      <c r="G25" s="216">
        <f>SUM(inputOth!E59,inputOth!E63,inputOth!E67)</f>
        <v>9417.63</v>
      </c>
      <c r="H25" s="46"/>
      <c r="I25" s="46"/>
      <c r="J25" s="46"/>
      <c r="K25" s="46"/>
    </row>
    <row r="26" spans="1:11" ht="15.75">
      <c r="A26" s="46"/>
      <c r="B26" s="46"/>
      <c r="C26" s="46"/>
      <c r="D26" s="46"/>
      <c r="E26" s="46"/>
      <c r="F26" s="46"/>
      <c r="G26" s="46"/>
      <c r="H26" s="46"/>
      <c r="I26" s="46"/>
      <c r="J26" s="46"/>
      <c r="K26" s="46"/>
    </row>
    <row r="27" spans="1:11" ht="15.75">
      <c r="A27" s="46"/>
      <c r="B27" s="53" t="s">
        <v>242</v>
      </c>
      <c r="C27" s="46"/>
      <c r="D27" s="46"/>
      <c r="E27" s="46"/>
      <c r="F27" s="46"/>
      <c r="G27" s="46"/>
      <c r="H27" s="216">
        <f>inputPrYr!E83</f>
        <v>0</v>
      </c>
      <c r="I27" s="216">
        <f>SUM(inputOth!E60,inputOth!E64,inputOth!E68)</f>
        <v>101.67999999999999</v>
      </c>
      <c r="J27" s="46"/>
      <c r="K27" s="46"/>
    </row>
    <row r="28" spans="1:11" ht="15.75">
      <c r="A28" s="46"/>
      <c r="B28" s="46"/>
      <c r="C28" s="46"/>
      <c r="D28" s="46"/>
      <c r="E28" s="46"/>
      <c r="F28" s="46"/>
      <c r="G28" s="46"/>
      <c r="H28" s="46"/>
      <c r="I28" s="46"/>
      <c r="J28" s="46"/>
      <c r="K28" s="46"/>
    </row>
    <row r="29" spans="1:11" ht="15.75">
      <c r="A29" s="46"/>
      <c r="B29" s="53" t="s">
        <v>27</v>
      </c>
      <c r="C29" s="46"/>
      <c r="D29" s="46"/>
      <c r="E29" s="46"/>
      <c r="F29" s="46"/>
      <c r="G29" s="46"/>
      <c r="H29" s="46"/>
      <c r="I29" s="46"/>
      <c r="J29" s="216">
        <f>SUM(inputOth!E61,inputOth!E65,inputOth!E69)</f>
        <v>353.18</v>
      </c>
      <c r="K29" s="156"/>
    </row>
    <row r="30" spans="1:11" ht="15.75">
      <c r="A30" s="46"/>
      <c r="B30" s="46"/>
      <c r="C30" s="46"/>
      <c r="D30" s="46"/>
      <c r="E30" s="46"/>
      <c r="F30" s="46"/>
      <c r="G30" s="46"/>
      <c r="H30" s="46"/>
      <c r="I30" s="46"/>
      <c r="J30" s="46"/>
      <c r="K30" s="46"/>
    </row>
    <row r="31" spans="1:11" ht="15.75">
      <c r="A31" s="46"/>
      <c r="B31" s="53" t="s">
        <v>243</v>
      </c>
      <c r="C31" s="46"/>
      <c r="D31" s="46"/>
      <c r="E31" s="46"/>
      <c r="F31" s="46"/>
      <c r="G31" s="217">
        <f>IF(D23=0,0,G25/D23)</f>
        <v>0.15623660373602308</v>
      </c>
      <c r="H31" s="46"/>
      <c r="I31" s="46"/>
      <c r="J31" s="46"/>
      <c r="K31" s="46"/>
    </row>
    <row r="32" spans="1:11" ht="15.75">
      <c r="A32" s="46"/>
      <c r="B32" s="46"/>
      <c r="C32" s="218"/>
      <c r="D32" s="46"/>
      <c r="E32" s="46"/>
      <c r="F32" s="46"/>
      <c r="G32" s="46"/>
      <c r="H32" s="46"/>
      <c r="I32" s="46"/>
      <c r="J32" s="46"/>
      <c r="K32" s="46"/>
    </row>
    <row r="33" spans="1:11" ht="15.75">
      <c r="A33" s="46"/>
      <c r="B33" s="53" t="s">
        <v>244</v>
      </c>
      <c r="C33" s="46"/>
      <c r="D33" s="46"/>
      <c r="E33" s="46"/>
      <c r="F33" s="46"/>
      <c r="G33" s="46"/>
      <c r="H33" s="219">
        <f>IF(D23=0,0,H27/D23)</f>
        <v>0</v>
      </c>
      <c r="I33" s="220">
        <f>IF(D23=0,0,I27/D23)</f>
        <v>0.0016868509240518927</v>
      </c>
      <c r="J33" s="46"/>
      <c r="K33" s="46"/>
    </row>
    <row r="34" spans="1:11" ht="15.75">
      <c r="A34" s="46"/>
      <c r="B34" s="46"/>
      <c r="C34" s="46"/>
      <c r="D34" s="46"/>
      <c r="E34" s="46"/>
      <c r="F34" s="46"/>
      <c r="G34" s="46"/>
      <c r="H34" s="46"/>
      <c r="I34" s="46"/>
      <c r="J34" s="46"/>
      <c r="K34" s="46"/>
    </row>
    <row r="35" spans="1:11" ht="15.75">
      <c r="A35" s="46"/>
      <c r="B35" s="53" t="s">
        <v>29</v>
      </c>
      <c r="C35" s="46"/>
      <c r="D35" s="46"/>
      <c r="E35" s="46"/>
      <c r="F35" s="46"/>
      <c r="G35" s="46"/>
      <c r="H35" s="46"/>
      <c r="I35" s="46"/>
      <c r="J35" s="217">
        <f>IF(D23=0,0,J29/D23)</f>
        <v>0.005859185772587014</v>
      </c>
      <c r="K35" s="221"/>
    </row>
    <row r="36" spans="1:11" ht="15.75">
      <c r="A36" s="46"/>
      <c r="B36" s="46"/>
      <c r="C36" s="46"/>
      <c r="D36" s="46"/>
      <c r="E36" s="46"/>
      <c r="F36" s="46"/>
      <c r="G36" s="46"/>
      <c r="H36" s="46"/>
      <c r="I36" s="46"/>
      <c r="J36" s="46"/>
      <c r="K36" s="46"/>
    </row>
    <row r="37" spans="1:11" ht="15.75">
      <c r="A37" s="46"/>
      <c r="B37" s="46"/>
      <c r="C37" s="46"/>
      <c r="D37" s="46"/>
      <c r="E37" s="46"/>
      <c r="F37" s="46"/>
      <c r="G37" s="46"/>
      <c r="H37" s="46"/>
      <c r="I37" s="46"/>
      <c r="J37" s="46"/>
      <c r="K37" s="46"/>
    </row>
    <row r="41" spans="2:8" ht="15.75">
      <c r="B41" s="222"/>
      <c r="C41" s="222"/>
      <c r="D41" s="222"/>
      <c r="E41" s="222"/>
      <c r="F41" s="222"/>
      <c r="G41" s="222"/>
      <c r="H41" s="222"/>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35" customWidth="1"/>
    <col min="3" max="6" width="11.5" style="135" customWidth="1"/>
    <col min="7" max="16384" width="8.796875" style="135" customWidth="1"/>
  </cols>
  <sheetData>
    <row r="1" spans="1:6" ht="15.75">
      <c r="A1" s="200"/>
      <c r="B1" s="46"/>
      <c r="C1" s="46"/>
      <c r="D1" s="46"/>
      <c r="E1" s="187"/>
      <c r="F1" s="46">
        <f>inputPrYr!D9</f>
        <v>2015</v>
      </c>
    </row>
    <row r="2" spans="1:6" ht="15.75">
      <c r="A2" s="101" t="str">
        <f>inputPrYr!D3</f>
        <v>VIOLA TOWNSHIP</v>
      </c>
      <c r="B2" s="101"/>
      <c r="C2" s="46"/>
      <c r="D2" s="46"/>
      <c r="E2" s="187"/>
      <c r="F2" s="46"/>
    </row>
    <row r="3" spans="1:6" ht="15.75">
      <c r="A3" s="200"/>
      <c r="B3" s="101"/>
      <c r="C3" s="46"/>
      <c r="D3" s="46"/>
      <c r="E3" s="187"/>
      <c r="F3" s="46"/>
    </row>
    <row r="4" spans="1:6" ht="15.75">
      <c r="A4" s="200"/>
      <c r="B4" s="46"/>
      <c r="C4" s="46"/>
      <c r="D4" s="46"/>
      <c r="E4" s="187"/>
      <c r="F4" s="46"/>
    </row>
    <row r="5" spans="1:6" ht="15" customHeight="1">
      <c r="A5" s="829" t="s">
        <v>92</v>
      </c>
      <c r="B5" s="829"/>
      <c r="C5" s="829"/>
      <c r="D5" s="829"/>
      <c r="E5" s="829"/>
      <c r="F5" s="829"/>
    </row>
    <row r="6" spans="1:6" ht="14.25" customHeight="1">
      <c r="A6" s="45"/>
      <c r="B6" s="223"/>
      <c r="C6" s="223"/>
      <c r="D6" s="223"/>
      <c r="E6" s="223"/>
      <c r="F6" s="223"/>
    </row>
    <row r="7" spans="1:6" ht="15" customHeight="1">
      <c r="A7" s="224" t="s">
        <v>225</v>
      </c>
      <c r="B7" s="224" t="s">
        <v>591</v>
      </c>
      <c r="C7" s="225" t="s">
        <v>268</v>
      </c>
      <c r="D7" s="225" t="s">
        <v>93</v>
      </c>
      <c r="E7" s="224" t="s">
        <v>94</v>
      </c>
      <c r="F7" s="224" t="s">
        <v>95</v>
      </c>
    </row>
    <row r="8" spans="1:6" ht="15" customHeight="1">
      <c r="A8" s="226" t="s">
        <v>592</v>
      </c>
      <c r="B8" s="226" t="s">
        <v>593</v>
      </c>
      <c r="C8" s="227" t="s">
        <v>96</v>
      </c>
      <c r="D8" s="227" t="s">
        <v>96</v>
      </c>
      <c r="E8" s="227" t="s">
        <v>96</v>
      </c>
      <c r="F8" s="227" t="s">
        <v>97</v>
      </c>
    </row>
    <row r="9" spans="1:6" s="230" customFormat="1" ht="15" customHeight="1" thickBot="1">
      <c r="A9" s="228" t="s">
        <v>98</v>
      </c>
      <c r="B9" s="229" t="s">
        <v>99</v>
      </c>
      <c r="C9" s="229">
        <f>F1-2</f>
        <v>2013</v>
      </c>
      <c r="D9" s="229">
        <f>F1-1</f>
        <v>2014</v>
      </c>
      <c r="E9" s="229">
        <f>F1</f>
        <v>2015</v>
      </c>
      <c r="F9" s="229" t="s">
        <v>212</v>
      </c>
    </row>
    <row r="10" spans="1:6" ht="15" customHeight="1" thickTop="1">
      <c r="A10" s="231"/>
      <c r="B10" s="231"/>
      <c r="C10" s="232"/>
      <c r="D10" s="232"/>
      <c r="E10" s="232"/>
      <c r="F10" s="231"/>
    </row>
    <row r="11" spans="1:6" ht="15" customHeight="1">
      <c r="A11" s="183" t="s">
        <v>167</v>
      </c>
      <c r="B11" s="183" t="s">
        <v>229</v>
      </c>
      <c r="C11" s="233">
        <f>gen!$C$43</f>
        <v>0</v>
      </c>
      <c r="D11" s="233">
        <f>gen!$D$43</f>
        <v>0</v>
      </c>
      <c r="E11" s="233">
        <f>gen!$E$43</f>
        <v>0</v>
      </c>
      <c r="F11" s="183">
        <f>IF(C11+D11+E11&gt;0,"80-1406b","")</f>
      </c>
    </row>
    <row r="12" spans="1:6" ht="15" customHeight="1">
      <c r="A12" s="183" t="s">
        <v>167</v>
      </c>
      <c r="B12" s="183" t="s">
        <v>229</v>
      </c>
      <c r="C12" s="233">
        <f>gen!$C$45</f>
        <v>2290.81</v>
      </c>
      <c r="D12" s="233">
        <f>gen!$D$45</f>
        <v>0</v>
      </c>
      <c r="E12" s="233">
        <f>gen!$E$45</f>
        <v>0</v>
      </c>
      <c r="F12" s="183" t="str">
        <f>IF(C12+D12+E12&gt;0,"80-122","")</f>
        <v>80-122</v>
      </c>
    </row>
    <row r="13" spans="1:6" ht="15" customHeight="1">
      <c r="A13" s="183" t="s">
        <v>216</v>
      </c>
      <c r="B13" s="183" t="s">
        <v>229</v>
      </c>
      <c r="C13" s="233">
        <f>road!$C$38</f>
        <v>12255.87</v>
      </c>
      <c r="D13" s="233">
        <f>road!$D$38</f>
        <v>0</v>
      </c>
      <c r="E13" s="233">
        <f>road!$E$38</f>
        <v>0</v>
      </c>
      <c r="F13" s="183" t="str">
        <f>IF(C13+D13+E13&gt;0,"68-141g","")</f>
        <v>68-141g</v>
      </c>
    </row>
    <row r="14" spans="1:6" ht="15" customHeight="1">
      <c r="A14" s="158"/>
      <c r="B14" s="158"/>
      <c r="C14" s="234"/>
      <c r="D14" s="234"/>
      <c r="E14" s="234"/>
      <c r="F14" s="158"/>
    </row>
    <row r="15" spans="1:6" ht="15" customHeight="1">
      <c r="A15" s="158"/>
      <c r="B15" s="158"/>
      <c r="C15" s="234"/>
      <c r="D15" s="234"/>
      <c r="E15" s="234"/>
      <c r="F15" s="158"/>
    </row>
    <row r="16" spans="1:6" ht="15" customHeight="1">
      <c r="A16" s="158"/>
      <c r="B16" s="158"/>
      <c r="C16" s="234"/>
      <c r="D16" s="234"/>
      <c r="E16" s="234"/>
      <c r="F16" s="158"/>
    </row>
    <row r="17" spans="1:6" ht="15" customHeight="1">
      <c r="A17" s="158"/>
      <c r="B17" s="158"/>
      <c r="C17" s="234"/>
      <c r="D17" s="234"/>
      <c r="E17" s="234"/>
      <c r="F17" s="158"/>
    </row>
    <row r="18" spans="1:6" ht="15" customHeight="1">
      <c r="A18" s="158"/>
      <c r="B18" s="158"/>
      <c r="C18" s="234"/>
      <c r="D18" s="234"/>
      <c r="E18" s="234"/>
      <c r="F18" s="158"/>
    </row>
    <row r="19" spans="1:6" ht="15" customHeight="1">
      <c r="A19" s="158"/>
      <c r="B19" s="235"/>
      <c r="C19" s="234"/>
      <c r="D19" s="234"/>
      <c r="E19" s="234"/>
      <c r="F19" s="158"/>
    </row>
    <row r="20" spans="1:6" ht="15" customHeight="1">
      <c r="A20" s="158"/>
      <c r="B20" s="158"/>
      <c r="C20" s="234"/>
      <c r="D20" s="234"/>
      <c r="E20" s="234"/>
      <c r="F20" s="158"/>
    </row>
    <row r="21" spans="1:6" ht="15" customHeight="1">
      <c r="A21" s="158"/>
      <c r="B21" s="158"/>
      <c r="C21" s="234"/>
      <c r="D21" s="234"/>
      <c r="E21" s="234"/>
      <c r="F21" s="158"/>
    </row>
    <row r="22" spans="1:6" ht="15" customHeight="1">
      <c r="A22" s="158"/>
      <c r="B22" s="158"/>
      <c r="C22" s="234"/>
      <c r="D22" s="234"/>
      <c r="E22" s="234"/>
      <c r="F22" s="158"/>
    </row>
    <row r="23" spans="1:6" ht="15" customHeight="1">
      <c r="A23" s="158"/>
      <c r="B23" s="158"/>
      <c r="C23" s="234"/>
      <c r="D23" s="234"/>
      <c r="E23" s="234"/>
      <c r="F23" s="158"/>
    </row>
    <row r="24" spans="1:6" ht="15" customHeight="1">
      <c r="A24" s="158"/>
      <c r="B24" s="158"/>
      <c r="C24" s="234"/>
      <c r="D24" s="234"/>
      <c r="E24" s="234"/>
      <c r="F24" s="158"/>
    </row>
    <row r="25" spans="1:6" ht="15" customHeight="1">
      <c r="A25" s="158"/>
      <c r="B25" s="158"/>
      <c r="C25" s="234"/>
      <c r="D25" s="234"/>
      <c r="E25" s="234"/>
      <c r="F25" s="158"/>
    </row>
    <row r="26" spans="1:6" ht="15" customHeight="1">
      <c r="A26" s="158"/>
      <c r="B26" s="158"/>
      <c r="C26" s="234"/>
      <c r="D26" s="234"/>
      <c r="E26" s="234"/>
      <c r="F26" s="158"/>
    </row>
    <row r="27" spans="1:6" ht="15.75">
      <c r="A27" s="168"/>
      <c r="B27" s="69" t="s">
        <v>217</v>
      </c>
      <c r="C27" s="236">
        <f>SUM(C10:C26)</f>
        <v>14546.68</v>
      </c>
      <c r="D27" s="236">
        <f>SUM(D10:D26)</f>
        <v>0</v>
      </c>
      <c r="E27" s="236">
        <f>SUM(E10:E26)</f>
        <v>0</v>
      </c>
      <c r="F27" s="168"/>
    </row>
    <row r="28" spans="1:6" ht="15.75">
      <c r="A28" s="168"/>
      <c r="B28" s="69" t="s">
        <v>590</v>
      </c>
      <c r="C28" s="46"/>
      <c r="D28" s="158"/>
      <c r="E28" s="158"/>
      <c r="F28" s="168"/>
    </row>
    <row r="29" spans="1:6" ht="15.75">
      <c r="A29" s="168"/>
      <c r="B29" s="69" t="s">
        <v>100</v>
      </c>
      <c r="C29" s="160">
        <f>C27</f>
        <v>14546.68</v>
      </c>
      <c r="D29" s="160">
        <f>SUM(D27-D28)</f>
        <v>0</v>
      </c>
      <c r="E29" s="160">
        <f>SUM(E27-E28)</f>
        <v>0</v>
      </c>
      <c r="F29" s="168"/>
    </row>
    <row r="30" spans="1:6" ht="15.75">
      <c r="A30" s="168"/>
      <c r="B30" s="46"/>
      <c r="C30" s="46"/>
      <c r="D30" s="46"/>
      <c r="E30" s="46"/>
      <c r="F30" s="168"/>
    </row>
    <row r="31" spans="1:6" ht="15.75">
      <c r="A31" s="168"/>
      <c r="B31" s="46"/>
      <c r="C31" s="46"/>
      <c r="D31" s="46"/>
      <c r="E31" s="46"/>
      <c r="F31" s="168"/>
    </row>
    <row r="32" spans="1:6" ht="15.75">
      <c r="A32" s="353" t="s">
        <v>594</v>
      </c>
      <c r="B32" s="354" t="str">
        <f>CONCATENATE("Adjustments are required only if the transfer is being made in ",D9," and/or ",E9," from a non-budgeted fund.")</f>
        <v>Adjustments are required only if the transfer is being made in 2014 and/or 2015 from a non-budgeted fund.</v>
      </c>
      <c r="C32" s="46"/>
      <c r="D32" s="46"/>
      <c r="E32" s="46"/>
      <c r="F32" s="16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89" customWidth="1"/>
    <col min="2" max="16384" width="8.796875" style="89" customWidth="1"/>
  </cols>
  <sheetData>
    <row r="1" ht="18.75">
      <c r="A1" s="333" t="s">
        <v>302</v>
      </c>
    </row>
    <row r="2" ht="15.75">
      <c r="A2" s="93"/>
    </row>
    <row r="3" ht="15.75">
      <c r="A3" s="93"/>
    </row>
    <row r="4" ht="52.5" customHeight="1">
      <c r="A4" s="193" t="s">
        <v>339</v>
      </c>
    </row>
    <row r="5" ht="15.75">
      <c r="A5" s="93"/>
    </row>
    <row r="6" ht="15.75">
      <c r="A6" s="93"/>
    </row>
    <row r="7" ht="70.5" customHeight="1">
      <c r="A7" s="193" t="s">
        <v>340</v>
      </c>
    </row>
    <row r="8" ht="15.75">
      <c r="A8" s="328"/>
    </row>
    <row r="9" ht="15.75">
      <c r="A9" s="93"/>
    </row>
    <row r="10" ht="56.25" customHeight="1">
      <c r="A10" s="193" t="s">
        <v>341</v>
      </c>
    </row>
    <row r="11" ht="15.75">
      <c r="A11" s="328"/>
    </row>
    <row r="12" ht="15.75">
      <c r="A12" s="328"/>
    </row>
    <row r="13" ht="57.75" customHeight="1">
      <c r="A13" s="193" t="s">
        <v>342</v>
      </c>
    </row>
    <row r="14" ht="15.75">
      <c r="A14" s="328"/>
    </row>
    <row r="15" ht="15.75">
      <c r="A15" s="328"/>
    </row>
    <row r="16" ht="87.75" customHeight="1">
      <c r="A16" s="193" t="s">
        <v>343</v>
      </c>
    </row>
    <row r="17" ht="15.75">
      <c r="A17" s="328"/>
    </row>
    <row r="18" ht="15.75">
      <c r="A18" s="93"/>
    </row>
    <row r="19" ht="54.75" customHeight="1">
      <c r="A19" s="193" t="s">
        <v>344</v>
      </c>
    </row>
    <row r="20" ht="15.75">
      <c r="A20" s="93"/>
    </row>
    <row r="21" ht="15.75">
      <c r="A21" s="93"/>
    </row>
    <row r="22" ht="69" customHeight="1">
      <c r="A22" s="193" t="s">
        <v>345</v>
      </c>
    </row>
    <row r="23" ht="15.75">
      <c r="A23" s="93"/>
    </row>
    <row r="24" ht="15.75">
      <c r="A24" s="330"/>
    </row>
    <row r="25" ht="47.25" customHeight="1">
      <c r="A25" s="331" t="s">
        <v>346</v>
      </c>
    </row>
    <row r="26" ht="15.75">
      <c r="A26" s="332"/>
    </row>
    <row r="27" ht="15.75">
      <c r="A27" s="33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Karen Bailey</cp:lastModifiedBy>
  <cp:lastPrinted>2014-07-14T19:51:59Z</cp:lastPrinted>
  <dcterms:created xsi:type="dcterms:W3CDTF">1998-08-26T16:30:41Z</dcterms:created>
  <dcterms:modified xsi:type="dcterms:W3CDTF">2014-08-27T15:09:08Z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