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<sst xmlns="http://schemas.openxmlformats.org/spreadsheetml/2006/main" count="1578" uniqueCount="959">
  <si>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</si>
  <si>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</si>
  <si>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</si>
  <si>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</si>
  <si>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</si>
  <si>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</si>
  <si>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</si>
  <si>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</si>
  <si>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</si>
  <si>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</si>
  <si>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</si>
  <si>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</si>
  <si>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</si>
  <si>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</si>
  <si>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</si>
  <si>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</si>
  <si>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</si>
  <si>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</si>
  <si>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</si>
  <si>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</si>
  <si>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</si>
  <si>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</si>
  <si>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</si>
  <si>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</si>
  <si>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</si>
  <si>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</si>
  <si>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</si>
  <si>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</si>
  <si>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</si>
  <si>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</si>
  <si>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</si>
  <si>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</si>
  <si>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</si>
  <si>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</si>
  <si>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</si>
  <si>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</si>
  <si>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</si>
  <si>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</si>
  <si>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</si>
  <si>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</si>
  <si>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</si>
  <si>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</si>
  <si>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</si>
  <si>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</si>
  <si>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</si>
  <si>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</si>
  <si>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</si>
  <si>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</si>
  <si>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</si>
  <si>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</si>
  <si>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</si>
  <si>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</si>
  <si>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</si>
  <si>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</si>
  <si>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</si>
  <si>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</si>
  <si>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</si>
  <si>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</si>
  <si>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</si>
  <si>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</si>
  <si>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</si>
  <si>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</si>
  <si>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</si>
  <si>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</si>
  <si>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</si>
  <si>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</si>
  <si>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</si>
  <si>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</si>
  <si>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</si>
  <si>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</si>
  <si>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</si>
  <si>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</si>
  <si>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</si>
  <si>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</si>
  <si>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</si>
  <si>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</si>
  <si>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</si>
  <si>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</si>
  <si>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</si>
  <si>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</si>
  <si>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</si>
  <si>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</si>
  <si>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</si>
  <si>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</si>
  <si>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</si>
  <si>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</si>
  <si>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</si>
  <si>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</si>
  <si>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</si>
  <si>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</si>
  <si>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</si>
  <si>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</si>
  <si>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</si>
  <si>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</si>
  <si>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</si>
  <si>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</si>
  <si>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</si>
  <si>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</si>
  <si>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</si>
  <si>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</si>
  <si>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</si>
  <si>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</si>
  <si>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</si>
  <si>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</si>
  <si>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</si>
  <si>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</si>
  <si>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</si>
  <si>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</si>
  <si>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</si>
  <si>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</si>
  <si>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</si>
  <si>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</si>
  <si>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</si>
  <si>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</si>
  <si>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</si>
  <si>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</si>
  <si>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</si>
  <si>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</si>
  <si>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</si>
  <si>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</si>
  <si>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</si>
  <si>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</si>
  <si>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</si>
  <si>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</si>
  <si>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</si>
  <si>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</si>
  <si>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</si>
  <si>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</si>
  <si>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</si>
  <si>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</si>
  <si>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</si>
  <si>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</si>
  <si>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</si>
  <si>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</si>
  <si>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</si>
  <si>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</si>
  <si>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</si>
  <si>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</si>
  <si>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</si>
  <si>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</si>
  <si>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</si>
  <si>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</si>
  <si>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</si>
  <si>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</si>
  <si>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</si>
  <si>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</si>
  <si>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</si>
  <si>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</si>
  <si>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</si>
  <si>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</si>
  <si>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</si>
  <si>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</si>
  <si>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</si>
  <si>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</si>
  <si>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</si>
  <si>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</si>
  <si>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</si>
  <si>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</si>
  <si>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</si>
  <si>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</si>
  <si>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</si>
  <si>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</si>
  <si>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</si>
  <si>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</si>
  <si>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</si>
  <si>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</si>
  <si>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</si>
  <si>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</si>
  <si>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</si>
  <si>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</si>
  <si>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</si>
  <si>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</si>
  <si>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</si>
  <si>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</si>
  <si>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</si>
  <si>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</si>
  <si>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</si>
  <si>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</si>
  <si>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</si>
  <si>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</si>
  <si>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</si>
  <si>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</si>
  <si>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</si>
  <si>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</si>
  <si>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</si>
  <si>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</si>
  <si>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</si>
  <si>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</si>
  <si>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</si>
  <si>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</si>
  <si>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</si>
  <si>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</si>
  <si>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</si>
  <si>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</si>
  <si>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</si>
  <si>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</si>
  <si>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</si>
  <si>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</si>
  <si>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</si>
  <si>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</si>
  <si>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</si>
  <si>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</si>
  <si>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</si>
  <si>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</si>
  <si>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</si>
  <si>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</si>
  <si>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</si>
  <si>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</si>
  <si>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</si>
  <si>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</si>
  <si>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</si>
  <si>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</si>
  <si>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</si>
  <si>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</si>
  <si>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</si>
  <si>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</si>
  <si>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</si>
  <si>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</si>
  <si>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</si>
  <si>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</si>
  <si>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</si>
  <si>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</si>
  <si>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</si>
  <si>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</si>
  <si>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</si>
  <si>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</si>
  <si>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</si>
  <si>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</si>
  <si>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</si>
  <si>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</si>
  <si>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</si>
  <si>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</si>
  <si>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</si>
  <si>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</si>
  <si>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</si>
  <si>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</si>
  <si>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</si>
  <si>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</si>
  <si>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</si>
  <si>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</si>
  <si>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</si>
  <si>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</si>
  <si>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</si>
  <si>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</si>
  <si>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</si>
  <si>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</si>
  <si>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</si>
  <si>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</si>
  <si>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</si>
  <si>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</si>
  <si>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</si>
  <si>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</si>
  <si>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</si>
  <si>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</si>
  <si>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</si>
  <si>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</si>
  <si>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</si>
  <si>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</si>
  <si>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</si>
  <si>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</si>
  <si>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</si>
  <si>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</si>
  <si>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</si>
  <si>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</si>
  <si>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</si>
  <si>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</si>
  <si>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</si>
  <si>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</si>
  <si>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</si>
  <si>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</si>
  <si>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</si>
  <si>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</si>
  <si>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</si>
  <si>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</si>
  <si>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</si>
  <si>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</si>
  <si>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</si>
  <si>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</si>
  <si>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</si>
  <si>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</si>
  <si>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</si>
  <si>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</si>
  <si>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</si>
  <si>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</si>
  <si>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</si>
  <si>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</si>
  <si>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</si>
  <si>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</si>
  <si>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</si>
  <si>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</si>
  <si>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</si>
  <si>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</si>
  <si>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</si>
  <si>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</si>
  <si>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</si>
  <si>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</si>
  <si>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</si>
  <si>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</si>
  <si>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</si>
  <si>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</si>
  <si>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</si>
  <si>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</si>
  <si>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</si>
  <si>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</si>
  <si>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</si>
  <si>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</si>
  <si>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</si>
  <si>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</si>
  <si>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</si>
  <si>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</si>
  <si>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</si>
  <si>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</si>
  <si>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</si>
  <si>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</si>
  <si>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</si>
  <si>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</si>
  <si>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</si>
  <si>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</si>
  <si>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</si>
  <si>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</si>
  <si>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</si>
  <si>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</si>
  <si>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</si>
  <si>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</si>
  <si>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</si>
  <si>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</si>
  <si>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</si>
  <si>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</si>
  <si>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</si>
  <si>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</si>
  <si>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</si>
  <si>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</si>
  <si>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</si>
  <si>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</si>
  <si>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</si>
  <si>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</si>
  <si>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</si>
  <si>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</si>
  <si>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</si>
  <si>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</si>
  <si>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</si>
  <si>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</si>
  <si>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</si>
  <si>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</si>
  <si>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</si>
  <si>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</si>
  <si>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</si>
  <si>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</si>
  <si>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</si>
  <si>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</si>
  <si>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</si>
  <si>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</si>
  <si>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</si>
  <si>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</si>
  <si>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</si>
  <si>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</si>
  <si>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</si>
  <si>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</si>
  <si>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</si>
  <si>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</si>
  <si>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</si>
  <si>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</si>
  <si>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</si>
  <si>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</si>
  <si>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</si>
  <si>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</si>
  <si>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</si>
  <si>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</si>
  <si>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</si>
  <si>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</si>
  <si>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</si>
  <si>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</si>
  <si>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</si>
  <si>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</si>
  <si>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</si>
  <si>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</si>
  <si>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</si>
  <si>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</si>
  <si>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</si>
  <si>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</si>
  <si>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</si>
  <si>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</si>
  <si>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</si>
  <si>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</si>
  <si>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</si>
  <si>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</si>
  <si>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</si>
  <si>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</si>
  <si>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</si>
  <si>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</si>
  <si>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</si>
  <si>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</si>
  <si>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</si>
  <si>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</si>
  <si>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</si>
  <si>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</si>
  <si>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</si>
  <si>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</si>
  <si>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</si>
  <si>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</si>
  <si>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</si>
  <si>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</si>
  <si>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</si>
  <si>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</si>
  <si>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</si>
  <si>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</si>
  <si>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</si>
  <si>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</si>
  <si>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</si>
  <si>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</si>
  <si>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</si>
  <si>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</si>
  <si>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</si>
  <si>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</si>
  <si>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</si>
  <si>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</si>
  <si>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</si>
  <si>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</si>
  <si>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</si>
  <si>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</si>
  <si>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</si>
  <si>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</si>
  <si>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</si>
  <si>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</si>
  <si>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</si>
  <si>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</si>
  <si>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</si>
  <si>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</si>
  <si>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</si>
  <si>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</si>
  <si>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</si>
  <si>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</si>
  <si>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</si>
  <si>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</si>
  <si>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</si>
  <si>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</si>
  <si>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</si>
  <si>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</si>
  <si>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</si>
  <si>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</si>
  <si>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</si>
  <si>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</si>
  <si>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</si>
  <si>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</si>
  <si>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</si>
  <si>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</si>
  <si>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</si>
  <si>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</si>
  <si>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</si>
  <si>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</si>
  <si>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</si>
  <si>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</si>
  <si>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</si>
  <si>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</si>
  <si>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</si>
  <si>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</si>
  <si>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</si>
  <si>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</si>
  <si>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</si>
  <si>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</si>
  <si>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</si>
  <si>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</si>
  <si>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</si>
  <si>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</si>
  <si>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</si>
  <si>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</si>
  <si>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</si>
  <si>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</si>
  <si>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</si>
  <si>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</si>
  <si>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</si>
  <si>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</si>
  <si>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</si>
  <si>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</si>
  <si>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</si>
  <si>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</si>
  <si>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</si>
  <si>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</si>
  <si>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</si>
  <si>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</si>
  <si>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</si>
  <si>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</si>
  <si>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</si>
  <si>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</si>
  <si>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</si>
  <si>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</si>
  <si>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</si>
  <si>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</si>
  <si>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</si>
  <si>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</si>
  <si>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</si>
  <si>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</si>
  <si>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</si>
  <si>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</si>
  <si>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</si>
  <si>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</si>
  <si>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</si>
  <si>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</si>
  <si>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</si>
  <si>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</si>
  <si>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</si>
  <si>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</si>
  <si>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</si>
  <si>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</si>
  <si>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</si>
  <si>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</si>
  <si>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</si>
  <si>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</si>
  <si>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</si>
  <si>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</si>
  <si>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</si>
  <si>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</si>
  <si>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</si>
  <si>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</si>
  <si>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</si>
  <si>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</si>
  <si>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</si>
  <si>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</si>
  <si>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</si>
  <si>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</si>
  <si>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</si>
  <si>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</si>
  <si>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</si>
  <si>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</si>
  <si>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</si>
  <si>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</si>
  <si>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</si>
  <si>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</si>
  <si>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</si>
  <si>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</si>
  <si>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</si>
  <si>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</si>
  <si>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</si>
  <si>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</si>
  <si>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</si>
  <si>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</si>
  <si>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</si>
  <si>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</si>
  <si>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</si>
  <si>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</si>
  <si>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</si>
  <si>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</si>
  <si>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</si>
  <si>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</si>
  <si>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</si>
  <si>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</si>
  <si>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</si>
  <si>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</si>
  <si>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</si>
  <si>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</si>
  <si>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</si>
  <si>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</si>
  <si>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</si>
  <si>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</si>
  <si>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</si>
  <si>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</si>
  <si>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</si>
  <si>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</si>
  <si>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</si>
  <si>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</si>
  <si>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</si>
  <si>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</si>
  <si>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</si>
  <si>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</si>
  <si>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</si>
  <si>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</si>
  <si>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</si>
  <si>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</si>
  <si>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</si>
  <si>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</si>
  <si>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</si>
  <si>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</si>
  <si>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</si>
  <si>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</si>
  <si>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</si>
  <si>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</si>
  <si>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</si>
  <si>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</si>
  <si>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</si>
  <si>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</si>
  <si>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</si>
  <si>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</si>
  <si>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</si>
  <si>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</si>
  <si>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</si>
  <si>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</si>
  <si>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</si>
  <si>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</si>
  <si>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</si>
  <si>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</si>
  <si>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</si>
  <si>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</si>
  <si>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</si>
  <si>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</si>
  <si>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</si>
  <si>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</si>
  <si>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</si>
  <si>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</si>
  <si>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</si>
  <si>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</si>
  <si>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</si>
  <si>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</si>
  <si>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</si>
  <si>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</si>
  <si>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</si>
  <si>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</si>
  <si>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</si>
  <si>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</si>
  <si>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</si>
  <si>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</si>
  <si>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</si>
  <si>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</si>
  <si>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</si>
  <si>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</si>
  <si>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</si>
  <si>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</si>
  <si>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</si>
  <si>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</si>
  <si>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</si>
  <si>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</si>
  <si>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</si>
  <si>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</si>
  <si>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</si>
  <si>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</si>
  <si>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</si>
  <si>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</si>
  <si>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</si>
  <si>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</si>
  <si>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</si>
  <si>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</si>
  <si>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</si>
  <si>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</si>
  <si>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</si>
  <si>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</si>
  <si>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</si>
  <si>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</si>
  <si>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</si>
  <si>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</si>
  <si>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</si>
  <si>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</si>
  <si>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</si>
  <si>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</si>
  <si>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</si>
  <si>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</si>
  <si>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</si>
  <si>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</si>
  <si>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</si>
  <si>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</si>
  <si>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</si>
  <si>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</si>
  <si>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</si>
  <si>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</si>
  <si>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</si>
  <si>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</si>
  <si>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</si>
  <si>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</si>
  <si>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</si>
  <si>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</si>
  <si>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</si>
  <si>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</si>
  <si>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</si>
  <si>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</si>
  <si>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</si>
  <si>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</si>
  <si>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</si>
  <si>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</si>
  <si>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</si>
  <si>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</si>
  <si>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</si>
  <si>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</si>
  <si>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</si>
  <si>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</si>
  <si>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</si>
  <si>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</si>
  <si>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</si>
  <si>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</si>
  <si>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</si>
  <si>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</si>
  <si>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</si>
  <si>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</si>
  <si>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</si>
  <si>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</si>
  <si>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</si>
  <si>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</si>
  <si>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</si>
  <si>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</si>
  <si>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</si>
  <si>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</si>
  <si>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</si>
  <si>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</si>
  <si>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</si>
  <si>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</si>
  <si>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</si>
  <si>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</si>
  <si>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</si>
  <si>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</si>
  <si>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</si>
  <si>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</si>
  <si>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</si>
  <si>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</si>
  <si>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</si>
  <si>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</si>
  <si>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</si>
  <si>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</si>
  <si>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</si>
  <si>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</si>
  <si>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</si>
  <si>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</si>
  <si>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</si>
  <si>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</si>
  <si>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</si>
  <si>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</si>
  <si>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</si>
  <si>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</si>
  <si>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</si>
  <si>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</si>
  <si>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</si>
  <si>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</si>
  <si>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</si>
  <si>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</si>
  <si>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</si>
  <si>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</si>
  <si>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</si>
  <si>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</si>
  <si>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</si>
  <si>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</si>
  <si>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</si>
  <si>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</si>
  <si>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</si>
  <si>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</si>
  <si>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</si>
  <si>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</si>
  <si>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</si>
  <si>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</si>
  <si>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</si>
  <si>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</si>
  <si>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</si>
  <si>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</si>
  <si>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</si>
  <si>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</si>
  <si>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</si>
  <si>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</si>
  <si>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</si>
  <si>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</si>
  <si>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</si>
  <si>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</si>
  <si>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</si>
  <si>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</si>
  <si>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</si>
  <si>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</si>
  <si>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</si>
  <si>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</si>
  <si>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</si>
  <si>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</si>
  <si>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</si>
  <si>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</si>
  <si>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</si>
  <si>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</si>
  <si>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</si>
  <si>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</si>
  <si>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</si>
  <si>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</si>
  <si>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</si>
  <si>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</si>
  <si>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</si>
  <si>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</si>
  <si>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</si>
  <si>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</si>
  <si>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</si>
  <si>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</si>
  <si>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</si>
  <si>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</si>
  <si>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</si>
  <si>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</si>
  <si>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</si>
  <si>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</si>
  <si>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</si>
  <si>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</si>
  <si>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</si>
  <si>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</si>
  <si>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</si>
  <si>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</si>
  <si>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</si>
  <si>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</si>
  <si>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</si>
  <si>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</si>
  <si>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</si>
  <si>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</si>
  <si>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</si>
  <si>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</si>
  <si>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</si>
  <si>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</si>
  <si>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</si>
  <si>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</si>
  <si>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</si>
  <si>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</si>
  <si>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</si>
  <si>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</si>
  <si>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</si>
  <si>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</si>
  <si>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</si>
  <si>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</si>
  <si>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</si>
  <si>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</si>
  <si>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</si>
  <si>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</si>
  <si>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</si>
  <si>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</si>
  <si>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</si>
  <si>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</si>
  <si>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</si>
  <si>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</si>
  <si>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</si>
  <si>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</si>
  <si>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</si>
  <si>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</si>
  <si>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</si>
  <si>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</si>
  <si>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</si>
  <si>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</si>
  <si>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</si>
  <si>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</si>
  <si>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</si>
  <si>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</si>
  <si>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</si>
  <si>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</si>
  <si>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</si>
  <si>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</si>
  <si>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</si>
  <si>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</si>
  <si>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</si>
  <si>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</si>
  <si>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</si>
  <si>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</si>
  <si>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</si>
  <si>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</si>
  <si>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</si>
  <si>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</si>
  <si>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</si>
  <si>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</si>
  <si>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</si>
  <si>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</si>
  <si>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</si>
  <si>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</si>
  <si>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</si>
  <si>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</si>
  <si>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</si>
  <si>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</si>
  <si>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</si>
  <si>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</si>
  <si>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</si>
  <si>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</si>
  <si>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</si>
  <si>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</si>
  <si>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</si>
  <si>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</si>
  <si>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</si>
  <si>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</si>
  <si>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</si>
  <si>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</si>
  <si>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</si>
  <si>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</si>
  <si>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</si>
  <si>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</si>
  <si>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</si>
  <si>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</si>
  <si>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</si>
  <si>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</si>
  <si>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</si>
  <si>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</si>
  <si>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</si>
  <si>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</si>
  <si>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</si>
  <si>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</si>
  <si>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</si>
  <si>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</si>
  <si>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</si>
  <si>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</si>
  <si>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</si>
  <si>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</si>
  <si>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</si>
  <si>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</si>
  <si>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</si>
  <si>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</si>
  <si>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</si>
  <si>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</si>
  <si>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</si>
  <si>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</si>
  <si>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</si>
  <si>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</si>
  <si>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</si>
  <si>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</si>
  <si>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</si>
  <si>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</si>
  <si>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</si>
  <si>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</si>
  <si>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</si>
  <si>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</si>
  <si>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</si>
  <si>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</si>
  <si>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</si>
  <si>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</si>
  <si>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</si>
  <si>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</si>
  <si>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</si>
  <si>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</si>
  <si>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</si>
  <si>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</si>
  <si>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</si>
  <si>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</si>
  <si>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</si>
  <si>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</si>
  <si>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</si>
  <si>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</si>
  <si>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</si>
  <si>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</si>
  <si>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</si>
  <si>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</si>
  <si>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</si>
  <si>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</si>
  <si>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</si>
  <si>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</si>
  <si>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</si>
  <si>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</si>
  <si>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</si>
  <si>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</si>
  <si>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</si>
  <si>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</si>
  <si>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</si>
  <si>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</si>
  <si>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</si>
  <si>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</si>
  <si>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</si>
  <si>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</si>
  <si>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</si>
  <si>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</si>
  <si>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</si>
  <si>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</si>
  <si>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</si>
  <si>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</si>
  <si>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</si>
  <si>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</si>
  <si>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Valley Township</t>
  </si>
  <si>
    <t>Osborne County</t>
  </si>
  <si>
    <t>Weed</t>
  </si>
  <si>
    <t>Publication</t>
  </si>
  <si>
    <t>Chemical</t>
  </si>
  <si>
    <t>Operating</t>
  </si>
  <si>
    <t xml:space="preserve">John Palmer </t>
  </si>
  <si>
    <t>Valley Township Treasurer</t>
  </si>
  <si>
    <t>August 4, 2014</t>
  </si>
  <si>
    <t>8:00 p.m.</t>
  </si>
  <si>
    <t>John Palmer residance, 1290 W. 300th Drive</t>
  </si>
  <si>
    <t>Osborne County Clerk's Office, 423 W. Main</t>
  </si>
  <si>
    <t>Mill levy is 10.548 due to rounding up.</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</si>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</sst>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Valley Township</v>
      </c>
      <c r="C1" s="156"/>
      <c r="D1" s="156"/>
      <c r="E1" s="156"/>
      <c r="F1" s="156"/>
      <c r="G1" s="156"/>
      <c r="H1" s="156"/>
      <c r="I1" s="156"/>
      <c r="J1" s="3"/>
      <c r="K1" s="3"/>
      <c r="L1" s="4">
        <f>inputPrYr!D5</f>
        <v>2015</v>
      </c>
    </row>
    <row r="2" spans="2:12" ht="15">
      <c r="B2" s="155" t="str">
        <f>inputPrYr!$D$3</f>
        <v>Osborne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04"/>
      <c r="D18" s="804"/>
      <c r="E18" s="804"/>
      <c r="F18" s="804"/>
      <c r="G18" s="804"/>
      <c r="H18" s="804"/>
      <c r="I18" s="804"/>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729</v>
      </c>
      <c r="C2" s="827"/>
      <c r="D2" s="827"/>
      <c r="E2" s="827"/>
      <c r="F2" s="827"/>
      <c r="G2" s="827"/>
      <c r="H2" s="827"/>
      <c r="I2" s="827"/>
    </row>
    <row r="3" spans="2:9" ht="15">
      <c r="B3" s="827" t="s">
        <v>730</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Valley Township</v>
      </c>
      <c r="C7" s="531"/>
      <c r="D7" s="531"/>
      <c r="E7" s="531"/>
      <c r="F7" s="531"/>
      <c r="G7" s="531"/>
      <c r="H7" s="531"/>
      <c r="I7" s="531"/>
    </row>
    <row r="8" spans="2:9" ht="15">
      <c r="B8" s="532" t="str">
        <f>inputPrYr!D3</f>
        <v>Osborne County</v>
      </c>
      <c r="C8" s="531"/>
      <c r="D8" s="531"/>
      <c r="E8" s="531"/>
      <c r="F8" s="531"/>
      <c r="G8" s="531"/>
      <c r="H8" s="531"/>
      <c r="I8" s="531"/>
    </row>
    <row r="9" spans="2:9" ht="15">
      <c r="B9" s="531"/>
      <c r="C9" s="531"/>
      <c r="D9" s="531"/>
      <c r="E9" s="531"/>
      <c r="F9" s="531"/>
      <c r="G9" s="531"/>
      <c r="H9" s="531"/>
      <c r="I9" s="531"/>
    </row>
    <row r="10" spans="2:9" ht="39" customHeight="1">
      <c r="B10" s="829" t="s">
        <v>731</v>
      </c>
      <c r="C10" s="829"/>
      <c r="D10" s="829"/>
      <c r="E10" s="829"/>
      <c r="F10" s="829"/>
      <c r="G10" s="829"/>
      <c r="H10" s="829"/>
      <c r="I10" s="829"/>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944190</v>
      </c>
      <c r="F27" s="531"/>
      <c r="G27" s="536">
        <f>summ!G37</f>
        <v>976209</v>
      </c>
      <c r="H27" s="531"/>
      <c r="I27" s="531"/>
    </row>
    <row r="28" spans="2:9" ht="15">
      <c r="B28" s="531" t="s">
        <v>739</v>
      </c>
      <c r="C28" s="531"/>
      <c r="D28" s="531"/>
      <c r="E28" s="541" t="str">
        <f>IF(G27-E27&gt;=0,"No","Yes")</f>
        <v>No</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743</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745</v>
      </c>
      <c r="C43" s="831"/>
      <c r="D43" s="831"/>
      <c r="E43" s="831"/>
      <c r="F43" s="831"/>
      <c r="G43" s="831"/>
      <c r="H43" s="831"/>
      <c r="I43" s="831"/>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2">
      <c r="B52" s="549"/>
      <c r="C52" s="549"/>
      <c r="D52" s="549"/>
      <c r="E52" s="549"/>
      <c r="F52" s="549"/>
      <c r="G52" s="549"/>
      <c r="H52" s="549"/>
      <c r="I52" s="549"/>
    </row>
    <row r="53" spans="2:9" ht="15">
      <c r="B53" s="550" t="s">
        <v>750</v>
      </c>
      <c r="C53" s="549"/>
      <c r="D53" s="549"/>
      <c r="E53" s="549"/>
      <c r="F53" s="549"/>
      <c r="G53" s="549"/>
      <c r="H53" s="549"/>
      <c r="I53" s="549"/>
    </row>
    <row r="54" spans="2:9" ht="12">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2">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2">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2">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2">
      <c r="B70" s="551"/>
      <c r="C70" s="551"/>
      <c r="D70" s="551"/>
      <c r="E70" s="551"/>
      <c r="F70" s="551"/>
      <c r="G70" s="549"/>
      <c r="H70" s="549"/>
      <c r="I70" s="549"/>
    </row>
    <row r="71" spans="2:9" ht="15">
      <c r="B71" s="550" t="s">
        <v>762</v>
      </c>
      <c r="C71" s="551"/>
      <c r="D71" s="551"/>
      <c r="E71" s="551"/>
      <c r="F71" s="551"/>
      <c r="G71" s="549"/>
      <c r="H71" s="549"/>
      <c r="I71" s="549"/>
    </row>
    <row r="72" spans="2:9" ht="12">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2">
      <c r="B75" s="551"/>
      <c r="C75" s="551"/>
      <c r="D75" s="551"/>
      <c r="E75" s="551"/>
      <c r="F75" s="551"/>
      <c r="G75" s="549"/>
      <c r="H75" s="549"/>
      <c r="I75" s="549"/>
    </row>
    <row r="76" spans="2:9" ht="15">
      <c r="B76" s="550" t="s">
        <v>765</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2">
      <c r="B80" s="551"/>
      <c r="C80" s="551"/>
      <c r="D80" s="551"/>
      <c r="E80" s="551"/>
      <c r="F80" s="551"/>
      <c r="G80" s="549"/>
      <c r="H80" s="549"/>
      <c r="I80" s="549"/>
    </row>
    <row r="81" spans="2:9" ht="15">
      <c r="B81" s="550" t="s">
        <v>364</v>
      </c>
      <c r="C81" s="551"/>
      <c r="D81" s="551"/>
      <c r="E81" s="551"/>
      <c r="F81" s="551"/>
      <c r="G81" s="549"/>
      <c r="H81" s="549"/>
      <c r="I81" s="549"/>
    </row>
    <row r="82" spans="2:9" ht="12">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2">
      <c r="B95" s="551"/>
      <c r="C95" s="551"/>
      <c r="D95" s="551"/>
      <c r="E95" s="551"/>
      <c r="F95" s="551"/>
      <c r="G95" s="549"/>
      <c r="H95" s="549"/>
      <c r="I95" s="549"/>
    </row>
    <row r="96" spans="2:9" ht="15">
      <c r="B96" s="550" t="s">
        <v>774</v>
      </c>
      <c r="C96" s="551"/>
      <c r="D96" s="551"/>
      <c r="E96" s="551"/>
      <c r="F96" s="551"/>
      <c r="G96" s="549"/>
      <c r="H96" s="549"/>
      <c r="I96" s="549"/>
    </row>
    <row r="97" spans="2:9" ht="12">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2">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4.25">
      <c r="B105" s="712" t="s">
        <v>886</v>
      </c>
      <c r="C105" s="713"/>
      <c r="D105" s="713"/>
      <c r="E105" s="713"/>
      <c r="F105" s="713"/>
      <c r="G105" s="549"/>
      <c r="H105" s="549"/>
      <c r="I105" s="549"/>
    </row>
    <row r="108" ht="12">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4">
      <selection activeCell="E38" sqref="E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Valley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118</v>
      </c>
      <c r="D6" s="364">
        <f>C51</f>
        <v>131</v>
      </c>
      <c r="E6" s="21">
        <f>D51</f>
        <v>23</v>
      </c>
    </row>
    <row r="7" spans="2:5" ht="15">
      <c r="B7" s="16" t="s">
        <v>111</v>
      </c>
      <c r="C7" s="364"/>
      <c r="D7" s="364"/>
      <c r="E7" s="22"/>
    </row>
    <row r="8" spans="2:5" ht="15">
      <c r="B8" s="16" t="s">
        <v>16</v>
      </c>
      <c r="C8" s="18">
        <v>1231</v>
      </c>
      <c r="D8" s="364">
        <f>IF(inputPrYr!H15&gt;0,inputPrYr!G16,inputPrYr!E16)</f>
        <v>1417</v>
      </c>
      <c r="E8" s="22" t="s">
        <v>266</v>
      </c>
    </row>
    <row r="9" spans="2:5" ht="15">
      <c r="B9" s="16" t="s">
        <v>17</v>
      </c>
      <c r="C9" s="18">
        <v>4</v>
      </c>
      <c r="D9" s="18">
        <v>0</v>
      </c>
      <c r="E9" s="23"/>
    </row>
    <row r="10" spans="2:5" ht="15">
      <c r="B10" s="16" t="s">
        <v>18</v>
      </c>
      <c r="C10" s="18">
        <v>56</v>
      </c>
      <c r="D10" s="18">
        <v>65</v>
      </c>
      <c r="E10" s="21">
        <f>mvalloc!G11</f>
        <v>54</v>
      </c>
    </row>
    <row r="11" spans="2:5" ht="15">
      <c r="B11" s="16" t="s">
        <v>19</v>
      </c>
      <c r="C11" s="18">
        <v>1</v>
      </c>
      <c r="D11" s="18">
        <v>1</v>
      </c>
      <c r="E11" s="21">
        <f>mvalloc!I11</f>
        <v>1</v>
      </c>
    </row>
    <row r="12" spans="2:5" ht="15">
      <c r="B12" s="24" t="s">
        <v>69</v>
      </c>
      <c r="C12" s="18">
        <v>31</v>
      </c>
      <c r="D12" s="18">
        <v>30</v>
      </c>
      <c r="E12" s="21">
        <f>mvalloc!J11</f>
        <v>30</v>
      </c>
    </row>
    <row r="13" spans="2:5" ht="15">
      <c r="B13" s="24" t="s">
        <v>138</v>
      </c>
      <c r="C13" s="18"/>
      <c r="D13" s="18">
        <v>0</v>
      </c>
      <c r="E13" s="21">
        <f>inputOth!E35</f>
        <v>0</v>
      </c>
    </row>
    <row r="14" spans="2:5" ht="15">
      <c r="B14" s="16" t="s">
        <v>20</v>
      </c>
      <c r="C14" s="18">
        <v>332</v>
      </c>
      <c r="D14" s="18">
        <v>279</v>
      </c>
      <c r="E14" s="21">
        <f>inputOth!E12</f>
        <v>248</v>
      </c>
    </row>
    <row r="15" spans="2:5" ht="15">
      <c r="B15" s="26"/>
      <c r="C15" s="18"/>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1655</v>
      </c>
      <c r="D26" s="366">
        <f>SUM(D8:D24)</f>
        <v>1792</v>
      </c>
      <c r="E26" s="31">
        <f>SUM(E8:E24)</f>
        <v>333</v>
      </c>
    </row>
    <row r="27" spans="2:5" ht="15">
      <c r="B27" s="32" t="s">
        <v>24</v>
      </c>
      <c r="C27" s="366">
        <f>C26+C6</f>
        <v>1773</v>
      </c>
      <c r="D27" s="366">
        <f>D26+D6</f>
        <v>1923</v>
      </c>
      <c r="E27" s="31">
        <f>E26+E6</f>
        <v>356</v>
      </c>
    </row>
    <row r="28" spans="2:5" ht="15">
      <c r="B28" s="16" t="s">
        <v>25</v>
      </c>
      <c r="C28" s="364"/>
      <c r="D28" s="364"/>
      <c r="E28" s="21"/>
    </row>
    <row r="29" spans="2:5" ht="15">
      <c r="B29" s="26"/>
      <c r="C29" s="18"/>
      <c r="D29" s="18"/>
      <c r="E29" s="23"/>
    </row>
    <row r="30" spans="2:5" ht="15">
      <c r="B30" s="27" t="s">
        <v>101</v>
      </c>
      <c r="C30" s="18">
        <v>1050</v>
      </c>
      <c r="D30" s="18">
        <v>1000</v>
      </c>
      <c r="E30" s="23">
        <v>1100</v>
      </c>
    </row>
    <row r="31" spans="2:5" ht="15">
      <c r="B31" s="27" t="s">
        <v>116</v>
      </c>
      <c r="C31" s="18"/>
      <c r="D31" s="18"/>
      <c r="E31" s="23"/>
    </row>
    <row r="32" spans="2:5" ht="15">
      <c r="B32" s="27" t="s">
        <v>102</v>
      </c>
      <c r="C32" s="18"/>
      <c r="D32" s="18"/>
      <c r="E32" s="23"/>
    </row>
    <row r="33" spans="2:5" ht="15">
      <c r="B33" s="27" t="s">
        <v>36</v>
      </c>
      <c r="C33" s="18"/>
      <c r="D33" s="18"/>
      <c r="E33" s="23"/>
    </row>
    <row r="34" spans="2:5" ht="15">
      <c r="B34" s="26" t="s">
        <v>103</v>
      </c>
      <c r="C34" s="18"/>
      <c r="D34" s="18"/>
      <c r="E34" s="23"/>
    </row>
    <row r="35" spans="2:5" ht="15">
      <c r="B35" s="26" t="s">
        <v>117</v>
      </c>
      <c r="C35" s="18"/>
      <c r="D35" s="18"/>
      <c r="E35" s="23"/>
    </row>
    <row r="36" spans="2:5" ht="15">
      <c r="B36" s="27" t="s">
        <v>119</v>
      </c>
      <c r="C36" s="18">
        <v>504</v>
      </c>
      <c r="D36" s="18">
        <v>900</v>
      </c>
      <c r="E36" s="23">
        <v>600</v>
      </c>
    </row>
    <row r="37" spans="2:5" ht="15">
      <c r="B37" s="27" t="s">
        <v>945</v>
      </c>
      <c r="C37" s="18">
        <v>88</v>
      </c>
      <c r="D37" s="18"/>
      <c r="E37" s="23">
        <v>100</v>
      </c>
    </row>
    <row r="38" spans="2:5" ht="15">
      <c r="B38" s="26"/>
      <c r="C38" s="18"/>
      <c r="D38" s="18"/>
      <c r="E38" s="23"/>
    </row>
    <row r="39" spans="2:5" ht="15">
      <c r="B39" s="27"/>
      <c r="C39" s="18"/>
      <c r="D39" s="18"/>
      <c r="E39" s="23"/>
    </row>
    <row r="40" spans="2:5" ht="15">
      <c r="B40" s="27"/>
      <c r="C40" s="18"/>
      <c r="D40" s="18"/>
      <c r="E40" s="23"/>
    </row>
    <row r="41" spans="2:10" ht="15.7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1642</v>
      </c>
      <c r="D50" s="358">
        <f>SUM(D29:D48)</f>
        <v>1900</v>
      </c>
      <c r="E50" s="36">
        <f>SUM(E29:E43,E45,E47:E48)</f>
        <v>1800</v>
      </c>
      <c r="G50" s="459">
        <f>D51</f>
        <v>23</v>
      </c>
      <c r="H50" s="460" t="str">
        <f>CONCATENATE("",E1-1," Ending Cash Balance (est.)")</f>
        <v>2014 Ending Cash Balance (est.)</v>
      </c>
      <c r="I50" s="461"/>
      <c r="J50" s="245"/>
    </row>
    <row r="51" spans="2:10" ht="15">
      <c r="B51" s="16" t="s">
        <v>110</v>
      </c>
      <c r="C51" s="359">
        <f>C27-C50</f>
        <v>131</v>
      </c>
      <c r="D51" s="359">
        <f>SUM(D27-D50)</f>
        <v>23</v>
      </c>
      <c r="E51" s="22" t="s">
        <v>266</v>
      </c>
      <c r="G51" s="459">
        <f>E26</f>
        <v>333</v>
      </c>
      <c r="H51" s="462" t="str">
        <f>CONCATENATE("",E1," Non-AV Receipts (est.)")</f>
        <v>2015 Non-AV Receipts (est.)</v>
      </c>
      <c r="I51" s="461"/>
      <c r="J51" s="245"/>
    </row>
    <row r="52" spans="2:11" ht="15">
      <c r="B52" s="266" t="str">
        <f>CONCATENATE("",E1-2,"/",E1-1,"/",E1," Budget Authority Amount:")</f>
        <v>2013/2014/2015 Budget Authority Amount:</v>
      </c>
      <c r="C52" s="52">
        <f>inputOth!B46</f>
        <v>1664</v>
      </c>
      <c r="D52" s="52">
        <f>inputPrYr!D16</f>
        <v>1900</v>
      </c>
      <c r="E52" s="21">
        <f>E50</f>
        <v>1800</v>
      </c>
      <c r="F52" s="39"/>
      <c r="G52" s="463">
        <f>IF(D56&gt;0,E55,E57)</f>
        <v>1444</v>
      </c>
      <c r="H52" s="462" t="str">
        <f>CONCATENATE("",E1," Ad Valorem Tax (est.)")</f>
        <v>2015 Ad Valorem Tax (est.)</v>
      </c>
      <c r="I52" s="461"/>
      <c r="J52" s="245"/>
      <c r="K52" s="674">
        <f>IF(G52=E57,"","Note: Does not include Delinquent Taxes")</f>
      </c>
    </row>
    <row r="53" spans="2:10" ht="15">
      <c r="B53" s="37"/>
      <c r="C53" s="834" t="s">
        <v>587</v>
      </c>
      <c r="D53" s="835"/>
      <c r="E53" s="23"/>
      <c r="F53" s="457">
        <f>IF(E50/0.95-E50&lt;E53,"Exceeds 5%","")</f>
      </c>
      <c r="G53" s="459">
        <f>SUM(G50:G52)</f>
        <v>1800</v>
      </c>
      <c r="H53" s="462" t="str">
        <f>CONCATENATE("Total ",E1," Resources Available")</f>
        <v>Total 2015 Resources Available</v>
      </c>
      <c r="I53" s="461"/>
      <c r="J53" s="245"/>
    </row>
    <row r="54" spans="2:10" ht="15">
      <c r="B54" s="370" t="str">
        <f>CONCATENATE(C72,"     ",D72)</f>
        <v>     </v>
      </c>
      <c r="C54" s="836" t="s">
        <v>588</v>
      </c>
      <c r="D54" s="837"/>
      <c r="E54" s="21">
        <f>E50+E53</f>
        <v>1800</v>
      </c>
      <c r="G54" s="464"/>
      <c r="H54" s="462"/>
      <c r="I54" s="462"/>
      <c r="J54" s="245"/>
    </row>
    <row r="55" spans="2:10" ht="15">
      <c r="B55" s="370" t="str">
        <f>CONCATENATE(C73,"     ",D73)</f>
        <v>     </v>
      </c>
      <c r="C55" s="49"/>
      <c r="D55" s="41" t="s">
        <v>28</v>
      </c>
      <c r="E55" s="35">
        <f>IF(E54-E27&gt;0,E54-E27,0)</f>
        <v>1444</v>
      </c>
      <c r="G55" s="463">
        <f>ROUND(C50*0.05+C50,0)</f>
        <v>1724</v>
      </c>
      <c r="H55" s="462" t="str">
        <f>CONCATENATE("Less ",E1-2," Expenditures + 5%")</f>
        <v>Less 2013 Expenditures + 5%</v>
      </c>
      <c r="I55" s="461"/>
      <c r="J55" s="245"/>
    </row>
    <row r="56" spans="2:10" ht="15">
      <c r="B56" s="41"/>
      <c r="C56" s="374" t="s">
        <v>589</v>
      </c>
      <c r="D56" s="662">
        <f>inputOth!$E$40</f>
        <v>0</v>
      </c>
      <c r="E56" s="21">
        <f>ROUND(IF(D56&gt;0,(E55*D56),0),0)</f>
        <v>0</v>
      </c>
      <c r="G56" s="465">
        <f>G53-G55</f>
        <v>76</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1444</v>
      </c>
    </row>
    <row r="58" spans="2:10" ht="1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1.479</v>
      </c>
      <c r="H60" s="460" t="str">
        <f>CONCATENATE("",E1," Fund Mill Rate")</f>
        <v>2015 Fund Mill Rate</v>
      </c>
      <c r="I60" s="664"/>
      <c r="J60" s="676"/>
      <c r="K60" s="5"/>
    </row>
    <row r="61" spans="2:10" ht="15.75">
      <c r="B61" s="41" t="s">
        <v>9</v>
      </c>
      <c r="C61" s="376">
        <f>IF(inputPrYr!D18&gt;0,7,6)</f>
        <v>6</v>
      </c>
      <c r="D61" s="3"/>
      <c r="E61" s="44"/>
      <c r="G61" s="678">
        <f>summ!F18</f>
        <v>1.501</v>
      </c>
      <c r="H61" s="460" t="str">
        <f>CONCATENATE("",E1-1," Fund Mill Rate")</f>
        <v>2014 Fund Mill Rate</v>
      </c>
      <c r="I61" s="664"/>
      <c r="J61" s="676"/>
    </row>
    <row r="62" spans="7:10" ht="15.75">
      <c r="G62" s="679">
        <f>summ!I32</f>
        <v>11.08</v>
      </c>
      <c r="H62" s="460" t="str">
        <f>CONCATENATE("Total ",E1," Mill Rate")</f>
        <v>Total 2015 Mill Rate</v>
      </c>
      <c r="I62" s="664"/>
      <c r="J62" s="676"/>
    </row>
    <row r="63" spans="2:10" ht="15.75">
      <c r="B63" s="1"/>
      <c r="G63" s="678">
        <f>summ!F32</f>
        <v>11.222</v>
      </c>
      <c r="H63" s="680" t="str">
        <f>CONCATENATE("Total ",E1-1," Mill Rate")</f>
        <v>Total 2014 Mill Rate</v>
      </c>
      <c r="I63" s="681"/>
      <c r="J63" s="682"/>
    </row>
    <row r="64" spans="7:10" ht="15">
      <c r="G64" s="665"/>
      <c r="H64" s="469"/>
      <c r="I64" s="469"/>
      <c r="J64" s="667"/>
    </row>
    <row r="65" spans="7:10" ht="15">
      <c r="G65" s="751" t="s">
        <v>898</v>
      </c>
      <c r="H65" s="716"/>
      <c r="I65" s="715" t="str">
        <f>cert!F37</f>
        <v>Yes</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Valley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4" t="str">
        <f>CONCATENATE("Projected Carryover Into ",E1+1,"")</f>
        <v>Projected Carryover Into 2016</v>
      </c>
      <c r="H31" s="847"/>
      <c r="I31" s="847"/>
      <c r="J31" s="848"/>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587</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588</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785</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11.08</v>
      </c>
      <c r="H45" s="607" t="str">
        <f>CONCATENATE("Total ",E1," Mill Rate")</f>
        <v>Total 2015 Mill Rate</v>
      </c>
      <c r="I45" s="629"/>
      <c r="J45" s="630"/>
    </row>
    <row r="46" spans="2:10" ht="15">
      <c r="B46" s="569" t="s">
        <v>123</v>
      </c>
      <c r="C46" s="574">
        <v>0</v>
      </c>
      <c r="D46" s="571">
        <f>C74</f>
        <v>0</v>
      </c>
      <c r="E46" s="572">
        <f>D74</f>
        <v>0</v>
      </c>
      <c r="F46" s="610"/>
      <c r="G46" s="632">
        <f>summ!F32</f>
        <v>11.222</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Yes</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4" t="str">
        <f>CONCATENATE("Projected Carryover Into ",E1+1,"")</f>
        <v>Projected Carryover Into 2016</v>
      </c>
      <c r="H71" s="854"/>
      <c r="I71" s="854"/>
      <c r="J71" s="848"/>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587</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588</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785</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11.08</v>
      </c>
      <c r="H85" s="607" t="str">
        <f>CONCATENATE("Total ",E1," Mill Rate")</f>
        <v>Total 2015 Mill Rate</v>
      </c>
      <c r="I85" s="629"/>
      <c r="J85" s="630"/>
    </row>
    <row r="86" spans="7:10" ht="15">
      <c r="G86" s="632">
        <f>summ!F32</f>
        <v>11.222</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Yes</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E31" sqref="E3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Valley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v>922</v>
      </c>
      <c r="D6" s="364">
        <f>C44</f>
        <v>1245</v>
      </c>
      <c r="E6" s="21">
        <f>D44</f>
        <v>338</v>
      </c>
    </row>
    <row r="7" spans="2:5" ht="15">
      <c r="B7" s="16" t="s">
        <v>111</v>
      </c>
      <c r="C7" s="364"/>
      <c r="D7" s="364"/>
      <c r="E7" s="22"/>
    </row>
    <row r="8" spans="2:5" ht="15">
      <c r="B8" s="16" t="s">
        <v>16</v>
      </c>
      <c r="C8" s="18">
        <v>8394</v>
      </c>
      <c r="D8" s="364">
        <f>IF(inputPrYr!H15&gt;0,inputPrYr!G19,inputPrYr!E19)</f>
        <v>8782</v>
      </c>
      <c r="E8" s="22" t="s">
        <v>266</v>
      </c>
    </row>
    <row r="9" spans="2:5" ht="15">
      <c r="B9" s="16" t="s">
        <v>17</v>
      </c>
      <c r="C9" s="18">
        <v>26</v>
      </c>
      <c r="D9" s="18">
        <v>0</v>
      </c>
      <c r="E9" s="23"/>
    </row>
    <row r="10" spans="2:5" ht="15">
      <c r="B10" s="16" t="s">
        <v>18</v>
      </c>
      <c r="C10" s="18">
        <v>336</v>
      </c>
      <c r="D10" s="18">
        <v>446</v>
      </c>
      <c r="E10" s="21">
        <f>mvalloc!G14</f>
        <v>332</v>
      </c>
    </row>
    <row r="11" spans="2:5" ht="15">
      <c r="B11" s="16" t="s">
        <v>19</v>
      </c>
      <c r="C11" s="18">
        <v>5</v>
      </c>
      <c r="D11" s="18">
        <v>4</v>
      </c>
      <c r="E11" s="21">
        <f>mvalloc!I14</f>
        <v>5</v>
      </c>
    </row>
    <row r="12" spans="2:5" ht="15">
      <c r="B12" s="16" t="s">
        <v>99</v>
      </c>
      <c r="C12" s="18">
        <v>230</v>
      </c>
      <c r="D12" s="18">
        <v>198</v>
      </c>
      <c r="E12" s="21">
        <f>mvalloc!J14</f>
        <v>190</v>
      </c>
    </row>
    <row r="13" spans="2:5" ht="15">
      <c r="B13" s="16" t="s">
        <v>100</v>
      </c>
      <c r="C13" s="18">
        <v>934</v>
      </c>
      <c r="D13" s="18">
        <v>900</v>
      </c>
      <c r="E13" s="21">
        <f>inputOth!E36</f>
        <v>900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9925</v>
      </c>
      <c r="D23" s="366">
        <f>SUM(D8:D21)</f>
        <v>10330</v>
      </c>
      <c r="E23" s="31">
        <f>SUM(E8:E21)</f>
        <v>1427</v>
      </c>
    </row>
    <row r="24" spans="2:5" ht="15">
      <c r="B24" s="32" t="s">
        <v>24</v>
      </c>
      <c r="C24" s="366">
        <f>C23+C6</f>
        <v>10847</v>
      </c>
      <c r="D24" s="366">
        <f>D23+D6</f>
        <v>11575</v>
      </c>
      <c r="E24" s="31">
        <f>E23+E6</f>
        <v>1765</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v>2000</v>
      </c>
      <c r="E28" s="23"/>
    </row>
    <row r="29" spans="2:5" ht="15">
      <c r="B29" s="27" t="s">
        <v>105</v>
      </c>
      <c r="C29" s="18">
        <v>4137</v>
      </c>
      <c r="D29" s="18">
        <v>4300</v>
      </c>
      <c r="E29" s="23">
        <v>4500</v>
      </c>
    </row>
    <row r="30" spans="2:5" ht="15">
      <c r="B30" s="27" t="s">
        <v>103</v>
      </c>
      <c r="C30" s="18">
        <v>5465</v>
      </c>
      <c r="D30" s="18">
        <v>4500</v>
      </c>
      <c r="E30" s="23">
        <v>5708</v>
      </c>
    </row>
    <row r="31" spans="2:5" ht="15">
      <c r="B31" s="27"/>
      <c r="C31" s="18"/>
      <c r="D31" s="18">
        <v>437</v>
      </c>
      <c r="E31" s="23"/>
    </row>
    <row r="32" spans="2:5" ht="15">
      <c r="B32" s="27"/>
      <c r="C32" s="18"/>
      <c r="D32" s="18"/>
      <c r="E32" s="23"/>
    </row>
    <row r="33" spans="2:5" ht="15">
      <c r="B33" s="27"/>
      <c r="C33" s="18"/>
      <c r="D33" s="18"/>
      <c r="E33" s="23"/>
    </row>
    <row r="34" spans="2:10" ht="15.7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9602</v>
      </c>
      <c r="D43" s="366">
        <f>SUM(D26:D38,D40:D41)</f>
        <v>11237</v>
      </c>
      <c r="E43" s="31">
        <f>SUM(E26:E38,E40:E41)</f>
        <v>10208</v>
      </c>
      <c r="G43" s="459">
        <f>D44</f>
        <v>338</v>
      </c>
      <c r="H43" s="460" t="str">
        <f>CONCATENATE("",E1-1," Ending Cash Balance (est.)")</f>
        <v>2014 Ending Cash Balance (est.)</v>
      </c>
      <c r="I43" s="461"/>
      <c r="J43" s="245"/>
    </row>
    <row r="44" spans="2:10" ht="15">
      <c r="B44" s="16" t="s">
        <v>110</v>
      </c>
      <c r="C44" s="359">
        <f>C24-C43</f>
        <v>1245</v>
      </c>
      <c r="D44" s="359">
        <f>D24-D43</f>
        <v>338</v>
      </c>
      <c r="E44" s="22" t="s">
        <v>266</v>
      </c>
      <c r="G44" s="459">
        <f>E23</f>
        <v>1427</v>
      </c>
      <c r="H44" s="462" t="str">
        <f>CONCATENATE("",E1," Non-AV Receipts (est.)")</f>
        <v>2015 Non-AV Receipts (est.)</v>
      </c>
      <c r="I44" s="461"/>
      <c r="J44" s="245"/>
    </row>
    <row r="45" spans="2:11" ht="15">
      <c r="B45" s="266" t="str">
        <f>CONCATENATE("",E1-2,"/",E1-1,"/",E1," Budget Authority Amount:")</f>
        <v>2013/2014/2015 Budget Authority Amount:</v>
      </c>
      <c r="C45" s="52">
        <f>inputOth!B49</f>
        <v>9700</v>
      </c>
      <c r="D45" s="52">
        <f>inputPrYr!D19</f>
        <v>11237</v>
      </c>
      <c r="E45" s="21">
        <f>E43</f>
        <v>10208</v>
      </c>
      <c r="F45" s="39"/>
      <c r="G45" s="463">
        <f>IF(D49&gt;0,E48,E50)</f>
        <v>8443</v>
      </c>
      <c r="H45" s="462" t="str">
        <f>CONCATENATE("",E1," Ad Valorem Tax (est.)")</f>
        <v>2015 Ad Valorem Tax (est.)</v>
      </c>
      <c r="I45" s="461"/>
      <c r="J45" s="245"/>
      <c r="K45" s="674">
        <f>IF(G45=E50,"","Note: Does not include Delinquent Taxes")</f>
      </c>
    </row>
    <row r="46" spans="2:10" ht="15">
      <c r="B46" s="37"/>
      <c r="C46" s="834" t="s">
        <v>587</v>
      </c>
      <c r="D46" s="835"/>
      <c r="E46" s="23"/>
      <c r="F46" s="457">
        <f>IF(E43/0.95-E43&lt;E46,"Exceeds 5%","")</f>
      </c>
      <c r="G46" s="459">
        <f>SUM(G43:G45)</f>
        <v>10208</v>
      </c>
      <c r="H46" s="462" t="str">
        <f>CONCATENATE("Total ",E1," Resources Available")</f>
        <v>Total 2015 Resources Available</v>
      </c>
      <c r="I46" s="461"/>
      <c r="J46" s="245"/>
    </row>
    <row r="47" spans="2:10" ht="15">
      <c r="B47" s="370" t="str">
        <f>CONCATENATE(C74,"     ",D74)</f>
        <v>     </v>
      </c>
      <c r="C47" s="836" t="s">
        <v>588</v>
      </c>
      <c r="D47" s="837"/>
      <c r="E47" s="21">
        <f>E43+E46</f>
        <v>10208</v>
      </c>
      <c r="G47" s="464"/>
      <c r="H47" s="462"/>
      <c r="I47" s="462"/>
      <c r="J47" s="245"/>
    </row>
    <row r="48" spans="2:10" ht="15">
      <c r="B48" s="370" t="str">
        <f>CONCATENATE(C75,"     ",D75)</f>
        <v>     </v>
      </c>
      <c r="C48" s="49"/>
      <c r="D48" s="41" t="s">
        <v>28</v>
      </c>
      <c r="E48" s="35">
        <f>IF(E47-E24&gt;0,E47-E24,0)</f>
        <v>8443</v>
      </c>
      <c r="G48" s="463">
        <f>ROUND(C43*0.05+C43,0)</f>
        <v>10082</v>
      </c>
      <c r="H48" s="462" t="str">
        <f>CONCATENATE("Less ",E1-2," Expenditures + 5%")</f>
        <v>Less 2013 Expenditures + 5%</v>
      </c>
      <c r="I48" s="461"/>
      <c r="J48" s="245"/>
    </row>
    <row r="49" spans="2:10" ht="15">
      <c r="B49" s="41"/>
      <c r="C49" s="374" t="s">
        <v>589</v>
      </c>
      <c r="D49" s="662">
        <f>inputOth!$E$40</f>
        <v>0</v>
      </c>
      <c r="E49" s="21">
        <f>ROUND(IF(D49&gt;0,(E48*D49),0),0)</f>
        <v>0</v>
      </c>
      <c r="G49" s="465">
        <f>G46-G48</f>
        <v>126</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8443</v>
      </c>
    </row>
    <row r="51" spans="2:10" ht="1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summ!I21</f>
        <v>8.649</v>
      </c>
      <c r="H53" s="460" t="str">
        <f>CONCATENATE("",E1," Fund Mill Rate")</f>
        <v>2015 Fund Mill Rate</v>
      </c>
      <c r="I53" s="664"/>
      <c r="J53" s="676"/>
    </row>
    <row r="54" spans="2:10" ht="15.75">
      <c r="B54" s="60" t="s">
        <v>31</v>
      </c>
      <c r="C54" s="375" t="str">
        <f>CONCATENATE("",E1-2," Actual Year")</f>
        <v>2013 Actual Year</v>
      </c>
      <c r="D54" s="3"/>
      <c r="E54" s="3"/>
      <c r="G54" s="678">
        <f>summ!F21</f>
        <v>9.302</v>
      </c>
      <c r="H54" s="460" t="str">
        <f>CONCATENATE("",E1-1," Fund Mill Rate")</f>
        <v>2014 Fund Mill Rate</v>
      </c>
      <c r="I54" s="664"/>
      <c r="J54" s="676"/>
    </row>
    <row r="55" spans="2:10" ht="15.75">
      <c r="B55" s="61" t="s">
        <v>14</v>
      </c>
      <c r="C55" s="119"/>
      <c r="D55" s="3"/>
      <c r="E55" s="3"/>
      <c r="G55" s="679">
        <f>summ!I32</f>
        <v>11.08</v>
      </c>
      <c r="H55" s="460" t="str">
        <f>CONCATENATE("Total ",E1," Mill Rate")</f>
        <v>Total 2015 Mill Rate</v>
      </c>
      <c r="I55" s="664"/>
      <c r="J55" s="676"/>
    </row>
    <row r="56" spans="2:10" ht="15.75">
      <c r="B56" s="61" t="s">
        <v>33</v>
      </c>
      <c r="C56" s="121"/>
      <c r="D56" s="3"/>
      <c r="E56" s="3"/>
      <c r="G56" s="678">
        <f>summ!F32</f>
        <v>11.222</v>
      </c>
      <c r="H56" s="680" t="str">
        <f>CONCATENATE("Total ",E1-1," Mill Rate")</f>
        <v>Total 2014 Mill Rate</v>
      </c>
      <c r="I56" s="681"/>
      <c r="J56" s="682"/>
    </row>
    <row r="57" spans="2:5" ht="15">
      <c r="B57" s="61" t="s">
        <v>34</v>
      </c>
      <c r="C57" s="373">
        <f>C38</f>
        <v>0</v>
      </c>
      <c r="D57" s="63"/>
      <c r="E57" s="3"/>
    </row>
    <row r="58" spans="2:9" ht="15">
      <c r="B58" s="61" t="s">
        <v>223</v>
      </c>
      <c r="C58" s="373">
        <f>gen!C43</f>
        <v>0</v>
      </c>
      <c r="D58" s="855">
        <f>IF(AND(C58&gt;0,C59&gt;0),"Not Auth. Two General Transfers - Only One","")</f>
      </c>
      <c r="E58" s="856"/>
      <c r="G58" s="754" t="s">
        <v>898</v>
      </c>
      <c r="H58" s="716"/>
      <c r="I58" s="715" t="str">
        <f>cert!F37</f>
        <v>Yes</v>
      </c>
    </row>
    <row r="59" spans="2:5" ht="15">
      <c r="B59" s="64" t="s">
        <v>224</v>
      </c>
      <c r="C59" s="373">
        <f>gen!C45</f>
        <v>0</v>
      </c>
      <c r="D59" s="857"/>
      <c r="E59" s="856"/>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E25" sqref="E2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Valley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t="str">
        <f>inputPrYr!B20</f>
        <v>Weed</v>
      </c>
      <c r="C5" s="363" t="str">
        <f>gen!C5</f>
        <v>Actual for 2013</v>
      </c>
      <c r="D5" s="363" t="str">
        <f>gen!D5</f>
        <v>Estimate for 2014</v>
      </c>
      <c r="E5" s="15" t="str">
        <f>gen!E5</f>
        <v>Year for 2015</v>
      </c>
    </row>
    <row r="6" spans="2:5" ht="15">
      <c r="B6" s="16" t="s">
        <v>109</v>
      </c>
      <c r="C6" s="18">
        <v>449</v>
      </c>
      <c r="D6" s="364">
        <f>C34</f>
        <v>483</v>
      </c>
      <c r="E6" s="21">
        <f>D34</f>
        <v>47</v>
      </c>
    </row>
    <row r="7" spans="2:5" ht="15">
      <c r="B7" s="16" t="s">
        <v>111</v>
      </c>
      <c r="C7" s="364"/>
      <c r="D7" s="364"/>
      <c r="E7" s="22"/>
    </row>
    <row r="8" spans="2:5" ht="15">
      <c r="B8" s="16" t="s">
        <v>16</v>
      </c>
      <c r="C8" s="18">
        <v>906</v>
      </c>
      <c r="D8" s="364">
        <f>IF(inputPrYr!H15&gt;0,inputPrYr!G20,inputPrYr!E20)</f>
        <v>395</v>
      </c>
      <c r="E8" s="22" t="s">
        <v>266</v>
      </c>
    </row>
    <row r="9" spans="2:5" ht="15">
      <c r="B9" s="16" t="s">
        <v>17</v>
      </c>
      <c r="C9" s="18">
        <v>3</v>
      </c>
      <c r="D9" s="18">
        <v>0</v>
      </c>
      <c r="E9" s="23"/>
    </row>
    <row r="10" spans="2:5" ht="15">
      <c r="B10" s="16" t="s">
        <v>18</v>
      </c>
      <c r="C10" s="18">
        <v>49</v>
      </c>
      <c r="D10" s="18">
        <v>48</v>
      </c>
      <c r="E10" s="21">
        <f>mvalloc!G15</f>
        <v>15</v>
      </c>
    </row>
    <row r="11" spans="2:5" ht="15">
      <c r="B11" s="16" t="s">
        <v>19</v>
      </c>
      <c r="C11" s="18">
        <v>1</v>
      </c>
      <c r="D11" s="18">
        <v>0</v>
      </c>
      <c r="E11" s="21">
        <f>mvalloc!I15</f>
        <v>0</v>
      </c>
    </row>
    <row r="12" spans="2:5" ht="15">
      <c r="B12" s="24" t="s">
        <v>69</v>
      </c>
      <c r="C12" s="18">
        <v>27</v>
      </c>
      <c r="D12" s="18">
        <v>21</v>
      </c>
      <c r="E12" s="21">
        <f>mvalloc!J15</f>
        <v>9</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986</v>
      </c>
      <c r="D20" s="366">
        <f>SUM(D8:D18)</f>
        <v>464</v>
      </c>
      <c r="E20" s="31">
        <f>SUM(E8:E18)</f>
        <v>24</v>
      </c>
    </row>
    <row r="21" spans="2:5" ht="15">
      <c r="B21" s="32" t="s">
        <v>24</v>
      </c>
      <c r="C21" s="366">
        <f>C20+C6</f>
        <v>1435</v>
      </c>
      <c r="D21" s="366">
        <f>D20+D6</f>
        <v>947</v>
      </c>
      <c r="E21" s="31">
        <f>E20+E6</f>
        <v>71</v>
      </c>
    </row>
    <row r="22" spans="2:5" ht="15">
      <c r="B22" s="16" t="s">
        <v>25</v>
      </c>
      <c r="C22" s="364"/>
      <c r="D22" s="364"/>
      <c r="E22" s="21"/>
    </row>
    <row r="23" spans="2:5" ht="15">
      <c r="B23" s="27" t="s">
        <v>103</v>
      </c>
      <c r="C23" s="18">
        <v>420</v>
      </c>
      <c r="D23" s="18">
        <v>500</v>
      </c>
      <c r="E23" s="23">
        <v>500</v>
      </c>
    </row>
    <row r="24" spans="2:11" ht="15">
      <c r="B24" s="27" t="s">
        <v>946</v>
      </c>
      <c r="C24" s="18">
        <v>457</v>
      </c>
      <c r="D24" s="18">
        <v>400</v>
      </c>
      <c r="E24" s="23">
        <v>500</v>
      </c>
      <c r="G24" s="844" t="str">
        <f>CONCATENATE("Desired Carryover Into ",E1+1,"")</f>
        <v>Desired Carryover Into 2016</v>
      </c>
      <c r="H24" s="845"/>
      <c r="I24" s="845"/>
      <c r="J24" s="846"/>
      <c r="K24" s="557"/>
    </row>
    <row r="25" spans="2:11" ht="15">
      <c r="B25" s="27" t="s">
        <v>947</v>
      </c>
      <c r="C25" s="18">
        <v>75</v>
      </c>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952</v>
      </c>
      <c r="D33" s="366">
        <f>SUM(D23:D31)</f>
        <v>900</v>
      </c>
      <c r="E33" s="31">
        <f>SUM(E23:E31)</f>
        <v>1000</v>
      </c>
      <c r="G33" s="606">
        <f>D34</f>
        <v>47</v>
      </c>
      <c r="H33" s="607" t="str">
        <f>CONCATENATE("",E1-1," Ending Cash Balance (est.)")</f>
        <v>2014 Ending Cash Balance (est.)</v>
      </c>
      <c r="I33" s="608"/>
      <c r="J33" s="603"/>
      <c r="K33" s="557"/>
    </row>
    <row r="34" spans="2:11" ht="15">
      <c r="B34" s="16" t="s">
        <v>110</v>
      </c>
      <c r="C34" s="359">
        <f>C21-C33</f>
        <v>483</v>
      </c>
      <c r="D34" s="359">
        <f>D21-D33</f>
        <v>47</v>
      </c>
      <c r="E34" s="22" t="s">
        <v>266</v>
      </c>
      <c r="G34" s="606">
        <f>E20</f>
        <v>24</v>
      </c>
      <c r="H34" s="590" t="str">
        <f>CONCATENATE("",E1," Non-AV Receipts (est.)")</f>
        <v>2015 Non-AV Receipts (est.)</v>
      </c>
      <c r="I34" s="608"/>
      <c r="J34" s="603"/>
      <c r="K34" s="557"/>
    </row>
    <row r="35" spans="2:11" ht="15">
      <c r="B35" s="266" t="str">
        <f>CONCATENATE("",E1-2,"/",E1-1,"/",E1," Budget Authority Amount:")</f>
        <v>2013/2014/2015 Budget Authority Amount:</v>
      </c>
      <c r="C35" s="52">
        <f>inputOth!B50</f>
        <v>1000</v>
      </c>
      <c r="D35" s="52">
        <f>inputPrYr!D20</f>
        <v>900</v>
      </c>
      <c r="E35" s="21">
        <f>E33</f>
        <v>1000</v>
      </c>
      <c r="F35" s="39"/>
      <c r="G35" s="613">
        <f>IF(E39&gt;0,E38,E40)</f>
        <v>929</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1000</v>
      </c>
      <c r="H36" s="590" t="str">
        <f>CONCATENATE("Total ",E1," Resources Available")</f>
        <v>Total 2015 Resources Available</v>
      </c>
      <c r="I36" s="608"/>
      <c r="J36" s="603"/>
      <c r="K36" s="557"/>
    </row>
    <row r="37" spans="2:11" ht="15">
      <c r="B37" s="370" t="str">
        <f>CONCATENATE(C92,"     ",D92)</f>
        <v>     </v>
      </c>
      <c r="C37" s="836" t="s">
        <v>588</v>
      </c>
      <c r="D37" s="837"/>
      <c r="E37" s="21">
        <f>E33+E36</f>
        <v>1000</v>
      </c>
      <c r="G37" s="617"/>
      <c r="H37" s="590"/>
      <c r="I37" s="590"/>
      <c r="J37" s="603"/>
      <c r="K37" s="557"/>
    </row>
    <row r="38" spans="2:11" ht="15">
      <c r="B38" s="370" t="str">
        <f>CONCATENATE(C93,"     ",D93)</f>
        <v>     </v>
      </c>
      <c r="C38" s="49"/>
      <c r="D38" s="41" t="s">
        <v>28</v>
      </c>
      <c r="E38" s="35">
        <f>IF(E37-E21&gt;0,E37-E21,0)</f>
        <v>929</v>
      </c>
      <c r="G38" s="613">
        <f>C33*0.05+C33</f>
        <v>999.6</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0.39999999999997726</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929</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f>summ!I22</f>
        <v>0.952</v>
      </c>
      <c r="H43" s="607" t="str">
        <f>CONCATENATE("",E1," Fund Mill Rate")</f>
        <v>2015 Fund Mill Rate</v>
      </c>
      <c r="I43" s="629"/>
      <c r="J43" s="630"/>
      <c r="K43" s="557"/>
    </row>
    <row r="44" spans="2:11" ht="15">
      <c r="B44" s="3"/>
      <c r="C44" s="362" t="s">
        <v>11</v>
      </c>
      <c r="D44" s="365" t="s">
        <v>12</v>
      </c>
      <c r="E44" s="12" t="s">
        <v>13</v>
      </c>
      <c r="G44" s="632">
        <f>summ!F22</f>
        <v>0.419</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11.08</v>
      </c>
      <c r="H45" s="607" t="str">
        <f>CONCATENATE("Total ",E1," Mill Rate")</f>
        <v>Total 2015 Mill Rate</v>
      </c>
      <c r="I45" s="629"/>
      <c r="J45" s="630"/>
      <c r="K45" s="557"/>
    </row>
    <row r="46" spans="2:11" ht="15">
      <c r="B46" s="16" t="s">
        <v>109</v>
      </c>
      <c r="C46" s="18"/>
      <c r="D46" s="364">
        <f>C74</f>
        <v>0</v>
      </c>
      <c r="E46" s="21">
        <f>D74</f>
        <v>0</v>
      </c>
      <c r="G46" s="632">
        <f>summ!F32</f>
        <v>11.222</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11.08</v>
      </c>
      <c r="H85" s="607" t="str">
        <f>CONCATENATE("Total ",E1," Mill Rate")</f>
        <v>Total 2015 Mill Rate</v>
      </c>
      <c r="I85" s="629"/>
      <c r="J85" s="630"/>
      <c r="K85" s="557"/>
    </row>
    <row r="86" spans="7:11" ht="15">
      <c r="G86" s="632">
        <f>summ!F32</f>
        <v>11.222</v>
      </c>
      <c r="H86" s="635" t="str">
        <f>CONCATENATE("Total ",E1-1," Mill Rate")</f>
        <v>Total 2014 Mill Rate</v>
      </c>
      <c r="I86" s="636"/>
      <c r="J86" s="637"/>
      <c r="K86" s="557"/>
    </row>
    <row r="88" spans="7:9" ht="15">
      <c r="G88" s="756"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Valley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11.08</v>
      </c>
      <c r="H45" s="607" t="str">
        <f>CONCATENATE("Total ",E1," Mill Rate")</f>
        <v>Total 2015 Mill Rate</v>
      </c>
      <c r="I45" s="629"/>
      <c r="J45" s="630"/>
      <c r="K45" s="557"/>
    </row>
    <row r="46" spans="2:11" ht="15">
      <c r="B46" s="16" t="s">
        <v>109</v>
      </c>
      <c r="C46" s="18"/>
      <c r="D46" s="364">
        <f>C74</f>
        <v>0</v>
      </c>
      <c r="E46" s="21">
        <f>D74</f>
        <v>0</v>
      </c>
      <c r="G46" s="632">
        <f>summ!F32</f>
        <v>11.222</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11.08</v>
      </c>
      <c r="H85" s="607" t="str">
        <f>CONCATENATE("Total ",E1," Mill Rate")</f>
        <v>Total 2015 Mill Rate</v>
      </c>
      <c r="I85" s="629"/>
      <c r="J85" s="630"/>
      <c r="K85" s="557"/>
    </row>
    <row r="86" spans="7:11" ht="15">
      <c r="G86" s="632">
        <f>summ!F32</f>
        <v>11.222</v>
      </c>
      <c r="H86" s="635" t="str">
        <f>CONCATENATE("Total ",E1-1," Mill Rate")</f>
        <v>Total 2014 Mill Rate</v>
      </c>
      <c r="I86" s="636"/>
      <c r="J86" s="637"/>
      <c r="K86" s="557"/>
    </row>
    <row r="88" spans="7:9" ht="15">
      <c r="G88" s="758"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Valley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11.08</v>
      </c>
      <c r="H45" s="607" t="str">
        <f>CONCATENATE("Total ",E1," Mill Rate")</f>
        <v>Total 2015 Mill Rate</v>
      </c>
      <c r="I45" s="629"/>
      <c r="J45" s="630"/>
      <c r="K45" s="557"/>
    </row>
    <row r="46" spans="2:11" ht="15">
      <c r="B46" s="16" t="s">
        <v>109</v>
      </c>
      <c r="C46" s="18"/>
      <c r="D46" s="364">
        <f>C74</f>
        <v>0</v>
      </c>
      <c r="E46" s="21">
        <f>D74</f>
        <v>0</v>
      </c>
      <c r="G46" s="632">
        <f>summ!F32</f>
        <v>11.222</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588</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11.08</v>
      </c>
      <c r="H85" s="607" t="str">
        <f>CONCATENATE("Total ",E1," Mill Rate")</f>
        <v>Total 2015 Mill Rate</v>
      </c>
      <c r="I85" s="629"/>
      <c r="J85" s="630"/>
      <c r="K85" s="557"/>
    </row>
    <row r="86" spans="7:11" ht="15">
      <c r="G86" s="632">
        <f>summ!F32</f>
        <v>11.222</v>
      </c>
      <c r="H86" s="635" t="str">
        <f>CONCATENATE("Total ",E1-1," Mill Rate")</f>
        <v>Total 2014 Mill Rate</v>
      </c>
      <c r="I86" s="636"/>
      <c r="J86" s="637"/>
      <c r="K86" s="557"/>
    </row>
    <row r="88" spans="7:9" ht="15">
      <c r="G88" s="760"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Valley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Valley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6">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4" t="s">
        <v>717</v>
      </c>
      <c r="H7" s="785"/>
    </row>
    <row r="8" spans="1:8" ht="15">
      <c r="A8" s="133" t="s">
        <v>177</v>
      </c>
      <c r="B8" s="137"/>
      <c r="C8" s="137"/>
      <c r="D8" s="137"/>
      <c r="E8" s="137"/>
      <c r="F8" s="3"/>
      <c r="G8" s="786"/>
      <c r="H8" s="785"/>
    </row>
    <row r="9" spans="1:8" ht="15">
      <c r="A9" s="3"/>
      <c r="B9" s="3"/>
      <c r="C9" s="3"/>
      <c r="D9" s="3"/>
      <c r="E9" s="3"/>
      <c r="F9" s="3"/>
      <c r="G9" s="786"/>
      <c r="H9" s="785"/>
    </row>
    <row r="10" spans="1:8" ht="15">
      <c r="A10" s="782" t="s">
        <v>135</v>
      </c>
      <c r="B10" s="783"/>
      <c r="C10" s="783"/>
      <c r="D10" s="783"/>
      <c r="E10" s="783"/>
      <c r="F10" s="3"/>
      <c r="G10" s="786"/>
      <c r="H10" s="785"/>
    </row>
    <row r="11" spans="1:8" ht="15">
      <c r="A11" s="57"/>
      <c r="B11" s="3"/>
      <c r="C11" s="3"/>
      <c r="D11" s="3"/>
      <c r="E11" s="3"/>
      <c r="F11" s="3"/>
      <c r="G11" s="786"/>
      <c r="H11" s="785"/>
    </row>
    <row r="12" spans="1:8" ht="15">
      <c r="A12" s="289" t="s">
        <v>126</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1900</v>
      </c>
      <c r="E16" s="176">
        <v>1417</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v>11237</v>
      </c>
      <c r="E19" s="176">
        <v>8782</v>
      </c>
      <c r="G19" s="21">
        <f>IF(H15&gt;0,ROUND(E19-(E19*H15),0),0)</f>
        <v>0</v>
      </c>
    </row>
    <row r="20" spans="1:7" ht="15">
      <c r="A20" s="3"/>
      <c r="B20" s="356" t="s">
        <v>944</v>
      </c>
      <c r="C20" s="357"/>
      <c r="D20" s="176">
        <v>900</v>
      </c>
      <c r="E20" s="176">
        <v>395</v>
      </c>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10594</v>
      </c>
    </row>
    <row r="27" spans="1:5" ht="15.7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14037</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1.404</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v>9.576</v>
      </c>
      <c r="E45" s="3"/>
    </row>
    <row r="46" spans="1:5" ht="15">
      <c r="A46" s="3"/>
      <c r="B46" s="61" t="str">
        <f t="shared" si="0"/>
        <v>Weed</v>
      </c>
      <c r="C46" s="3"/>
      <c r="D46" s="304">
        <v>1.034</v>
      </c>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12.014000000000001</v>
      </c>
      <c r="E52" s="3"/>
    </row>
    <row r="53" spans="1:5" ht="15.75" thickTop="1">
      <c r="A53" s="3"/>
      <c r="B53" s="3"/>
      <c r="C53" s="3"/>
      <c r="D53" s="3"/>
      <c r="E53" s="3"/>
    </row>
    <row r="54" spans="1:5" ht="15">
      <c r="A54" s="307" t="str">
        <f>CONCATENATE("Total Tax Levied (",D5-2," budget column)")</f>
        <v>Total Tax Levied (2013 budget column)</v>
      </c>
      <c r="B54" s="308"/>
      <c r="C54" s="9"/>
      <c r="D54" s="247"/>
      <c r="E54" s="176">
        <v>10563</v>
      </c>
    </row>
    <row r="55" spans="1:5" ht="15">
      <c r="A55" s="309" t="str">
        <f>CONCATENATE("Assessed Valuation (",D5-2," budget column)")</f>
        <v>Assessed Valuation (2013 budget column)</v>
      </c>
      <c r="B55" s="310"/>
      <c r="C55" s="255"/>
      <c r="D55" s="17"/>
      <c r="E55" s="176">
        <v>874344</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19.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9">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75">
      <c r="B2" s="817" t="s">
        <v>71</v>
      </c>
      <c r="C2" s="807"/>
      <c r="D2" s="807"/>
      <c r="E2" s="807"/>
      <c r="F2" s="807"/>
      <c r="G2" s="807"/>
      <c r="H2" s="807"/>
      <c r="I2" s="807"/>
    </row>
    <row r="3" spans="2:9" ht="15">
      <c r="B3" s="3"/>
      <c r="C3" s="3"/>
      <c r="D3" s="3"/>
      <c r="E3" s="3"/>
      <c r="F3" s="3"/>
      <c r="G3" s="11" t="s">
        <v>37</v>
      </c>
      <c r="H3" s="11" t="s">
        <v>38</v>
      </c>
      <c r="I3" s="3"/>
    </row>
    <row r="4" spans="2:9" ht="15">
      <c r="B4" s="796" t="s">
        <v>39</v>
      </c>
      <c r="C4" s="796"/>
      <c r="D4" s="796"/>
      <c r="E4" s="796"/>
      <c r="F4" s="796"/>
      <c r="G4" s="796"/>
      <c r="H4" s="796"/>
      <c r="I4" s="796"/>
    </row>
    <row r="5" spans="2:9" ht="15">
      <c r="B5" s="805" t="str">
        <f>inputPrYr!D2</f>
        <v>Valley Township</v>
      </c>
      <c r="C5" s="805"/>
      <c r="D5" s="805"/>
      <c r="E5" s="805"/>
      <c r="F5" s="805"/>
      <c r="G5" s="805"/>
      <c r="H5" s="805"/>
      <c r="I5" s="805"/>
    </row>
    <row r="6" spans="2:9" ht="15">
      <c r="B6" s="805" t="str">
        <f>inputPrYr!D3</f>
        <v>Osborne County</v>
      </c>
      <c r="C6" s="805"/>
      <c r="D6" s="805"/>
      <c r="E6" s="805"/>
      <c r="F6" s="805"/>
      <c r="G6" s="805"/>
      <c r="H6" s="805"/>
      <c r="I6" s="805"/>
    </row>
    <row r="7" spans="2:9" ht="15">
      <c r="B7" s="796" t="str">
        <f>CONCATENATE("will meet on ",inputBudSum!B8," at ",inputBudSum!B10," at ",inputBudSum!B12," for the purpose of hearing and")</f>
        <v>will meet on August 4, 2014 at 8:00 p.m. at John Palmer residance, 1290 W. 300th Drive for the purpose of hearing and</v>
      </c>
      <c r="C7" s="796"/>
      <c r="D7" s="796"/>
      <c r="E7" s="796"/>
      <c r="F7" s="796"/>
      <c r="G7" s="796"/>
      <c r="H7" s="796"/>
      <c r="I7" s="796"/>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Osborne County Clerk's Office, 423 W. Main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
      <c r="B16" s="3"/>
      <c r="C16" s="145"/>
      <c r="D16" s="145" t="s">
        <v>41</v>
      </c>
      <c r="E16" s="145"/>
      <c r="F16" s="145" t="s">
        <v>41</v>
      </c>
      <c r="G16" s="145" t="s">
        <v>185</v>
      </c>
      <c r="H16" s="861"/>
      <c r="I16" s="145" t="s">
        <v>41</v>
      </c>
      <c r="J16" s="138"/>
    </row>
    <row r="17" spans="2:10" ht="15">
      <c r="B17" s="14" t="s">
        <v>262</v>
      </c>
      <c r="C17" s="15" t="s">
        <v>42</v>
      </c>
      <c r="D17" s="15" t="s">
        <v>43</v>
      </c>
      <c r="E17" s="15" t="s">
        <v>42</v>
      </c>
      <c r="F17" s="15" t="s">
        <v>43</v>
      </c>
      <c r="G17" s="15" t="s">
        <v>684</v>
      </c>
      <c r="H17" s="862"/>
      <c r="I17" s="15" t="s">
        <v>43</v>
      </c>
      <c r="J17" s="138"/>
    </row>
    <row r="18" spans="2:10" ht="15">
      <c r="B18" s="74" t="str">
        <f>inputPrYr!B16</f>
        <v>General</v>
      </c>
      <c r="C18" s="52">
        <f>IF(gen!$C$50&lt;&gt;0,gen!$C$50,"  ")</f>
        <v>1642</v>
      </c>
      <c r="D18" s="499">
        <f>IF(inputPrYr!D42&gt;0,inputPrYr!D42,"  ")</f>
        <v>1.404</v>
      </c>
      <c r="E18" s="21">
        <f>IF(gen!$D$50&lt;&gt;0,gen!$D$50,"  ")</f>
        <v>1900</v>
      </c>
      <c r="F18" s="224">
        <f>IF(inputOth!D17&gt;0,inputOth!D17,"  ")</f>
        <v>1.501</v>
      </c>
      <c r="G18" s="21">
        <f>IF(gen!$E$50&lt;&gt;0,gen!$E$50,"  ")</f>
        <v>1800</v>
      </c>
      <c r="H18" s="21">
        <f>IF(gen!$E$57&lt;&gt;0,gen!$E$57," ")</f>
        <v>1444</v>
      </c>
      <c r="I18" s="501">
        <f>IF(gen!E57&gt;0,ROUND(H18/$G$37*1000,3)," ")</f>
        <v>1.479</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9602</v>
      </c>
      <c r="D21" s="499">
        <f>IF(inputPrYr!D45&gt;0,inputPrYr!D45,"  ")</f>
        <v>9.576</v>
      </c>
      <c r="E21" s="21">
        <f>IF(road!$D$43&lt;&gt;0,road!$D$43,"  ")</f>
        <v>11237</v>
      </c>
      <c r="F21" s="224">
        <f>IF(inputOth!D20&gt;0,inputOth!D20,"  ")</f>
        <v>9.302</v>
      </c>
      <c r="G21" s="21">
        <f>IF(road!$E$43&lt;&gt;0,road!$E$43,"  ")</f>
        <v>10208</v>
      </c>
      <c r="H21" s="21">
        <f>IF(road!$E$50&lt;&gt;0,road!$E$50,"  ")</f>
        <v>8443</v>
      </c>
      <c r="I21" s="501">
        <f>IF(road!E50&gt;0,ROUND(H21/$G$37*1000,3)," ")</f>
        <v>8.649</v>
      </c>
      <c r="K21" s="866" t="str">
        <f>CONCATENATE("Estimated Value Of One Mill For ",I1,"")</f>
        <v>Estimated Value Of One Mill For 2015</v>
      </c>
      <c r="L21" s="871"/>
      <c r="M21" s="871"/>
      <c r="N21" s="872"/>
    </row>
    <row r="22" spans="2:14" ht="15">
      <c r="B22" s="74" t="str">
        <f>IF(inputPrYr!$B20&gt;"  ",inputPrYr!$B20,"  ")</f>
        <v>Weed</v>
      </c>
      <c r="C22" s="21">
        <f>IF(levypage9!$C$33&lt;&gt;0,levypage9!$C$33,"  ")</f>
        <v>952</v>
      </c>
      <c r="D22" s="499">
        <f>IF(inputPrYr!D46&gt;0,inputPrYr!D46,"  ")</f>
        <v>1.034</v>
      </c>
      <c r="E22" s="21">
        <f>IF(levypage9!$D$33&lt;&gt;0,levypage9!$D$33,"  ")</f>
        <v>900</v>
      </c>
      <c r="F22" s="224">
        <f>IF(inputOth!D21&gt;0,inputOth!D21,"  ")</f>
        <v>0.419</v>
      </c>
      <c r="G22" s="21">
        <f>IF(levypage9!$E$33&lt;&gt;0,levypage9!$E$33,"  ")</f>
        <v>1000</v>
      </c>
      <c r="H22" s="21">
        <f>IF(levypage9!$E$40&lt;&gt;0,levypage9!$E$40,"  ")</f>
        <v>929</v>
      </c>
      <c r="I22" s="501">
        <f>IF(levypage9!E40&gt;0,ROUND(H22/$G$37*1000,3)," ")</f>
        <v>0.952</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976</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11.222</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139</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t="str">
        <f>IF(road!C64&lt;&gt;0,road!C64,"  ")</f>
        <v>  </v>
      </c>
      <c r="D31" s="455"/>
      <c r="E31" s="500"/>
      <c r="F31" s="455"/>
      <c r="G31" s="500"/>
      <c r="H31" s="500"/>
      <c r="I31" s="455"/>
      <c r="K31" s="489"/>
      <c r="L31" s="489"/>
      <c r="M31" s="489"/>
      <c r="N31" s="489"/>
    </row>
    <row r="32" spans="2:14" ht="15">
      <c r="B32" s="61" t="s">
        <v>265</v>
      </c>
      <c r="C32" s="502">
        <f aca="true" t="shared" si="0" ref="C32:I32">SUM(C18:C31)</f>
        <v>12196</v>
      </c>
      <c r="D32" s="453">
        <f t="shared" si="0"/>
        <v>12.014000000000001</v>
      </c>
      <c r="E32" s="502">
        <f t="shared" si="0"/>
        <v>14037</v>
      </c>
      <c r="F32" s="453">
        <f t="shared" si="0"/>
        <v>11.222</v>
      </c>
      <c r="G32" s="502">
        <f t="shared" si="0"/>
        <v>13008</v>
      </c>
      <c r="H32" s="502">
        <f t="shared" si="0"/>
        <v>10816</v>
      </c>
      <c r="I32" s="505">
        <f t="shared" si="0"/>
        <v>11.08</v>
      </c>
      <c r="K32" s="866" t="str">
        <f>CONCATENATE("Impact On Keeping The Same Mill Rate As For ",I1-1,"")</f>
        <v>Impact On Keeping The Same Mill Rate As For 2014</v>
      </c>
      <c r="L32" s="867"/>
      <c r="M32" s="867"/>
      <c r="N32" s="868"/>
    </row>
    <row r="33" spans="2:14" ht="15">
      <c r="B33" s="261" t="s">
        <v>44</v>
      </c>
      <c r="C33" s="21">
        <f>transfer!C29</f>
        <v>0</v>
      </c>
      <c r="D33" s="3"/>
      <c r="E33" s="21">
        <f>transfer!D29</f>
        <v>0</v>
      </c>
      <c r="F33" s="50"/>
      <c r="G33" s="21">
        <f>transfer!E29</f>
        <v>0</v>
      </c>
      <c r="H33" s="3"/>
      <c r="I33" s="3"/>
      <c r="K33" s="482"/>
      <c r="L33" s="476"/>
      <c r="M33" s="476"/>
      <c r="N33" s="483"/>
    </row>
    <row r="34" spans="2:14" ht="15.75" thickBot="1">
      <c r="B34" s="261" t="s">
        <v>45</v>
      </c>
      <c r="C34" s="503">
        <f>C32-C33</f>
        <v>12196</v>
      </c>
      <c r="D34" s="3"/>
      <c r="E34" s="503">
        <f>E32-E33</f>
        <v>14037</v>
      </c>
      <c r="F34" s="3"/>
      <c r="G34" s="503">
        <f>G32-G33</f>
        <v>13008</v>
      </c>
      <c r="H34" s="3"/>
      <c r="I34" s="3"/>
      <c r="K34" s="482" t="str">
        <f>CONCATENATE("",I1," Ad Valorem Tax Revenue:")</f>
        <v>2015 Ad Valorem Tax Revenue:</v>
      </c>
      <c r="L34" s="476"/>
      <c r="M34" s="476"/>
      <c r="N34" s="477">
        <f>H32</f>
        <v>10816</v>
      </c>
    </row>
    <row r="35" spans="2:14" ht="15.75" thickTop="1">
      <c r="B35" s="261" t="s">
        <v>46</v>
      </c>
      <c r="C35" s="504">
        <f>inputPrYr!E54</f>
        <v>10563</v>
      </c>
      <c r="D35" s="50"/>
      <c r="E35" s="504">
        <f>inputPrYr!E26</f>
        <v>10594</v>
      </c>
      <c r="F35" s="3"/>
      <c r="G35" s="495" t="s">
        <v>266</v>
      </c>
      <c r="H35" s="3"/>
      <c r="I35" s="3"/>
      <c r="K35" s="482" t="str">
        <f>CONCATENATE("",I1-1," Ad Valorem Tax Revenue:")</f>
        <v>2014 Ad Valorem Tax Revenue:</v>
      </c>
      <c r="L35" s="476"/>
      <c r="M35" s="476"/>
      <c r="N35" s="490">
        <f>ROUND(G37*N27/1000,0)</f>
        <v>10955</v>
      </c>
    </row>
    <row r="36" spans="2:14" ht="15">
      <c r="B36" s="261" t="s">
        <v>47</v>
      </c>
      <c r="C36" s="44"/>
      <c r="D36" s="50"/>
      <c r="E36" s="44"/>
      <c r="F36" s="50"/>
      <c r="G36" s="3"/>
      <c r="H36" s="3"/>
      <c r="I36" s="3"/>
      <c r="K36" s="487" t="s">
        <v>682</v>
      </c>
      <c r="L36" s="488"/>
      <c r="M36" s="488"/>
      <c r="N36" s="480">
        <f>N34-N35</f>
        <v>-139</v>
      </c>
    </row>
    <row r="37" spans="2:14" ht="15">
      <c r="B37" s="261" t="s">
        <v>48</v>
      </c>
      <c r="C37" s="21">
        <f>inputPrYr!E55</f>
        <v>874344</v>
      </c>
      <c r="D37" s="3"/>
      <c r="E37" s="21">
        <f>inputOth!E29</f>
        <v>944190</v>
      </c>
      <c r="F37" s="3"/>
      <c r="G37" s="21">
        <f>inputOth!E7</f>
        <v>976209</v>
      </c>
      <c r="H37" s="3"/>
      <c r="I37" s="3"/>
      <c r="K37" s="481"/>
      <c r="L37" s="481"/>
      <c r="M37" s="481"/>
      <c r="N37" s="489"/>
    </row>
    <row r="38" spans="2:14" ht="15.75">
      <c r="B38" s="11" t="s">
        <v>49</v>
      </c>
      <c r="C38" s="3"/>
      <c r="D38" s="3"/>
      <c r="E38" s="3"/>
      <c r="F38" s="3"/>
      <c r="G38" s="3"/>
      <c r="H38" s="3"/>
      <c r="I38" s="3"/>
      <c r="K38" s="866" t="s">
        <v>683</v>
      </c>
      <c r="L38" s="869"/>
      <c r="M38" s="869"/>
      <c r="N38" s="870"/>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11.08</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5" t="str">
        <f>inputBudSum!B4</f>
        <v>John Palmer </v>
      </c>
      <c r="C46" s="865"/>
      <c r="D46" s="3"/>
      <c r="E46" s="3"/>
      <c r="F46" s="3"/>
      <c r="G46" s="3"/>
      <c r="H46" s="3"/>
      <c r="I46" s="3"/>
    </row>
    <row r="47" spans="2:9" ht="15.75">
      <c r="B47" s="863" t="str">
        <f>inputBudSum!B6</f>
        <v>Valley Township Treasurer</v>
      </c>
      <c r="C47" s="864"/>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Valley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t="str">
        <f>inputPrYr!B20</f>
        <v>Weed</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976209</v>
      </c>
      <c r="E19" s="3"/>
      <c r="F19" s="118"/>
    </row>
    <row r="20" spans="1:6" ht="15.75">
      <c r="A20" s="3"/>
      <c r="B20" s="3"/>
      <c r="C20" s="3"/>
      <c r="D20" s="3"/>
      <c r="E20" s="3"/>
      <c r="F20" s="118"/>
    </row>
    <row r="21" spans="1:6" ht="15.75">
      <c r="A21" s="3"/>
      <c r="B21" s="875" t="s">
        <v>338</v>
      </c>
      <c r="C21" s="875"/>
      <c r="D21" s="126">
        <f>IF(D19&gt;0,(D19*0.001),"")</f>
        <v>976.2090000000001</v>
      </c>
      <c r="E21" s="3"/>
      <c r="F21" s="118"/>
    </row>
    <row r="22" spans="1:6" ht="15.75">
      <c r="A22" s="3"/>
      <c r="B22" s="37"/>
      <c r="C22" s="37"/>
      <c r="D22" s="127"/>
      <c r="E22" s="3"/>
      <c r="F22" s="118"/>
    </row>
    <row r="23" spans="1:6" ht="15.75">
      <c r="A23" s="873" t="s">
        <v>340</v>
      </c>
      <c r="B23" s="807"/>
      <c r="C23" s="807"/>
      <c r="D23" s="128">
        <f>inputOth!E13</f>
        <v>0</v>
      </c>
      <c r="E23" s="129"/>
      <c r="F23" s="129"/>
    </row>
    <row r="24" spans="1:6" ht="15.75">
      <c r="A24" s="129"/>
      <c r="B24" s="129"/>
      <c r="C24" s="129"/>
      <c r="D24" s="130"/>
      <c r="E24" s="129"/>
      <c r="F24" s="129"/>
    </row>
    <row r="25" spans="1:6" ht="15.75">
      <c r="A25" s="129"/>
      <c r="B25" s="873" t="s">
        <v>341</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Valley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Valley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10594</v>
      </c>
      <c r="F9" s="767"/>
      <c r="G9" s="767"/>
      <c r="H9" s="768"/>
    </row>
    <row r="10" spans="3:8" ht="15.75">
      <c r="C10" s="769" t="str">
        <f>CONCATENATE(H2," Budget")</f>
        <v>2015 Budget</v>
      </c>
      <c r="D10" s="773" t="s">
        <v>2</v>
      </c>
      <c r="E10" s="776">
        <f>cert!F35</f>
        <v>10816</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Valley Township</v>
      </c>
      <c r="B1" s="79"/>
      <c r="C1" s="79"/>
      <c r="D1" s="79"/>
      <c r="E1" s="79">
        <f>inputPrYr!D5</f>
        <v>2015</v>
      </c>
    </row>
    <row r="2" spans="1:5" ht="15">
      <c r="A2" s="77" t="str">
        <f>inputPrYr!D3</f>
        <v>Osborne County</v>
      </c>
      <c r="B2" s="79"/>
      <c r="C2" s="79"/>
      <c r="D2" s="79"/>
      <c r="E2" s="79"/>
    </row>
    <row r="3" spans="1:5" ht="15">
      <c r="A3" s="79"/>
      <c r="B3" s="79"/>
      <c r="C3" s="79"/>
      <c r="D3" s="79"/>
      <c r="E3" s="79"/>
    </row>
    <row r="4" spans="1:5" ht="15">
      <c r="A4" s="782" t="s">
        <v>135</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976209</v>
      </c>
    </row>
    <row r="8" spans="1:5" ht="15">
      <c r="A8" s="11" t="str">
        <f>CONCATENATE("New Improvements for ",E1-1,"")</f>
        <v>New Improvements for 2014</v>
      </c>
      <c r="B8" s="8"/>
      <c r="C8" s="8"/>
      <c r="D8" s="8"/>
      <c r="E8" s="721">
        <v>0</v>
      </c>
    </row>
    <row r="9" spans="1:5" ht="15">
      <c r="A9" s="11" t="str">
        <f>CONCATENATE("Personal Property excluding oil, gas, and mobile homes - ",E1-1,"")</f>
        <v>Personal Property excluding oil, gas, and mobile homes - 2014</v>
      </c>
      <c r="B9" s="8"/>
      <c r="C9" s="8"/>
      <c r="D9" s="8"/>
      <c r="E9" s="721">
        <v>26637</v>
      </c>
    </row>
    <row r="10" spans="1:5" ht="15">
      <c r="A10" s="11" t="str">
        <f>CONCATENATE("Property that has changed in use for ",E1-1,"")</f>
        <v>Property that has changed in use for 2014</v>
      </c>
      <c r="B10" s="8"/>
      <c r="C10" s="8"/>
      <c r="D10" s="8"/>
      <c r="E10" s="721">
        <v>5815</v>
      </c>
    </row>
    <row r="11" spans="1:5" ht="15">
      <c r="A11" s="11" t="str">
        <f>CONCATENATE("Personal Property excluding oil, gas, and mobile homes- ",E1-2,"")</f>
        <v>Personal Property excluding oil, gas, and mobile homes- 2013</v>
      </c>
      <c r="B11" s="8"/>
      <c r="C11" s="8"/>
      <c r="D11" s="8"/>
      <c r="E11" s="721">
        <v>32461</v>
      </c>
    </row>
    <row r="12" spans="1:5" ht="15">
      <c r="A12" s="11" t="str">
        <f>CONCATENATE("Gross earnings (intangible) tax estimate for ",E1,"")</f>
        <v>Gross earnings (intangible) tax estimate for 2015</v>
      </c>
      <c r="B12" s="8"/>
      <c r="C12" s="8"/>
      <c r="D12" s="8"/>
      <c r="E12" s="721">
        <v>248</v>
      </c>
    </row>
    <row r="13" spans="1:5" ht="15">
      <c r="A13" s="11" t="str">
        <f>CONCATENATE("Neighborhood Revitalization - ",E1,"")</f>
        <v>Neighborhood Revitalization - 2015</v>
      </c>
      <c r="B13" s="8"/>
      <c r="C13" s="8"/>
      <c r="D13" s="8"/>
      <c r="E13" s="721">
        <v>0</v>
      </c>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262</v>
      </c>
      <c r="B16" s="788"/>
      <c r="C16" s="79"/>
      <c r="D16" s="272" t="s">
        <v>3</v>
      </c>
      <c r="E16" s="271"/>
    </row>
    <row r="17" spans="1:5" ht="15">
      <c r="A17" s="60" t="str">
        <f>inputPrYr!B16</f>
        <v>General</v>
      </c>
      <c r="B17" s="9"/>
      <c r="C17" s="8"/>
      <c r="D17" s="722">
        <v>1.501</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v>9.302</v>
      </c>
      <c r="E20" s="271"/>
    </row>
    <row r="21" spans="1:5" ht="15">
      <c r="A21" s="60" t="str">
        <f>inputPrYr!B20</f>
        <v>Weed</v>
      </c>
      <c r="B21" s="255"/>
      <c r="C21" s="8"/>
      <c r="D21" s="722">
        <v>0.419</v>
      </c>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11.222</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944190</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401</v>
      </c>
    </row>
    <row r="33" spans="1:5" ht="15">
      <c r="A33" s="278" t="s">
        <v>253</v>
      </c>
      <c r="B33" s="255"/>
      <c r="C33" s="255"/>
      <c r="D33" s="20"/>
      <c r="E33" s="23">
        <v>6</v>
      </c>
    </row>
    <row r="34" spans="1:5" ht="15">
      <c r="A34" s="278" t="s">
        <v>137</v>
      </c>
      <c r="B34" s="255"/>
      <c r="C34" s="255"/>
      <c r="D34" s="20"/>
      <c r="E34" s="23">
        <v>229</v>
      </c>
    </row>
    <row r="35" spans="1:5" ht="15">
      <c r="A35" s="278" t="s">
        <v>138</v>
      </c>
      <c r="B35" s="255"/>
      <c r="C35" s="255"/>
      <c r="D35" s="20"/>
      <c r="E35" s="23"/>
    </row>
    <row r="36" spans="1:5" ht="15">
      <c r="A36" s="278" t="s">
        <v>100</v>
      </c>
      <c r="B36" s="9"/>
      <c r="C36" s="9"/>
      <c r="D36" s="277"/>
      <c r="E36" s="23">
        <v>900</v>
      </c>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184</v>
      </c>
      <c r="B45" s="283" t="s">
        <v>185</v>
      </c>
      <c r="C45" s="284" t="s">
        <v>186</v>
      </c>
      <c r="D45" s="285"/>
      <c r="E45" s="285"/>
    </row>
    <row r="46" spans="1:5" ht="15">
      <c r="A46" s="286" t="str">
        <f>inputPrYr!B16</f>
        <v>General</v>
      </c>
      <c r="B46" s="25">
        <v>1664</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v>9700</v>
      </c>
      <c r="C49" s="129"/>
      <c r="D49" s="129"/>
      <c r="E49" s="129"/>
    </row>
    <row r="50" spans="1:5" ht="15.75">
      <c r="A50" s="286" t="str">
        <f>inputPrYr!B20</f>
        <v>Weed</v>
      </c>
      <c r="B50" s="25">
        <v>1000</v>
      </c>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0" t="s">
        <v>591</v>
      </c>
      <c r="C6" s="908"/>
      <c r="D6" s="908"/>
      <c r="E6" s="908"/>
      <c r="F6" s="908"/>
      <c r="G6" s="908"/>
      <c r="H6" s="908"/>
      <c r="I6" s="908"/>
      <c r="J6" s="908"/>
      <c r="K6" s="908"/>
      <c r="L6" s="380"/>
    </row>
    <row r="7" spans="1:12" ht="40.5" customHeight="1">
      <c r="A7" s="377"/>
      <c r="B7" s="920" t="s">
        <v>592</v>
      </c>
      <c r="C7" s="921"/>
      <c r="D7" s="921"/>
      <c r="E7" s="921"/>
      <c r="F7" s="921"/>
      <c r="G7" s="921"/>
      <c r="H7" s="921"/>
      <c r="I7" s="921"/>
      <c r="J7" s="921"/>
      <c r="K7" s="921"/>
      <c r="L7" s="377"/>
    </row>
    <row r="8" spans="1:12" ht="13.5">
      <c r="A8" s="377"/>
      <c r="B8" s="917" t="s">
        <v>593</v>
      </c>
      <c r="C8" s="917"/>
      <c r="D8" s="917"/>
      <c r="E8" s="917"/>
      <c r="F8" s="917"/>
      <c r="G8" s="917"/>
      <c r="H8" s="917"/>
      <c r="I8" s="917"/>
      <c r="J8" s="917"/>
      <c r="K8" s="917"/>
      <c r="L8" s="377"/>
    </row>
    <row r="9" spans="1:12" ht="13.5">
      <c r="A9" s="377"/>
      <c r="L9" s="377"/>
    </row>
    <row r="10" spans="1:12" ht="13.5">
      <c r="A10" s="377"/>
      <c r="B10" s="917" t="s">
        <v>594</v>
      </c>
      <c r="C10" s="917"/>
      <c r="D10" s="917"/>
      <c r="E10" s="917"/>
      <c r="F10" s="917"/>
      <c r="G10" s="917"/>
      <c r="H10" s="917"/>
      <c r="I10" s="917"/>
      <c r="J10" s="917"/>
      <c r="K10" s="917"/>
      <c r="L10" s="377"/>
    </row>
    <row r="11" spans="1:12" ht="13.5">
      <c r="A11" s="377"/>
      <c r="B11" s="516"/>
      <c r="C11" s="516"/>
      <c r="D11" s="516"/>
      <c r="E11" s="516"/>
      <c r="F11" s="516"/>
      <c r="G11" s="516"/>
      <c r="H11" s="516"/>
      <c r="I11" s="516"/>
      <c r="J11" s="516"/>
      <c r="K11" s="516"/>
      <c r="L11" s="377"/>
    </row>
    <row r="12" spans="1:12" ht="32.25" customHeight="1">
      <c r="A12" s="377"/>
      <c r="B12" s="901" t="s">
        <v>595</v>
      </c>
      <c r="C12" s="901"/>
      <c r="D12" s="901"/>
      <c r="E12" s="901"/>
      <c r="F12" s="901"/>
      <c r="G12" s="901"/>
      <c r="H12" s="901"/>
      <c r="I12" s="901"/>
      <c r="J12" s="901"/>
      <c r="K12" s="901"/>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903">
        <v>312000000</v>
      </c>
      <c r="G23" s="903"/>
      <c r="L23" s="377"/>
    </row>
    <row r="24" spans="1:12" ht="13.5">
      <c r="A24" s="377"/>
      <c r="L24" s="377"/>
    </row>
    <row r="25" spans="1:12" ht="13.5">
      <c r="A25" s="377"/>
      <c r="C25" s="918">
        <f>F23</f>
        <v>312000000</v>
      </c>
      <c r="D25" s="918"/>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5" t="s">
        <v>592</v>
      </c>
      <c r="C30" s="905"/>
      <c r="D30" s="905"/>
      <c r="E30" s="905"/>
      <c r="F30" s="905"/>
      <c r="G30" s="905"/>
      <c r="H30" s="905"/>
      <c r="I30" s="905"/>
      <c r="J30" s="905"/>
      <c r="K30" s="905"/>
      <c r="L30" s="377"/>
    </row>
    <row r="31" spans="1:12" ht="13.5">
      <c r="A31" s="377"/>
      <c r="B31" s="917" t="s">
        <v>604</v>
      </c>
      <c r="C31" s="917"/>
      <c r="D31" s="917"/>
      <c r="E31" s="917"/>
      <c r="F31" s="917"/>
      <c r="G31" s="917"/>
      <c r="H31" s="917"/>
      <c r="I31" s="917"/>
      <c r="J31" s="917"/>
      <c r="K31" s="917"/>
      <c r="L31" s="377"/>
    </row>
    <row r="32" spans="1:12" ht="13.5">
      <c r="A32" s="377"/>
      <c r="L32" s="377"/>
    </row>
    <row r="33" spans="1:12" ht="13.5">
      <c r="A33" s="377"/>
      <c r="B33" s="917" t="s">
        <v>605</v>
      </c>
      <c r="C33" s="917"/>
      <c r="D33" s="917"/>
      <c r="E33" s="917"/>
      <c r="F33" s="917"/>
      <c r="G33" s="917"/>
      <c r="H33" s="917"/>
      <c r="I33" s="917"/>
      <c r="J33" s="917"/>
      <c r="K33" s="917"/>
      <c r="L33" s="377"/>
    </row>
    <row r="34" spans="1:12" ht="13.5">
      <c r="A34" s="377"/>
      <c r="L34" s="377"/>
    </row>
    <row r="35" spans="1:12" ht="89.25" customHeight="1">
      <c r="A35" s="377"/>
      <c r="B35" s="901" t="s">
        <v>606</v>
      </c>
      <c r="C35" s="911"/>
      <c r="D35" s="911"/>
      <c r="E35" s="911"/>
      <c r="F35" s="911"/>
      <c r="G35" s="911"/>
      <c r="H35" s="911"/>
      <c r="I35" s="911"/>
      <c r="J35" s="911"/>
      <c r="K35" s="911"/>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19">
        <v>312000000</v>
      </c>
      <c r="D41" s="919"/>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12">
        <v>312000000</v>
      </c>
      <c r="C48" s="903"/>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13" t="s">
        <v>614</v>
      </c>
      <c r="H50" s="914"/>
      <c r="I50" s="521" t="s">
        <v>600</v>
      </c>
      <c r="J50" s="397">
        <f>B50/F50</f>
        <v>0.16025641025641027</v>
      </c>
      <c r="K50" s="389"/>
      <c r="L50" s="377"/>
    </row>
    <row r="51" spans="1:15" ht="14.25" thickBot="1">
      <c r="A51" s="377"/>
      <c r="B51" s="390"/>
      <c r="C51" s="391"/>
      <c r="D51" s="391"/>
      <c r="E51" s="391"/>
      <c r="F51" s="391"/>
      <c r="G51" s="391"/>
      <c r="H51" s="391"/>
      <c r="I51" s="915" t="s">
        <v>615</v>
      </c>
      <c r="J51" s="915"/>
      <c r="K51" s="916"/>
      <c r="L51" s="377"/>
      <c r="O51" s="398"/>
    </row>
    <row r="52" spans="1:12" ht="40.5" customHeight="1">
      <c r="A52" s="377"/>
      <c r="B52" s="905" t="s">
        <v>592</v>
      </c>
      <c r="C52" s="905"/>
      <c r="D52" s="905"/>
      <c r="E52" s="905"/>
      <c r="F52" s="905"/>
      <c r="G52" s="905"/>
      <c r="H52" s="905"/>
      <c r="I52" s="905"/>
      <c r="J52" s="905"/>
      <c r="K52" s="905"/>
      <c r="L52" s="377"/>
    </row>
    <row r="53" spans="1:12" ht="13.5">
      <c r="A53" s="377"/>
      <c r="B53" s="917" t="s">
        <v>616</v>
      </c>
      <c r="C53" s="917"/>
      <c r="D53" s="917"/>
      <c r="E53" s="917"/>
      <c r="F53" s="917"/>
      <c r="G53" s="917"/>
      <c r="H53" s="917"/>
      <c r="I53" s="917"/>
      <c r="J53" s="917"/>
      <c r="K53" s="917"/>
      <c r="L53" s="377"/>
    </row>
    <row r="54" spans="1:12" ht="13.5">
      <c r="A54" s="377"/>
      <c r="B54" s="516"/>
      <c r="C54" s="516"/>
      <c r="D54" s="516"/>
      <c r="E54" s="516"/>
      <c r="F54" s="516"/>
      <c r="G54" s="516"/>
      <c r="H54" s="516"/>
      <c r="I54" s="516"/>
      <c r="J54" s="516"/>
      <c r="K54" s="516"/>
      <c r="L54" s="377"/>
    </row>
    <row r="55" spans="1:12" ht="13.5">
      <c r="A55" s="377"/>
      <c r="B55" s="900" t="s">
        <v>617</v>
      </c>
      <c r="C55" s="900"/>
      <c r="D55" s="900"/>
      <c r="E55" s="900"/>
      <c r="F55" s="900"/>
      <c r="G55" s="900"/>
      <c r="H55" s="900"/>
      <c r="I55" s="900"/>
      <c r="J55" s="900"/>
      <c r="K55" s="900"/>
      <c r="L55" s="377"/>
    </row>
    <row r="56" spans="1:12" ht="15" customHeight="1">
      <c r="A56" s="377"/>
      <c r="L56" s="377"/>
    </row>
    <row r="57" spans="1:24" ht="74.25" customHeight="1">
      <c r="A57" s="377"/>
      <c r="B57" s="901" t="s">
        <v>618</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903">
        <v>312000000</v>
      </c>
      <c r="D74" s="903"/>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903">
        <v>50000</v>
      </c>
      <c r="D77" s="903"/>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903">
        <v>100000</v>
      </c>
      <c r="D80" s="903"/>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4">
        <f>H80</f>
        <v>11500</v>
      </c>
      <c r="D83" s="904"/>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5" t="s">
        <v>592</v>
      </c>
      <c r="C85" s="905"/>
      <c r="D85" s="905"/>
      <c r="E85" s="905"/>
      <c r="F85" s="905"/>
      <c r="G85" s="905"/>
      <c r="H85" s="905"/>
      <c r="I85" s="905"/>
      <c r="J85" s="905"/>
      <c r="K85" s="905"/>
      <c r="L85" s="377"/>
    </row>
    <row r="86" spans="1:12" ht="13.5">
      <c r="A86" s="377"/>
      <c r="B86" s="900" t="s">
        <v>634</v>
      </c>
      <c r="C86" s="900"/>
      <c r="D86" s="900"/>
      <c r="E86" s="900"/>
      <c r="F86" s="900"/>
      <c r="G86" s="900"/>
      <c r="H86" s="900"/>
      <c r="I86" s="900"/>
      <c r="J86" s="900"/>
      <c r="K86" s="900"/>
      <c r="L86" s="377"/>
    </row>
    <row r="87" spans="1:12" ht="13.5">
      <c r="A87" s="377"/>
      <c r="B87" s="411"/>
      <c r="C87" s="411"/>
      <c r="D87" s="411"/>
      <c r="E87" s="411"/>
      <c r="F87" s="411"/>
      <c r="G87" s="411"/>
      <c r="H87" s="411"/>
      <c r="I87" s="411"/>
      <c r="J87" s="411"/>
      <c r="K87" s="411"/>
      <c r="L87" s="377"/>
    </row>
    <row r="88" spans="1:12" ht="13.5">
      <c r="A88" s="377"/>
      <c r="B88" s="900" t="s">
        <v>635</v>
      </c>
      <c r="C88" s="900"/>
      <c r="D88" s="900"/>
      <c r="E88" s="900"/>
      <c r="F88" s="900"/>
      <c r="G88" s="900"/>
      <c r="H88" s="900"/>
      <c r="I88" s="900"/>
      <c r="J88" s="900"/>
      <c r="K88" s="900"/>
      <c r="L88" s="377"/>
    </row>
    <row r="89" spans="1:12" ht="13.5">
      <c r="A89" s="377"/>
      <c r="B89" s="515"/>
      <c r="C89" s="515"/>
      <c r="D89" s="515"/>
      <c r="E89" s="515"/>
      <c r="F89" s="515"/>
      <c r="G89" s="515"/>
      <c r="H89" s="515"/>
      <c r="I89" s="515"/>
      <c r="J89" s="515"/>
      <c r="K89" s="515"/>
      <c r="L89" s="377"/>
    </row>
    <row r="90" spans="1:12" ht="45" customHeight="1">
      <c r="A90" s="377"/>
      <c r="B90" s="901" t="s">
        <v>636</v>
      </c>
      <c r="C90" s="901"/>
      <c r="D90" s="901"/>
      <c r="E90" s="901"/>
      <c r="F90" s="901"/>
      <c r="G90" s="901"/>
      <c r="H90" s="901"/>
      <c r="I90" s="901"/>
      <c r="J90" s="901"/>
      <c r="K90" s="901"/>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3">
        <v>312000000</v>
      </c>
      <c r="D94" s="903"/>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3">
        <v>50000</v>
      </c>
      <c r="D97" s="903"/>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3">
        <v>2500000</v>
      </c>
      <c r="D100" s="903"/>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4">
        <f>H100</f>
        <v>750000</v>
      </c>
      <c r="D103" s="904"/>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592</v>
      </c>
      <c r="C105" s="906"/>
      <c r="D105" s="906"/>
      <c r="E105" s="906"/>
      <c r="F105" s="906"/>
      <c r="G105" s="906"/>
      <c r="H105" s="906"/>
      <c r="I105" s="906"/>
      <c r="J105" s="906"/>
      <c r="K105" s="906"/>
      <c r="L105" s="377"/>
    </row>
    <row r="106" spans="1:12" ht="15" customHeight="1">
      <c r="A106" s="377"/>
      <c r="B106" s="907" t="s">
        <v>638</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639</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640</v>
      </c>
      <c r="C110" s="911"/>
      <c r="D110" s="911"/>
      <c r="E110" s="911"/>
      <c r="F110" s="911"/>
      <c r="G110" s="911"/>
      <c r="H110" s="911"/>
      <c r="I110" s="911"/>
      <c r="J110" s="911"/>
      <c r="K110" s="911"/>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903">
        <v>312000000</v>
      </c>
      <c r="D114" s="903"/>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903">
        <v>50000</v>
      </c>
      <c r="D117" s="903"/>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903">
        <v>2500000</v>
      </c>
      <c r="D120" s="903"/>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4">
        <f>H120</f>
        <v>625000</v>
      </c>
      <c r="D123" s="904"/>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5" t="s">
        <v>592</v>
      </c>
      <c r="C125" s="905"/>
      <c r="D125" s="905"/>
      <c r="E125" s="905"/>
      <c r="F125" s="905"/>
      <c r="G125" s="905"/>
      <c r="H125" s="905"/>
      <c r="I125" s="905"/>
      <c r="J125" s="905"/>
      <c r="K125" s="905"/>
      <c r="L125" s="423"/>
    </row>
    <row r="126" spans="1:12" ht="13.5">
      <c r="A126" s="377"/>
      <c r="B126" s="900" t="s">
        <v>641</v>
      </c>
      <c r="C126" s="900"/>
      <c r="D126" s="900"/>
      <c r="E126" s="900"/>
      <c r="F126" s="900"/>
      <c r="G126" s="900"/>
      <c r="H126" s="900"/>
      <c r="I126" s="900"/>
      <c r="J126" s="900"/>
      <c r="K126" s="900"/>
      <c r="L126" s="423"/>
    </row>
    <row r="127" spans="1:12" ht="13.5">
      <c r="A127" s="377"/>
      <c r="B127" s="516"/>
      <c r="C127" s="516"/>
      <c r="D127" s="516"/>
      <c r="E127" s="516"/>
      <c r="F127" s="516"/>
      <c r="G127" s="516"/>
      <c r="H127" s="516"/>
      <c r="I127" s="516"/>
      <c r="J127" s="516"/>
      <c r="K127" s="516"/>
      <c r="L127" s="423"/>
    </row>
    <row r="128" spans="1:12" ht="13.5">
      <c r="A128" s="377"/>
      <c r="B128" s="900" t="s">
        <v>642</v>
      </c>
      <c r="C128" s="900"/>
      <c r="D128" s="900"/>
      <c r="E128" s="900"/>
      <c r="F128" s="900"/>
      <c r="G128" s="900"/>
      <c r="H128" s="900"/>
      <c r="I128" s="900"/>
      <c r="J128" s="900"/>
      <c r="K128" s="900"/>
      <c r="L128" s="423"/>
    </row>
    <row r="129" spans="1:12" ht="13.5">
      <c r="A129" s="377"/>
      <c r="B129" s="515"/>
      <c r="C129" s="515"/>
      <c r="D129" s="515"/>
      <c r="E129" s="515"/>
      <c r="F129" s="515"/>
      <c r="G129" s="515"/>
      <c r="H129" s="515"/>
      <c r="I129" s="515"/>
      <c r="J129" s="515"/>
      <c r="K129" s="515"/>
      <c r="L129" s="423"/>
    </row>
    <row r="130" spans="1:12" ht="74.25" customHeight="1">
      <c r="A130" s="377"/>
      <c r="B130" s="901" t="s">
        <v>643</v>
      </c>
      <c r="C130" s="901"/>
      <c r="D130" s="901"/>
      <c r="E130" s="901"/>
      <c r="F130" s="901"/>
      <c r="G130" s="901"/>
      <c r="H130" s="901"/>
      <c r="I130" s="901"/>
      <c r="J130" s="901"/>
      <c r="K130" s="901"/>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02" t="s">
        <v>644</v>
      </c>
      <c r="D133" s="902"/>
      <c r="E133" s="387"/>
      <c r="F133" s="521" t="s">
        <v>645</v>
      </c>
      <c r="G133" s="387"/>
      <c r="H133" s="902" t="s">
        <v>630</v>
      </c>
      <c r="I133" s="902"/>
      <c r="J133" s="387"/>
      <c r="K133" s="389"/>
      <c r="L133" s="377"/>
    </row>
    <row r="134" spans="1:12" ht="13.5">
      <c r="A134" s="377"/>
      <c r="B134" s="395" t="s">
        <v>623</v>
      </c>
      <c r="C134" s="903">
        <v>100000</v>
      </c>
      <c r="D134" s="903"/>
      <c r="E134" s="521" t="s">
        <v>266</v>
      </c>
      <c r="F134" s="521">
        <v>0.115</v>
      </c>
      <c r="G134" s="521" t="s">
        <v>600</v>
      </c>
      <c r="H134" s="892">
        <f>C134*F134</f>
        <v>11500</v>
      </c>
      <c r="I134" s="892"/>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1" t="s">
        <v>630</v>
      </c>
      <c r="D136" s="891"/>
      <c r="E136" s="405"/>
      <c r="F136" s="523" t="s">
        <v>646</v>
      </c>
      <c r="G136" s="523"/>
      <c r="H136" s="405"/>
      <c r="I136" s="405"/>
      <c r="J136" s="405" t="s">
        <v>647</v>
      </c>
      <c r="K136" s="406"/>
      <c r="L136" s="377"/>
    </row>
    <row r="137" spans="1:12" ht="13.5">
      <c r="A137" s="377"/>
      <c r="B137" s="395" t="s">
        <v>626</v>
      </c>
      <c r="C137" s="892">
        <f>H134</f>
        <v>11500</v>
      </c>
      <c r="D137" s="892"/>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3" t="s">
        <v>650</v>
      </c>
      <c r="C144" s="894"/>
      <c r="D144" s="894"/>
      <c r="E144" s="894"/>
      <c r="F144" s="894"/>
      <c r="G144" s="894"/>
      <c r="H144" s="894"/>
      <c r="I144" s="894"/>
      <c r="J144" s="894"/>
      <c r="K144" s="895"/>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892" t="s">
        <v>651</v>
      </c>
      <c r="D147" s="892"/>
      <c r="E147" s="521"/>
      <c r="F147" s="441" t="s">
        <v>652</v>
      </c>
      <c r="G147" s="521"/>
      <c r="H147" s="521"/>
      <c r="I147" s="521"/>
      <c r="J147" s="896" t="s">
        <v>653</v>
      </c>
      <c r="K147" s="897"/>
      <c r="L147" s="377"/>
    </row>
    <row r="148" spans="1:12" ht="13.5">
      <c r="A148" s="377"/>
      <c r="B148" s="395"/>
      <c r="C148" s="898">
        <v>52.869</v>
      </c>
      <c r="D148" s="898"/>
      <c r="E148" s="521" t="s">
        <v>266</v>
      </c>
      <c r="F148" s="517">
        <v>312000000</v>
      </c>
      <c r="G148" s="446" t="s">
        <v>601</v>
      </c>
      <c r="H148" s="521">
        <v>1000</v>
      </c>
      <c r="I148" s="521" t="s">
        <v>600</v>
      </c>
      <c r="J148" s="896">
        <f>C148*(F148/1000)</f>
        <v>16495128</v>
      </c>
      <c r="K148" s="899"/>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948</v>
      </c>
      <c r="C4" s="683"/>
      <c r="J4" s="684" t="s">
        <v>803</v>
      </c>
    </row>
    <row r="5" spans="1:10" ht="15.75">
      <c r="A5" s="449"/>
      <c r="B5" s="683"/>
      <c r="J5" s="684" t="s">
        <v>804</v>
      </c>
    </row>
    <row r="6" spans="1:10" ht="15.75">
      <c r="A6" s="449" t="s">
        <v>799</v>
      </c>
      <c r="B6" s="724" t="s">
        <v>949</v>
      </c>
      <c r="J6" s="684" t="s">
        <v>805</v>
      </c>
    </row>
    <row r="7" spans="1:10" ht="15.75">
      <c r="A7" s="335"/>
      <c r="B7" s="335"/>
      <c r="C7" s="335"/>
      <c r="D7" s="337"/>
      <c r="E7" s="335"/>
      <c r="F7" s="335"/>
      <c r="J7" s="684" t="s">
        <v>806</v>
      </c>
    </row>
    <row r="8" spans="1:10" ht="15.75">
      <c r="A8" s="336" t="s">
        <v>345</v>
      </c>
      <c r="B8" s="724" t="s">
        <v>950</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25, 2014</v>
      </c>
      <c r="E9" s="335"/>
      <c r="F9" s="335"/>
      <c r="J9" s="684" t="s">
        <v>808</v>
      </c>
    </row>
    <row r="10" spans="1:10" ht="15.75">
      <c r="A10" s="336" t="s">
        <v>346</v>
      </c>
      <c r="B10" s="724" t="s">
        <v>951</v>
      </c>
      <c r="C10" s="341"/>
      <c r="D10" s="336"/>
      <c r="E10" s="335"/>
      <c r="F10" s="335"/>
      <c r="J10" s="684" t="s">
        <v>809</v>
      </c>
    </row>
    <row r="11" spans="1:10" ht="15.75">
      <c r="A11" s="336"/>
      <c r="B11" s="336"/>
      <c r="C11" s="336"/>
      <c r="D11" s="336"/>
      <c r="E11" s="335"/>
      <c r="F11" s="335"/>
      <c r="J11" s="684" t="s">
        <v>810</v>
      </c>
    </row>
    <row r="12" spans="1:10" ht="15.75">
      <c r="A12" s="336" t="s">
        <v>347</v>
      </c>
      <c r="B12" s="725" t="s">
        <v>952</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953</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41845</v>
      </c>
    </row>
    <row r="22" spans="1:7" ht="15.75">
      <c r="A22" s="336" t="s">
        <v>346</v>
      </c>
      <c r="B22" s="336" t="s">
        <v>351</v>
      </c>
      <c r="C22" s="336"/>
      <c r="D22" s="336"/>
      <c r="E22" s="336"/>
      <c r="G22" s="687">
        <f>IF(B8="","",MONTH(G21))</f>
        <v>7</v>
      </c>
    </row>
    <row r="23" spans="1:7" ht="15.75">
      <c r="A23" s="336"/>
      <c r="B23" s="336"/>
      <c r="C23" s="336"/>
      <c r="D23" s="336"/>
      <c r="E23" s="336"/>
      <c r="G23" s="688">
        <f>IF(B8="","",DAY(G21))</f>
        <v>25</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29">
      <selection activeCell="B47" sqref="B4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808" t="s">
        <v>70</v>
      </c>
      <c r="C1" s="808"/>
      <c r="D1" s="808"/>
      <c r="E1" s="808"/>
      <c r="F1" s="808"/>
      <c r="G1" s="808"/>
      <c r="H1" s="3">
        <f>inputPrYr!D5</f>
        <v>2015</v>
      </c>
    </row>
    <row r="2" spans="3:7" s="3" customFormat="1" ht="15">
      <c r="C2" s="134"/>
      <c r="D2" s="134"/>
      <c r="E2" s="134"/>
      <c r="F2" s="134"/>
      <c r="G2" s="51"/>
    </row>
    <row r="3" spans="2:8" s="3" customFormat="1" ht="15.75">
      <c r="B3" s="796" t="str">
        <f>CONCATENATE("To the Clerk of ",inputPrYr!D3,", State of Kansas")</f>
        <v>To the Clerk of Osborne County, State of Kansas</v>
      </c>
      <c r="C3" s="797"/>
      <c r="D3" s="797"/>
      <c r="E3" s="797"/>
      <c r="F3" s="797"/>
      <c r="G3" s="797"/>
      <c r="H3" s="797"/>
    </row>
    <row r="4" spans="2:7" s="3" customFormat="1" ht="15.75">
      <c r="B4" s="796" t="s">
        <v>131</v>
      </c>
      <c r="C4" s="804"/>
      <c r="D4" s="804"/>
      <c r="E4" s="804"/>
      <c r="F4" s="804"/>
      <c r="G4" s="804"/>
    </row>
    <row r="5" spans="2:7" s="3" customFormat="1" ht="15.75">
      <c r="B5" s="805" t="str">
        <f>inputPrYr!D2</f>
        <v>Valley Township</v>
      </c>
      <c r="C5" s="804"/>
      <c r="D5" s="804"/>
      <c r="E5" s="804"/>
      <c r="F5" s="804"/>
      <c r="G5" s="804"/>
    </row>
    <row r="6" spans="2:7" s="3" customFormat="1" ht="15.75">
      <c r="B6" s="815" t="s">
        <v>129</v>
      </c>
      <c r="C6" s="797"/>
      <c r="D6" s="797"/>
      <c r="E6" s="797"/>
      <c r="F6" s="797"/>
      <c r="G6" s="797"/>
    </row>
    <row r="7" spans="2:7" s="3" customFormat="1" ht="15.75" customHeight="1">
      <c r="B7" s="796" t="s">
        <v>130</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
      <c r="B12" s="11"/>
      <c r="D12" s="55"/>
      <c r="E12" s="243" t="s">
        <v>254</v>
      </c>
      <c r="F12" s="809" t="str">
        <f>CONCATENATE("Amount of ",H1-1," Ad Valorem Tax")</f>
        <v>Amount of 2014 Ad Valorem Tax</v>
      </c>
      <c r="G12" s="12" t="s">
        <v>255</v>
      </c>
    </row>
    <row r="13" spans="4:7" s="3" customFormat="1" ht="15">
      <c r="D13" s="12" t="s">
        <v>256</v>
      </c>
      <c r="E13" s="497" t="s">
        <v>185</v>
      </c>
      <c r="F13" s="810"/>
      <c r="G13" s="145" t="s">
        <v>257</v>
      </c>
    </row>
    <row r="14" spans="2:7" s="3" customFormat="1" ht="15">
      <c r="B14" s="60" t="s">
        <v>258</v>
      </c>
      <c r="C14" s="9"/>
      <c r="D14" s="15" t="s">
        <v>259</v>
      </c>
      <c r="E14" s="498" t="s">
        <v>684</v>
      </c>
      <c r="F14" s="811"/>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1800</v>
      </c>
      <c r="F21" s="695">
        <f>IF(gen!$E$57&lt;&gt;0,gen!$E$57,0)</f>
        <v>1444</v>
      </c>
      <c r="G21" s="696">
        <f>IF(AND(gen!E57=0,$C$40&gt;=0)," ",IF(AND(F21&gt;0,$C$40=0)," ",IF(AND(F21&gt;0,$C$40&gt;0),ROUND(F21/$C$40*1000,3))))</f>
        <v>1.408</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f>IF(road!$E$43&lt;&gt;0,road!$E$43,"  ")</f>
        <v>10208</v>
      </c>
      <c r="F24" s="695">
        <f>IF(road!$E$50&lt;&gt;0,road!$E$50,"  ")</f>
        <v>8443</v>
      </c>
      <c r="G24" s="696">
        <f>IF(AND(road!E50=0,$C$40&gt;=0)," ",IF(AND(F24&gt;0,$C$40=0)," ",IF(AND(F24&gt;0,$C$40&gt;0),ROUND(F24/$C$40*1000,3))))</f>
        <v>8.233</v>
      </c>
    </row>
    <row r="25" spans="2:7" s="3" customFormat="1" ht="15">
      <c r="B25" s="74" t="str">
        <f>IF(inputPrYr!$B20&gt;"  ",inputPrYr!$B20,"  ")</f>
        <v>Weed</v>
      </c>
      <c r="C25" s="248" t="str">
        <f>IF(inputPrYr!C20&gt;0,inputPrYr!C20,"  ")</f>
        <v>  </v>
      </c>
      <c r="D25" s="249" t="str">
        <f>IF(levypage9!C81&gt;0,levypage9!C81,"  ")</f>
        <v>  </v>
      </c>
      <c r="E25" s="695">
        <f>IF(levypage9!$E$33&lt;&gt;0,levypage9!$E$33,"  ")</f>
        <v>1000</v>
      </c>
      <c r="F25" s="695">
        <f>IF(levypage9!$E$40&lt;&gt;0,levypage9!$E$40,"  ")</f>
        <v>929</v>
      </c>
      <c r="G25" s="696">
        <f>IF(AND(levypage9!E40=0,$C$40&gt;=0)," ",IF(AND(F25&gt;0,$C$40=0)," ",IF(AND(F25&gt;0,$C$40&gt;0),ROUND(F25/$C$40*1000,3))))</f>
        <v>0.906</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13008</v>
      </c>
      <c r="F35" s="697">
        <f>SUM(F21:F30)</f>
        <v>10816</v>
      </c>
      <c r="G35" s="698">
        <f>IF(SUM(G21:G30)&gt;0,SUM(G21:G30),"")</f>
        <v>10.547</v>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Yes</v>
      </c>
    </row>
    <row r="38" spans="2:6" s="3" customFormat="1" ht="15">
      <c r="B38" s="278"/>
      <c r="C38" s="255"/>
      <c r="D38" s="735"/>
      <c r="E38" s="257"/>
      <c r="F38" s="258"/>
    </row>
    <row r="39" spans="2:7" s="3" customFormat="1" ht="15.75">
      <c r="B39" s="53" t="s">
        <v>97</v>
      </c>
      <c r="C39" s="798" t="s">
        <v>115</v>
      </c>
      <c r="D39" s="799"/>
      <c r="E39" s="259"/>
      <c r="G39" s="11" t="s">
        <v>267</v>
      </c>
    </row>
    <row r="40" spans="2:7" s="3" customFormat="1" ht="15.75">
      <c r="B40" s="16" t="s">
        <v>98</v>
      </c>
      <c r="C40" s="800">
        <v>1025502</v>
      </c>
      <c r="D40" s="801"/>
      <c r="E40" s="260" t="s">
        <v>954</v>
      </c>
      <c r="G40" s="11"/>
    </row>
    <row r="41" spans="2:7" s="3" customFormat="1" ht="15.75">
      <c r="B41" s="261"/>
      <c r="C41" s="802" t="str">
        <f>CONCATENATE("Nov. 1, ",H1-1," Valuation")</f>
        <v>Nov. 1, 2014 Valuation</v>
      </c>
      <c r="D41" s="803"/>
      <c r="E41" s="259"/>
      <c r="G41" s="11"/>
    </row>
    <row r="42" spans="2:7" s="3" customFormat="1" ht="15">
      <c r="B42" s="261" t="s">
        <v>268</v>
      </c>
      <c r="E42" s="8"/>
      <c r="G42" s="11"/>
    </row>
    <row r="43" spans="2:7" s="3" customFormat="1" ht="15">
      <c r="B43" s="262" t="s">
        <v>955</v>
      </c>
      <c r="C43" s="262"/>
      <c r="E43" s="699" t="s">
        <v>812</v>
      </c>
      <c r="F43" s="699"/>
      <c r="G43" s="699"/>
    </row>
    <row r="44" spans="2:7" s="3" customFormat="1" ht="15">
      <c r="B44" s="263" t="s">
        <v>956</v>
      </c>
      <c r="C44" s="263"/>
      <c r="E44" s="700"/>
      <c r="F44" s="700"/>
      <c r="G44" s="700"/>
    </row>
    <row r="45" spans="2:7" s="3" customFormat="1" ht="15">
      <c r="B45" s="261" t="s">
        <v>124</v>
      </c>
      <c r="E45" s="699" t="s">
        <v>812</v>
      </c>
      <c r="F45" s="699"/>
      <c r="G45" s="699"/>
    </row>
    <row r="46" spans="2:7" s="3" customFormat="1" ht="15">
      <c r="B46" s="262" t="s">
        <v>957</v>
      </c>
      <c r="C46" s="262"/>
      <c r="D46" s="11"/>
      <c r="E46" s="699"/>
      <c r="F46" s="699"/>
      <c r="G46" s="699"/>
    </row>
    <row r="47" spans="2:7" s="3" customFormat="1" ht="15">
      <c r="B47" s="263" t="s">
        <v>958</v>
      </c>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75">
      <c r="B54" s="38" t="s">
        <v>270</v>
      </c>
      <c r="C54" s="3"/>
      <c r="D54" s="3"/>
      <c r="E54" s="806" t="s">
        <v>269</v>
      </c>
      <c r="F54" s="807"/>
      <c r="G54" s="80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2">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Valley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808"/>
      <c r="C3" s="808"/>
      <c r="D3" s="808"/>
      <c r="E3" s="808"/>
      <c r="F3" s="808"/>
      <c r="G3" s="808"/>
      <c r="H3" s="808"/>
      <c r="I3" s="808"/>
      <c r="J3" s="808"/>
    </row>
    <row r="4" spans="1:10" ht="15">
      <c r="A4" s="3"/>
      <c r="B4" s="3"/>
      <c r="C4" s="3"/>
      <c r="D4" s="3"/>
      <c r="E4" s="808"/>
      <c r="F4" s="808"/>
      <c r="G4" s="808"/>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10594</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10594</v>
      </c>
    </row>
    <row r="8" spans="1:10" ht="1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0</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26637</v>
      </c>
      <c r="F14" s="235"/>
      <c r="G14" s="44"/>
      <c r="H14" s="44"/>
      <c r="I14" s="42"/>
      <c r="J14" s="44"/>
    </row>
    <row r="15" spans="1:10" ht="15">
      <c r="A15" s="234"/>
      <c r="B15" s="3" t="s">
        <v>87</v>
      </c>
      <c r="C15" s="3" t="str">
        <f>CONCATENATE("Personal property ",J1-2,"")</f>
        <v>Personal property 2013</v>
      </c>
      <c r="D15" s="234" t="s">
        <v>82</v>
      </c>
      <c r="E15" s="238">
        <f>inputOth!E11</f>
        <v>32461</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5815</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5815</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976209</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970394</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0.0059924113298309755</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63</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10657</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10657</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158.91</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10815.91</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904</v>
      </c>
      <c r="B45" s="819"/>
      <c r="C45" s="819"/>
      <c r="D45" s="819"/>
      <c r="E45" s="819"/>
      <c r="F45" s="819"/>
      <c r="G45" s="819"/>
      <c r="H45" s="819"/>
      <c r="I45" s="819"/>
      <c r="J45" s="819"/>
    </row>
    <row r="46" spans="1:10" ht="15">
      <c r="A46" s="818" t="s">
        <v>905</v>
      </c>
      <c r="B46" s="818"/>
      <c r="C46" s="818"/>
      <c r="D46" s="818"/>
      <c r="E46" s="818"/>
      <c r="F46" s="818"/>
      <c r="G46" s="818"/>
      <c r="H46" s="818"/>
      <c r="I46" s="818"/>
      <c r="J46" s="818"/>
    </row>
    <row r="47" spans="1:10" ht="1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Valley Township</v>
      </c>
      <c r="C1" s="3"/>
      <c r="D1" s="3"/>
      <c r="E1" s="3"/>
      <c r="F1" s="3"/>
      <c r="G1" s="3"/>
      <c r="H1" s="3"/>
      <c r="I1" s="3"/>
      <c r="J1" s="4">
        <f>inputPrYr!D5</f>
        <v>2015</v>
      </c>
      <c r="K1" s="4"/>
      <c r="L1" s="79"/>
    </row>
    <row r="2" spans="2:12" ht="15">
      <c r="B2" s="2" t="str">
        <f>inputPrYr!D3</f>
        <v>Osborne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5" t="s">
        <v>728</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1417</v>
      </c>
      <c r="E11" s="120">
        <f>IF(inputOth!D17&gt;0,inputOth!D17,"  ")</f>
        <v>1.501</v>
      </c>
      <c r="F11" s="690"/>
      <c r="G11" s="150">
        <f>IF(inputPrYr!E16=0,0,G23-SUM(G12:G20))</f>
        <v>54</v>
      </c>
      <c r="H11" s="691"/>
      <c r="I11" s="150">
        <f>IF(inputPrYr!E16=0,0,I25-SUM(I12:I20))</f>
        <v>1</v>
      </c>
      <c r="J11" s="150">
        <f>IF(inputPrYr!E16=0,0,J27-SUM(J12:J20))</f>
        <v>30</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8782</v>
      </c>
      <c r="E14" s="120">
        <f>IF(inputOth!D20&gt;0,inputOth!D20,"  ")</f>
        <v>9.302</v>
      </c>
      <c r="F14" s="690"/>
      <c r="G14" s="150">
        <f>IF(inputPrYr!E19=0,0,ROUND(D14*$G$30,0))</f>
        <v>332</v>
      </c>
      <c r="H14" s="691"/>
      <c r="I14" s="150">
        <f>IF(inputPrYr!$E$19=0,0,ROUND($D$14*$I$32,0))</f>
        <v>5</v>
      </c>
      <c r="J14" s="150">
        <f>IF(inputPrYr!E19=0,0,ROUND($D14*$J$34,0))</f>
        <v>190</v>
      </c>
      <c r="K14" s="79"/>
      <c r="L14" s="79"/>
      <c r="M14" s="525"/>
    </row>
    <row r="15" spans="2:13" ht="15">
      <c r="B15" s="74" t="str">
        <f>IF(inputPrYr!$B20&gt;"  ",inputPrYr!$B20,"  ")</f>
        <v>Weed</v>
      </c>
      <c r="C15" s="223"/>
      <c r="D15" s="150">
        <f>IF(inputPrYr!E20&gt;=0,inputPrYr!E20,"  ")</f>
        <v>395</v>
      </c>
      <c r="E15" s="120">
        <f>IF(inputOth!D21&gt;0,inputOth!D21,"  ")</f>
        <v>0.419</v>
      </c>
      <c r="F15" s="690"/>
      <c r="G15" s="150">
        <f>IF(inputPrYr!E20=0,0,ROUND(D15*$G$30,0))</f>
        <v>15</v>
      </c>
      <c r="H15" s="691"/>
      <c r="I15" s="150">
        <f>IF(inputPrYr!$E$20=0,0,ROUND($D$15*$I$32,0))</f>
        <v>0</v>
      </c>
      <c r="J15" s="150">
        <f>IF(inputPrYr!E20=0,0,ROUND($D15*$J$34,0))</f>
        <v>9</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10594</v>
      </c>
      <c r="E21" s="693">
        <f>SUM(E11:E20)</f>
        <v>11.222</v>
      </c>
      <c r="F21" s="694"/>
      <c r="G21" s="692">
        <f>SUM(G11:G20)</f>
        <v>401</v>
      </c>
      <c r="H21" s="692"/>
      <c r="I21" s="692">
        <f>SUM(I11:I20)</f>
        <v>6</v>
      </c>
      <c r="J21" s="692">
        <f>SUM(J11:J20)</f>
        <v>229</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401</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6</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229</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0.03785161412120068</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0.0005663583160279403</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0.021616009061733058</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Valley Township</v>
      </c>
      <c r="B2" s="77"/>
      <c r="C2" s="3"/>
      <c r="D2" s="3"/>
      <c r="E2" s="41"/>
      <c r="F2" s="3"/>
    </row>
    <row r="3" spans="1:6" ht="15">
      <c r="A3" s="2"/>
      <c r="B3" s="77"/>
      <c r="C3" s="3"/>
      <c r="D3" s="3"/>
      <c r="E3" s="41"/>
      <c r="F3" s="3"/>
    </row>
    <row r="4" spans="1:6" ht="15">
      <c r="A4" s="2"/>
      <c r="B4" s="3"/>
      <c r="C4" s="3"/>
      <c r="D4" s="3"/>
      <c r="E4" s="41"/>
      <c r="F4" s="3"/>
    </row>
    <row r="5" spans="1:6" ht="15" customHeight="1">
      <c r="A5" s="808" t="s">
        <v>146</v>
      </c>
      <c r="B5" s="808"/>
      <c r="C5" s="808"/>
      <c r="D5" s="808"/>
      <c r="E5" s="808"/>
      <c r="F5" s="80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0</v>
      </c>
      <c r="D27" s="217">
        <f>SUM(D10:D26)</f>
        <v>0</v>
      </c>
      <c r="E27" s="217">
        <f>SUM(E10:E26)</f>
        <v>0</v>
      </c>
      <c r="F27" s="118"/>
    </row>
    <row r="28" spans="1:6" ht="15">
      <c r="A28" s="118"/>
      <c r="B28" s="216" t="s">
        <v>576</v>
      </c>
      <c r="C28" s="118"/>
      <c r="D28" s="213"/>
      <c r="E28" s="213"/>
      <c r="F28" s="118"/>
    </row>
    <row r="29" spans="1:6" ht="15">
      <c r="A29" s="118"/>
      <c r="B29" s="168" t="s">
        <v>154</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1.5">
      <c r="A12" s="456" t="s">
        <v>676</v>
      </c>
    </row>
    <row r="13" ht="15.75">
      <c r="A13" s="154"/>
    </row>
    <row r="14" ht="15.75">
      <c r="A14" s="154"/>
    </row>
    <row r="15" ht="61.5">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2014-07-09T19:35:29Z</cp:lastPrinted>
  <dcterms:created xsi:type="dcterms:W3CDTF">1998-08-26T16:30:41Z</dcterms:created>
  <dcterms:modified xsi:type="dcterms:W3CDTF">2014-12-02T14:39:16Z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