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<sst xmlns="http://schemas.openxmlformats.org/spreadsheetml/2006/main" count="1583" uniqueCount="955">
  <si>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</si>
  <si>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</si>
  <si>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</si>
  <si>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</si>
  <si>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</si>
  <si>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</si>
  <si>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</si>
  <si>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</si>
  <si>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</si>
  <si>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</si>
  <si>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</si>
  <si>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</si>
  <si>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</si>
  <si>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</si>
  <si>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</si>
  <si>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</si>
  <si>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</si>
  <si>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</si>
  <si>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</si>
  <si>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</si>
  <si>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</si>
  <si>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</si>
  <si>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</si>
  <si>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</si>
  <si>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</si>
  <si>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</si>
  <si>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</si>
  <si>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</si>
  <si>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</si>
  <si>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</si>
  <si>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</si>
  <si>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</si>
  <si>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</si>
  <si>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</si>
  <si>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</si>
  <si>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</si>
  <si>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</si>
  <si>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</si>
  <si>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</si>
  <si>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</si>
  <si>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</si>
  <si>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</si>
  <si>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</si>
  <si>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</si>
  <si>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</si>
  <si>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</si>
  <si>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</si>
  <si>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</si>
  <si>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</si>
  <si>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</si>
  <si>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</si>
  <si>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</si>
  <si>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</si>
  <si>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</si>
  <si>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</si>
  <si>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</si>
  <si>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</si>
  <si>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</si>
  <si>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</si>
  <si>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</si>
  <si>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</si>
  <si>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</si>
  <si>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</si>
  <si>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</si>
  <si>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</si>
  <si>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</si>
  <si>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</si>
  <si>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</si>
  <si>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</si>
  <si>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</si>
  <si>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</si>
  <si>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</si>
  <si>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</si>
  <si>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</si>
  <si>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</si>
  <si>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</si>
  <si>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</si>
  <si>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</si>
  <si>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</si>
  <si>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</si>
  <si>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</si>
  <si>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</si>
  <si>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</si>
  <si>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</si>
  <si>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</si>
  <si>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</si>
  <si>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</si>
  <si>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</si>
  <si>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</si>
  <si>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</si>
  <si>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</si>
  <si>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</si>
  <si>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</si>
  <si>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</si>
  <si>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</si>
  <si>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</si>
  <si>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</si>
  <si>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</si>
  <si>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</si>
  <si>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</si>
  <si>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</si>
  <si>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</si>
  <si>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</si>
  <si>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</si>
  <si>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</si>
  <si>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</si>
  <si>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</si>
  <si>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</si>
  <si>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</si>
  <si>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</si>
  <si>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</si>
  <si>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</si>
  <si>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</si>
  <si>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</si>
  <si>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</si>
  <si>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</si>
  <si>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</si>
  <si>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</si>
  <si>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</si>
  <si>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</si>
  <si>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</si>
  <si>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</si>
  <si>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</si>
  <si>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</si>
  <si>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</si>
  <si>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</si>
  <si>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</si>
  <si>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</si>
  <si>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</si>
  <si>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</si>
  <si>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</si>
  <si>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</si>
  <si>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</si>
  <si>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</si>
  <si>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</si>
  <si>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</si>
  <si>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</si>
  <si>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</si>
  <si>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</si>
  <si>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</si>
  <si>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</si>
  <si>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</si>
  <si>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</si>
  <si>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</si>
  <si>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</si>
  <si>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</si>
  <si>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</si>
  <si>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</si>
  <si>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</si>
  <si>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</si>
  <si>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</si>
  <si>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</si>
  <si>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</si>
  <si>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</si>
  <si>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</si>
  <si>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</si>
  <si>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</si>
  <si>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</si>
  <si>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</si>
  <si>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</si>
  <si>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</si>
  <si>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</si>
  <si>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</si>
  <si>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</si>
  <si>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</si>
  <si>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</si>
  <si>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</si>
  <si>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</si>
  <si>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</si>
  <si>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</si>
  <si>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</si>
  <si>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</si>
  <si>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</si>
  <si>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</si>
  <si>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</si>
  <si>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</si>
  <si>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</si>
  <si>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</si>
  <si>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</si>
  <si>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</si>
  <si>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</si>
  <si>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</si>
  <si>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</si>
  <si>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</si>
  <si>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</si>
  <si>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</si>
  <si>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</si>
  <si>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</si>
  <si>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</si>
  <si>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</si>
  <si>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</si>
  <si>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</si>
  <si>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</si>
  <si>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</si>
  <si>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</si>
  <si>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</si>
  <si>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</si>
  <si>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</si>
  <si>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</si>
  <si>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</si>
  <si>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</si>
  <si>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</si>
  <si>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</si>
  <si>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</si>
  <si>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</si>
  <si>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</si>
  <si>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</si>
  <si>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</si>
  <si>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</si>
  <si>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</si>
  <si>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</si>
  <si>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</si>
  <si>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</si>
  <si>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</si>
  <si>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</si>
  <si>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</si>
  <si>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</si>
  <si>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</si>
  <si>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</si>
  <si>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</si>
  <si>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</si>
  <si>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</si>
  <si>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</si>
  <si>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</si>
  <si>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</si>
  <si>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</si>
  <si>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</si>
  <si>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</si>
  <si>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</si>
  <si>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</si>
  <si>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</si>
  <si>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</si>
  <si>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</si>
  <si>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</si>
  <si>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</si>
  <si>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</si>
  <si>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</si>
  <si>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</si>
  <si>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</si>
  <si>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</si>
  <si>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</si>
  <si>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</si>
  <si>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</si>
  <si>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</si>
  <si>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</si>
  <si>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</si>
  <si>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</si>
  <si>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</si>
  <si>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</si>
  <si>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</si>
  <si>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</si>
  <si>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</si>
  <si>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</si>
  <si>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</si>
  <si>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</si>
  <si>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</si>
  <si>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</si>
  <si>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</si>
  <si>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</si>
  <si>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</si>
  <si>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</si>
  <si>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</si>
  <si>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</si>
  <si>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</si>
  <si>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</si>
  <si>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</si>
  <si>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</si>
  <si>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</si>
  <si>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</si>
  <si>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</si>
  <si>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</si>
  <si>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</si>
  <si>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</si>
  <si>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</si>
  <si>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</si>
  <si>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</si>
  <si>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</si>
  <si>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</si>
  <si>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</si>
  <si>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</si>
  <si>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</si>
  <si>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</si>
  <si>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</si>
  <si>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</si>
  <si>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</si>
  <si>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</si>
  <si>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</si>
  <si>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</si>
  <si>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</si>
  <si>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</si>
  <si>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</si>
  <si>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</si>
  <si>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</si>
  <si>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</si>
  <si>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</si>
  <si>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</si>
  <si>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</si>
  <si>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</si>
  <si>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</si>
  <si>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</si>
  <si>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</si>
  <si>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</si>
  <si>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</si>
  <si>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</si>
  <si>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</si>
  <si>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</si>
  <si>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</si>
  <si>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</si>
  <si>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</si>
  <si>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</si>
  <si>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</si>
  <si>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</si>
  <si>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</si>
  <si>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</si>
  <si>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</si>
  <si>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</si>
  <si>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</si>
  <si>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</si>
  <si>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</si>
  <si>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</si>
  <si>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</si>
  <si>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</si>
  <si>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</si>
  <si>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</si>
  <si>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</si>
  <si>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</si>
  <si>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</si>
  <si>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</si>
  <si>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</si>
  <si>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</si>
  <si>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</si>
  <si>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</si>
  <si>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</si>
  <si>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</si>
  <si>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</si>
  <si>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</si>
  <si>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</si>
  <si>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</si>
  <si>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</si>
  <si>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</si>
  <si>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</si>
  <si>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</si>
  <si>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</si>
  <si>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</si>
  <si>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</si>
  <si>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</si>
  <si>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</si>
  <si>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</si>
  <si>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</si>
  <si>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</si>
  <si>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</si>
  <si>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</si>
  <si>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</si>
  <si>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</si>
  <si>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</si>
  <si>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</si>
  <si>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</si>
  <si>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</si>
  <si>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</si>
  <si>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</si>
  <si>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</si>
  <si>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</si>
  <si>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</si>
  <si>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</si>
  <si>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</si>
  <si>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</si>
  <si>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</si>
  <si>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</si>
  <si>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</si>
  <si>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</si>
  <si>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</si>
  <si>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</si>
  <si>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</si>
  <si>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</si>
  <si>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</si>
  <si>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</si>
  <si>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</si>
  <si>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</si>
  <si>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</si>
  <si>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</si>
  <si>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</si>
  <si>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</si>
  <si>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</si>
  <si>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</si>
  <si>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</si>
  <si>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</si>
  <si>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</si>
  <si>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</si>
  <si>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</si>
  <si>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</si>
  <si>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</si>
  <si>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</si>
  <si>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</si>
  <si>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</si>
  <si>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</si>
  <si>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</si>
  <si>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</si>
  <si>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</si>
  <si>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</si>
  <si>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</si>
  <si>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</si>
  <si>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</si>
  <si>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</si>
  <si>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</si>
  <si>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</si>
  <si>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</si>
  <si>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</si>
  <si>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</si>
  <si>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</si>
  <si>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</si>
  <si>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</si>
  <si>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</si>
  <si>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</si>
  <si>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</si>
  <si>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</si>
  <si>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</si>
  <si>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</si>
  <si>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</si>
  <si>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</si>
  <si>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</si>
  <si>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</si>
  <si>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</si>
  <si>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</si>
  <si>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</si>
  <si>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</si>
  <si>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</si>
  <si>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</si>
  <si>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</si>
  <si>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</si>
  <si>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</si>
  <si>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</si>
  <si>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</si>
  <si>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</si>
  <si>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</si>
  <si>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</si>
  <si>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</si>
  <si>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</si>
  <si>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</si>
  <si>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</si>
  <si>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</si>
  <si>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</si>
  <si>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</si>
  <si>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</si>
  <si>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</si>
  <si>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</si>
  <si>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</si>
  <si>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</si>
  <si>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</si>
  <si>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</si>
  <si>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</si>
  <si>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</si>
  <si>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</si>
  <si>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</si>
  <si>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</si>
  <si>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</si>
  <si>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</si>
  <si>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</si>
  <si>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</si>
  <si>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</si>
  <si>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</si>
  <si>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</si>
  <si>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</si>
  <si>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</si>
  <si>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</si>
  <si>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</si>
  <si>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</si>
  <si>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</si>
  <si>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</si>
  <si>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</si>
  <si>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</si>
  <si>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</si>
  <si>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</si>
  <si>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</si>
  <si>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</si>
  <si>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</si>
  <si>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</si>
  <si>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</si>
  <si>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</si>
  <si>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</si>
  <si>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</si>
  <si>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</si>
  <si>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</si>
  <si>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</si>
  <si>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</si>
  <si>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</si>
  <si>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</si>
  <si>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</si>
  <si>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</si>
  <si>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</si>
  <si>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</si>
  <si>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</si>
  <si>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</si>
  <si>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</si>
  <si>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</si>
  <si>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</si>
  <si>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</si>
  <si>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</si>
  <si>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</si>
  <si>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</si>
  <si>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</si>
  <si>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</si>
  <si>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</si>
  <si>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</si>
  <si>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</si>
  <si>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</si>
  <si>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</si>
  <si>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</si>
  <si>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</si>
  <si>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</si>
  <si>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</si>
  <si>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</si>
  <si>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</si>
  <si>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</si>
  <si>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</si>
  <si>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</si>
  <si>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</si>
  <si>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</si>
  <si>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</si>
  <si>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</si>
  <si>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</si>
  <si>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</si>
  <si>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</si>
  <si>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</si>
  <si>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</si>
  <si>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</si>
  <si>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</si>
  <si>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</si>
  <si>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</si>
  <si>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</si>
  <si>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</si>
  <si>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</si>
  <si>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</si>
  <si>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</si>
  <si>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</si>
  <si>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</si>
  <si>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</si>
  <si>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</si>
  <si>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</si>
  <si>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</si>
  <si>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</si>
  <si>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</si>
  <si>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</si>
  <si>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</si>
  <si>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</si>
  <si>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</si>
  <si>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</si>
  <si>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</si>
  <si>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</si>
  <si>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</si>
  <si>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</si>
  <si>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</si>
  <si>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</si>
  <si>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</si>
  <si>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</si>
  <si>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</si>
  <si>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</si>
  <si>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</si>
  <si>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</si>
  <si>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</si>
  <si>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</si>
  <si>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</si>
  <si>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</si>
  <si>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</si>
  <si>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</si>
  <si>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</si>
  <si>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</si>
  <si>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</si>
  <si>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</si>
  <si>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</si>
  <si>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</si>
  <si>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</si>
  <si>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</si>
  <si>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</si>
  <si>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</si>
  <si>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</si>
  <si>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</si>
  <si>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</si>
  <si>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</si>
  <si>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</si>
  <si>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</si>
  <si>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</si>
  <si>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</si>
  <si>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</si>
  <si>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</si>
  <si>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</si>
  <si>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</si>
  <si>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</si>
  <si>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</si>
  <si>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</si>
  <si>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</si>
  <si>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</si>
  <si>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</si>
  <si>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</si>
  <si>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</si>
  <si>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</si>
  <si>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</si>
  <si>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</si>
  <si>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</si>
  <si>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</si>
  <si>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</si>
  <si>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</si>
  <si>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</si>
  <si>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</si>
  <si>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</si>
  <si>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</si>
  <si>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</si>
  <si>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</si>
  <si>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</si>
  <si>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</si>
  <si>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</si>
  <si>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</si>
  <si>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</si>
  <si>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</si>
  <si>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</si>
  <si>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</si>
  <si>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</si>
  <si>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</si>
  <si>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</si>
  <si>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</si>
  <si>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</si>
  <si>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</si>
  <si>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</si>
  <si>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</si>
  <si>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</si>
  <si>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</si>
  <si>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</si>
  <si>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</si>
  <si>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</si>
  <si>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</si>
  <si>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</si>
  <si>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</si>
  <si>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</si>
  <si>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</si>
  <si>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</si>
  <si>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</si>
  <si>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</si>
  <si>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</si>
  <si>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</si>
  <si>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</si>
  <si>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</si>
  <si>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</si>
  <si>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</si>
  <si>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</si>
  <si>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</si>
  <si>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</si>
  <si>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</si>
  <si>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</si>
  <si>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</si>
  <si>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</si>
  <si>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</si>
  <si>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</si>
  <si>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</si>
  <si>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</si>
  <si>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</si>
  <si>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</si>
  <si>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</si>
  <si>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</si>
  <si>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</si>
  <si>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</si>
  <si>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</si>
  <si>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</si>
  <si>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</si>
  <si>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</si>
  <si>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</si>
  <si>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</si>
  <si>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</si>
  <si>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</si>
  <si>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</si>
  <si>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</si>
  <si>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</si>
  <si>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</si>
  <si>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</si>
  <si>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</si>
  <si>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</si>
  <si>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</si>
  <si>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</si>
  <si>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</si>
  <si>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</si>
  <si>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</si>
  <si>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</si>
  <si>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</si>
  <si>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</si>
  <si>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</si>
  <si>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</si>
  <si>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</si>
  <si>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</si>
  <si>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</si>
  <si>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</si>
  <si>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</si>
  <si>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</si>
  <si>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</si>
  <si>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</si>
  <si>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</si>
  <si>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</si>
  <si>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</si>
  <si>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</si>
  <si>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</si>
  <si>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</si>
  <si>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</si>
  <si>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</si>
  <si>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</si>
  <si>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</si>
  <si>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</si>
  <si>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</si>
  <si>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</si>
  <si>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</si>
  <si>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</si>
  <si>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</si>
  <si>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</si>
  <si>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</si>
  <si>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</si>
  <si>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</si>
  <si>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</si>
  <si>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</si>
  <si>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</si>
  <si>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</si>
  <si>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</si>
  <si>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</si>
  <si>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</si>
  <si>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</si>
  <si>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</si>
  <si>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</si>
  <si>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</si>
  <si>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</si>
  <si>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</si>
  <si>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</si>
  <si>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</si>
  <si>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</si>
  <si>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</si>
  <si>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</si>
  <si>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</si>
  <si>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</si>
  <si>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</si>
  <si>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</si>
  <si>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</si>
  <si>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</si>
  <si>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</si>
  <si>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</si>
  <si>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</si>
  <si>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</si>
  <si>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</si>
  <si>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</si>
  <si>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</si>
  <si>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</si>
  <si>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</si>
  <si>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</si>
  <si>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</si>
  <si>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</si>
  <si>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</si>
  <si>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</si>
  <si>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</si>
  <si>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</si>
  <si>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</si>
  <si>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</si>
  <si>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</si>
  <si>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</si>
  <si>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</si>
  <si>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</si>
  <si>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</si>
  <si>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</si>
  <si>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</si>
  <si>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</si>
  <si>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</si>
  <si>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</si>
  <si>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</si>
  <si>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</si>
  <si>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</si>
  <si>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</si>
  <si>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</si>
  <si>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</si>
  <si>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</si>
  <si>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</si>
  <si>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</si>
  <si>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</si>
  <si>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</si>
  <si>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</si>
  <si>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</si>
  <si>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</si>
  <si>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</si>
  <si>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</si>
  <si>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</si>
  <si>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</si>
  <si>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</si>
  <si>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</si>
  <si>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</si>
  <si>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</si>
  <si>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</si>
  <si>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</si>
  <si>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</si>
  <si>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</si>
  <si>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</si>
  <si>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</si>
  <si>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</si>
  <si>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</si>
  <si>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</si>
  <si>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</si>
  <si>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</si>
  <si>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</si>
  <si>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</si>
  <si>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</si>
  <si>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</si>
  <si>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</si>
  <si>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</si>
  <si>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</si>
  <si>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</si>
  <si>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</si>
  <si>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</si>
  <si>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</si>
  <si>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</si>
  <si>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</si>
  <si>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</si>
  <si>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</si>
  <si>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</si>
  <si>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</si>
  <si>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</si>
  <si>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</si>
  <si>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</si>
  <si>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</si>
  <si>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</si>
  <si>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</si>
  <si>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</si>
  <si>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</si>
  <si>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</si>
  <si>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</si>
  <si>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</si>
  <si>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</si>
  <si>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</si>
  <si>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</si>
  <si>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</si>
  <si>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</si>
  <si>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</si>
  <si>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</si>
  <si>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</si>
  <si>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</si>
  <si>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</si>
  <si>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</si>
  <si>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</si>
  <si>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</si>
  <si>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</si>
  <si>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</si>
  <si>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</si>
  <si>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</si>
  <si>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</si>
  <si>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</si>
  <si>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</si>
  <si>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</si>
  <si>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</si>
  <si>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</si>
  <si>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</si>
  <si>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</si>
  <si>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</si>
  <si>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</si>
  <si>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</si>
  <si>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</si>
  <si>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</si>
  <si>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</si>
  <si>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</si>
  <si>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</si>
  <si>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</si>
  <si>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</si>
  <si>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</si>
  <si>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</si>
  <si>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</si>
  <si>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</si>
  <si>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</si>
  <si>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</si>
  <si>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</si>
  <si>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</si>
  <si>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</si>
  <si>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</si>
  <si>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</si>
  <si>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</si>
  <si>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</si>
  <si>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</si>
  <si>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</si>
  <si>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</si>
  <si>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</si>
  <si>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</si>
  <si>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</si>
  <si>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</si>
  <si>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</si>
  <si>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</si>
  <si>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</si>
  <si>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</si>
  <si>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</si>
  <si>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</si>
  <si>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</si>
  <si>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</si>
  <si>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</si>
  <si>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</si>
  <si>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</si>
  <si>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</si>
  <si>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</si>
  <si>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</si>
  <si>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</si>
  <si>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</si>
  <si>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</si>
  <si>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</si>
  <si>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</si>
  <si>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</si>
  <si>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</si>
  <si>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</si>
  <si>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</si>
  <si>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</si>
  <si>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</si>
  <si>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</si>
  <si>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</si>
  <si>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</si>
  <si>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</si>
  <si>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</si>
  <si>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</si>
  <si>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</si>
  <si>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</si>
  <si>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</si>
  <si>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</si>
  <si>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</si>
  <si>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</si>
  <si>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</si>
  <si>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</si>
  <si>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</si>
  <si>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</si>
  <si>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</si>
  <si>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</si>
  <si>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</si>
  <si>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</si>
  <si>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</si>
  <si>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</si>
  <si>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</si>
  <si>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</si>
  <si>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</si>
  <si>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</si>
  <si>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</si>
  <si>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</si>
  <si>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</si>
  <si>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</si>
  <si>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</si>
  <si>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</si>
  <si>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</si>
  <si>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</si>
  <si>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</si>
  <si>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</si>
  <si>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</si>
  <si>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</si>
  <si>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</si>
  <si>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</si>
  <si>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</si>
  <si>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Sycamore Township</t>
  </si>
  <si>
    <t>Utilities</t>
  </si>
  <si>
    <t>Operations</t>
  </si>
  <si>
    <t>Rent</t>
  </si>
  <si>
    <t>Utilities &amp; Building Maintenance</t>
  </si>
  <si>
    <t>August 11, 2014</t>
  </si>
  <si>
    <t>5:30 PM</t>
  </si>
  <si>
    <t>Sycamore Township Hall, Sycamore</t>
  </si>
  <si>
    <t>Montgomery County Clerk's Office, Courthouse, Independence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</si>
</sst>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Sycamore Township</v>
      </c>
      <c r="C1" s="167"/>
      <c r="D1" s="167"/>
      <c r="E1" s="167"/>
      <c r="F1" s="167"/>
      <c r="G1" s="167"/>
      <c r="H1" s="167"/>
      <c r="I1" s="167"/>
      <c r="J1" s="14"/>
      <c r="K1" s="14"/>
      <c r="L1" s="15">
        <f>inputPrYr!D5</f>
        <v>2015</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2014</v>
      </c>
      <c r="J6" s="176"/>
      <c r="K6" s="175">
        <f>L1</f>
        <v>2015</v>
      </c>
      <c r="L6" s="176"/>
    </row>
    <row r="7" spans="2:12" ht="15.75">
      <c r="B7" s="177" t="s">
        <v>831</v>
      </c>
      <c r="C7" s="177" t="s">
        <v>58</v>
      </c>
      <c r="D7" s="177" t="s">
        <v>29</v>
      </c>
      <c r="E7" s="177" t="s">
        <v>59</v>
      </c>
      <c r="F7" s="178" t="str">
        <f>CONCATENATE("Jan 1,",L1-1,"")</f>
        <v>Jan 1,2014</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1,2014</v>
      </c>
      <c r="H23" s="177">
        <f>L1-1</f>
        <v>2014</v>
      </c>
      <c r="I23" s="177">
        <f>L1</f>
        <v>2015</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2015</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Sycamore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2014</v>
      </c>
      <c r="F14" s="556"/>
      <c r="G14" s="560">
        <f>inputPrYr!D5</f>
        <v>2015</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10910538</v>
      </c>
      <c r="F27" s="556"/>
      <c r="G27" s="561">
        <f>summ!G37</f>
        <v>11797448</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2015 library fund is not equal to or greater than the amount from the same</v>
      </c>
      <c r="C46" s="556"/>
      <c r="D46" s="556"/>
      <c r="E46" s="556"/>
      <c r="F46" s="556"/>
      <c r="G46" s="556"/>
      <c r="H46" s="556"/>
      <c r="I46" s="556"/>
    </row>
    <row r="47" spans="2:9" ht="15.75">
      <c r="B47" s="573" t="str">
        <f>CONCATENATE("sources in ",E14,".")</f>
        <v>sources in 2014.</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2015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2015 is equal to or greater than that for Current Year Estimate 2014.</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(2014)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2015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7">
      <selection activeCell="D36" sqref="D36"/>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Sycamore Township</v>
      </c>
      <c r="C1" s="14"/>
      <c r="D1" s="14"/>
      <c r="E1" s="15">
        <f>inputPrYr!D5</f>
        <v>2015</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2013</v>
      </c>
      <c r="D5" s="386" t="str">
        <f>CONCATENATE("Estimate for ",$E$1-1,"")</f>
        <v>Estimate for 2014</v>
      </c>
      <c r="E5" s="26" t="str">
        <f>CONCATENATE("Year for ",$E$1,"")</f>
        <v>Year for 2015</v>
      </c>
    </row>
    <row r="6" spans="2:5" ht="15.75">
      <c r="B6" s="27" t="s">
        <v>118</v>
      </c>
      <c r="C6" s="29">
        <v>12811</v>
      </c>
      <c r="D6" s="387">
        <f>C51</f>
        <v>12450.76</v>
      </c>
      <c r="E6" s="32">
        <f>D51</f>
        <v>8636.76</v>
      </c>
    </row>
    <row r="7" spans="2:5" ht="15.75">
      <c r="B7" s="27" t="s">
        <v>120</v>
      </c>
      <c r="C7" s="387"/>
      <c r="D7" s="387"/>
      <c r="E7" s="33"/>
    </row>
    <row r="8" spans="2:5" ht="15.75">
      <c r="B8" s="27" t="s">
        <v>16</v>
      </c>
      <c r="C8" s="29">
        <v>1047.76</v>
      </c>
      <c r="D8" s="387">
        <f>IF(inputPrYr!H15&gt;0,inputPrYr!G16,inputPrYr!E16)</f>
        <v>1059</v>
      </c>
      <c r="E8" s="33" t="s">
        <v>289</v>
      </c>
    </row>
    <row r="9" spans="2:5" ht="15.75">
      <c r="B9" s="27" t="s">
        <v>17</v>
      </c>
      <c r="C9" s="29">
        <v>20</v>
      </c>
      <c r="D9" s="29">
        <v>0</v>
      </c>
      <c r="E9" s="34">
        <v>0</v>
      </c>
    </row>
    <row r="10" spans="2:5" ht="15.75">
      <c r="B10" s="27" t="s">
        <v>18</v>
      </c>
      <c r="C10" s="29">
        <v>96</v>
      </c>
      <c r="D10" s="29">
        <v>118</v>
      </c>
      <c r="E10" s="32">
        <f>mvalloc!G11</f>
        <v>121</v>
      </c>
    </row>
    <row r="11" spans="2:5" ht="15.75">
      <c r="B11" s="27" t="s">
        <v>19</v>
      </c>
      <c r="C11" s="29">
        <v>1</v>
      </c>
      <c r="D11" s="29">
        <v>1</v>
      </c>
      <c r="E11" s="32">
        <f>mvalloc!I11</f>
        <v>1</v>
      </c>
    </row>
    <row r="12" spans="2:5" ht="15.75">
      <c r="B12" s="35" t="s">
        <v>69</v>
      </c>
      <c r="C12" s="29">
        <v>14</v>
      </c>
      <c r="D12" s="29">
        <v>8</v>
      </c>
      <c r="E12" s="32">
        <f>mvalloc!J11</f>
        <v>9</v>
      </c>
    </row>
    <row r="13" spans="2:5" ht="15.75">
      <c r="B13" s="35" t="s">
        <v>161</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6</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1184.76</v>
      </c>
      <c r="D26" s="389">
        <f>SUM(D8:D24)</f>
        <v>1186</v>
      </c>
      <c r="E26" s="42">
        <f>SUM(E8:E24)</f>
        <v>131</v>
      </c>
    </row>
    <row r="27" spans="2:5" ht="15.75">
      <c r="B27" s="43" t="s">
        <v>24</v>
      </c>
      <c r="C27" s="389">
        <f>C26+C6</f>
        <v>13995.76</v>
      </c>
      <c r="D27" s="389">
        <f>D26+D6</f>
        <v>13636.76</v>
      </c>
      <c r="E27" s="42">
        <f>E26+E6</f>
        <v>8767.76</v>
      </c>
    </row>
    <row r="28" spans="2:5" ht="15.75">
      <c r="B28" s="27" t="s">
        <v>25</v>
      </c>
      <c r="C28" s="387"/>
      <c r="D28" s="387"/>
      <c r="E28" s="32"/>
    </row>
    <row r="29" spans="2:5" ht="15.75">
      <c r="B29" s="37"/>
      <c r="C29" s="29"/>
      <c r="D29" s="29"/>
      <c r="E29" s="34"/>
    </row>
    <row r="30" spans="2:5" ht="15.75">
      <c r="B30" s="38" t="s">
        <v>101</v>
      </c>
      <c r="C30" s="29">
        <v>750</v>
      </c>
      <c r="D30" s="29">
        <v>750</v>
      </c>
      <c r="E30" s="34">
        <v>750</v>
      </c>
    </row>
    <row r="31" spans="2:5" ht="15.75">
      <c r="B31" s="38" t="s">
        <v>125</v>
      </c>
      <c r="C31" s="29"/>
      <c r="D31" s="29">
        <v>0</v>
      </c>
      <c r="E31" s="34">
        <v>0</v>
      </c>
    </row>
    <row r="32" spans="2:5" ht="15.75">
      <c r="B32" s="38" t="s">
        <v>102</v>
      </c>
      <c r="C32" s="29"/>
      <c r="D32" s="29">
        <v>0</v>
      </c>
      <c r="E32" s="34">
        <v>0</v>
      </c>
    </row>
    <row r="33" spans="2:5" ht="15.75">
      <c r="B33" s="38" t="s">
        <v>36</v>
      </c>
      <c r="C33" s="29"/>
      <c r="D33" s="29">
        <v>250</v>
      </c>
      <c r="E33" s="34">
        <v>250</v>
      </c>
    </row>
    <row r="34" spans="2:5" ht="15.75">
      <c r="B34" s="37" t="s">
        <v>103</v>
      </c>
      <c r="C34" s="29"/>
      <c r="D34" s="29">
        <v>0</v>
      </c>
      <c r="E34" s="34">
        <v>0</v>
      </c>
    </row>
    <row r="35" spans="2:5" ht="15.75">
      <c r="B35" s="37" t="s">
        <v>126</v>
      </c>
      <c r="C35" s="29"/>
      <c r="D35" s="29">
        <v>2000</v>
      </c>
      <c r="E35" s="34">
        <v>5950</v>
      </c>
    </row>
    <row r="36" spans="2:5" ht="15.75">
      <c r="B36" s="38" t="s">
        <v>128</v>
      </c>
      <c r="C36" s="29"/>
      <c r="D36" s="29">
        <v>0</v>
      </c>
      <c r="E36" s="34">
        <v>1500</v>
      </c>
    </row>
    <row r="37" spans="2:5" ht="15.75">
      <c r="B37" s="38" t="s">
        <v>947</v>
      </c>
      <c r="C37" s="29">
        <v>786</v>
      </c>
      <c r="D37" s="29">
        <v>1000</v>
      </c>
      <c r="E37" s="34">
        <v>1000</v>
      </c>
    </row>
    <row r="38" spans="2:5" ht="15.75">
      <c r="B38" s="37" t="s">
        <v>948</v>
      </c>
      <c r="C38" s="29"/>
      <c r="D38" s="29">
        <v>1000</v>
      </c>
      <c r="E38" s="34">
        <v>2000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2016</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2015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v>9</v>
      </c>
      <c r="D48" s="29"/>
      <c r="E48" s="34"/>
      <c r="G48" s="805" t="str">
        <f>CONCATENATE("Projected Carryover Into ",E1+1,"")</f>
        <v>Projected Carryover Into 2016</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1545</v>
      </c>
      <c r="D50" s="381">
        <f>SUM(D29:D48)</f>
        <v>5000</v>
      </c>
      <c r="E50" s="47">
        <f>SUM(E29:E43,E45,E47:E48)</f>
        <v>11450</v>
      </c>
      <c r="G50" s="484">
        <f>D51</f>
        <v>8636.76</v>
      </c>
      <c r="H50" s="485" t="str">
        <f>CONCATENATE("",E1-1," Ending Cash Balance (est.)")</f>
        <v>2014 Ending Cash Balance (est.)</v>
      </c>
      <c r="I50" s="486"/>
      <c r="J50" s="257"/>
    </row>
    <row r="51" spans="2:10" ht="15.75">
      <c r="B51" s="27" t="s">
        <v>119</v>
      </c>
      <c r="C51" s="382">
        <f>C27-C50</f>
        <v>12450.76</v>
      </c>
      <c r="D51" s="382">
        <f>SUM(D27-D50)</f>
        <v>8636.76</v>
      </c>
      <c r="E51" s="33" t="s">
        <v>289</v>
      </c>
      <c r="G51" s="484">
        <f>E26</f>
        <v>131</v>
      </c>
      <c r="H51" s="487" t="str">
        <f>CONCATENATE("",E1," Non-AV Receipts (est.)")</f>
        <v>2015 Non-AV Receipts (est.)</v>
      </c>
      <c r="I51" s="486"/>
      <c r="J51" s="257"/>
    </row>
    <row r="52" spans="2:11" ht="15.75">
      <c r="B52" s="48" t="str">
        <f>CONCATENATE("",E1-2,"/",E1-1," Budget Authority Amount:")</f>
        <v>2013/2014 Budget Authority Amount:</v>
      </c>
      <c r="C52" s="132">
        <f>inputOth!B46</f>
        <v>4100</v>
      </c>
      <c r="D52" s="161">
        <f>inputPrYr!D16</f>
        <v>11150</v>
      </c>
      <c r="E52" s="33" t="s">
        <v>289</v>
      </c>
      <c r="F52" s="50"/>
      <c r="G52" s="488">
        <f>IF(D56&gt;0,E55,E57)</f>
        <v>2682.24</v>
      </c>
      <c r="H52" s="487" t="str">
        <f>CONCATENATE("",E1," Ad Valorem Tax (est.)")</f>
        <v>2015 Ad Valorem Tax (est.)</v>
      </c>
      <c r="I52" s="486"/>
      <c r="J52" s="257"/>
      <c r="K52" s="701" t="str">
        <f>IF(G52=E57,"","Note: Does not include Delinquent Taxes")</f>
        <v>Note: Does not include Delinquent Taxes</v>
      </c>
    </row>
    <row r="53" spans="2:10" ht="15.75">
      <c r="B53" s="48"/>
      <c r="C53" s="801" t="s">
        <v>622</v>
      </c>
      <c r="D53" s="802"/>
      <c r="E53" s="34"/>
      <c r="F53" s="482">
        <f>IF(E50/0.95-E50&lt;E53,"Exceeds 5%","")</f>
      </c>
      <c r="G53" s="484">
        <f>SUM(G50:G52)</f>
        <v>11450</v>
      </c>
      <c r="H53" s="487" t="str">
        <f>CONCATENATE("Total ",E1," Resources Available")</f>
        <v>Total 2015 Resources Available</v>
      </c>
      <c r="I53" s="486"/>
      <c r="J53" s="257"/>
    </row>
    <row r="54" spans="2:10" ht="15.75">
      <c r="B54" s="395" t="str">
        <f>CONCATENATE(C72,"     ",D72)</f>
        <v>     </v>
      </c>
      <c r="C54" s="803" t="s">
        <v>623</v>
      </c>
      <c r="D54" s="804"/>
      <c r="E54" s="32">
        <f>E50+E53</f>
        <v>11450</v>
      </c>
      <c r="G54" s="489"/>
      <c r="H54" s="487"/>
      <c r="I54" s="487"/>
      <c r="J54" s="257"/>
    </row>
    <row r="55" spans="2:10" ht="15.75">
      <c r="B55" s="395" t="str">
        <f>CONCATENATE(C73,"     ",D73)</f>
        <v>     </v>
      </c>
      <c r="C55" s="60"/>
      <c r="D55" s="52" t="s">
        <v>28</v>
      </c>
      <c r="E55" s="46">
        <f>IF(E54-E27&gt;0,E54-E27,0)</f>
        <v>2682.24</v>
      </c>
      <c r="G55" s="488">
        <f>ROUND(C50*0.05+C50,0)</f>
        <v>1622</v>
      </c>
      <c r="H55" s="487" t="str">
        <f>CONCATENATE("Less ",E1-2," Expenditures + 5%")</f>
        <v>Less 2013 Expenditures + 5%</v>
      </c>
      <c r="I55" s="486"/>
      <c r="J55" s="257"/>
    </row>
    <row r="56" spans="2:10" ht="15.75">
      <c r="B56" s="52"/>
      <c r="C56" s="399" t="s">
        <v>624</v>
      </c>
      <c r="D56" s="689">
        <f>inputOth!$E$40</f>
        <v>0.06</v>
      </c>
      <c r="E56" s="32">
        <f>ROUND(IF(D56&gt;0,(E55*D56),0),0)</f>
        <v>161</v>
      </c>
      <c r="G56" s="490">
        <f>G53-G55</f>
        <v>9828</v>
      </c>
      <c r="H56" s="491" t="str">
        <f>CONCATENATE("Projected ",E1+1," Carryover (est.)")</f>
        <v>Projected 2016 Carryover (est.)</v>
      </c>
      <c r="I56" s="492"/>
      <c r="J56" s="493"/>
    </row>
    <row r="57" spans="2:5" ht="15.75">
      <c r="B57" s="14"/>
      <c r="C57" s="799" t="str">
        <f>CONCATENATE("Amount of  ",$E$1-1," Ad Valorem Tax")</f>
        <v>Amount of  2014 Ad Valorem Tax</v>
      </c>
      <c r="D57" s="800"/>
      <c r="E57" s="46">
        <f>E55+E56</f>
        <v>2843.24</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0.241</v>
      </c>
      <c r="H60" s="485" t="str">
        <f>CONCATENATE("",E1," Fund Mill Rate")</f>
        <v>2015 Fund Mill Rate</v>
      </c>
      <c r="I60" s="691"/>
      <c r="J60" s="703"/>
      <c r="K60" s="16"/>
    </row>
    <row r="61" spans="2:10" ht="15.75">
      <c r="B61" s="52" t="s">
        <v>9</v>
      </c>
      <c r="C61" s="401">
        <f>IF(inputPrYr!D18&gt;0,7,6)</f>
        <v>6</v>
      </c>
      <c r="D61" s="14"/>
      <c r="E61" s="55"/>
      <c r="G61" s="705">
        <f>summ!F18</f>
        <v>0.097</v>
      </c>
      <c r="H61" s="485" t="str">
        <f>CONCATENATE("",E1-1," Fund Mill Rate")</f>
        <v>2014 Fund Mill Rate</v>
      </c>
      <c r="I61" s="691"/>
      <c r="J61" s="703"/>
    </row>
    <row r="62" spans="7:10" ht="15.75">
      <c r="G62" s="706">
        <f>summ!I32</f>
        <v>0.604</v>
      </c>
      <c r="H62" s="485" t="str">
        <f>CONCATENATE("Total ",E1," Mill Rate")</f>
        <v>Total 2015 Mill Rate</v>
      </c>
      <c r="I62" s="691"/>
      <c r="J62" s="703"/>
    </row>
    <row r="63" spans="2:10" ht="15.75">
      <c r="B63" s="12"/>
      <c r="G63" s="705">
        <f>summ!F32</f>
        <v>0.379</v>
      </c>
      <c r="H63" s="707" t="str">
        <f>CONCATENATE("Total ",E1-1," Mill Rate")</f>
        <v>Total 2014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Sycamore Township</v>
      </c>
      <c r="C1" s="579"/>
      <c r="D1" s="580"/>
      <c r="E1" s="581">
        <f>inputPrYr!D5</f>
        <v>2015</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2013</v>
      </c>
      <c r="D5" s="592" t="str">
        <f>CONCATENATE("Estimate for ",$E$1-1,"")</f>
        <v>Estimate for 2014</v>
      </c>
      <c r="E5" s="593" t="str">
        <f>CONCATENATE("Year for ",$E$1,"")</f>
        <v>Year for 2015</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2016</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2015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2016</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2014 Ending Cash Balance (est.)</v>
      </c>
      <c r="I33" s="633"/>
      <c r="J33" s="628"/>
    </row>
    <row r="34" spans="2:10" ht="15.75">
      <c r="B34" s="594" t="s">
        <v>119</v>
      </c>
      <c r="C34" s="634">
        <f>C21-C33</f>
        <v>0</v>
      </c>
      <c r="D34" s="634">
        <f>D21-D33</f>
        <v>0</v>
      </c>
      <c r="E34" s="600" t="s">
        <v>289</v>
      </c>
      <c r="F34" s="635"/>
      <c r="G34" s="631">
        <f>E20</f>
        <v>0</v>
      </c>
      <c r="H34" s="615" t="str">
        <f>CONCATENATE("",E1," Non-AV Receipts (est.)")</f>
        <v>2015 Non-AV Receipts (est.)</v>
      </c>
      <c r="I34" s="633"/>
      <c r="J34" s="628"/>
    </row>
    <row r="35" spans="2:11" ht="15.75">
      <c r="B35" s="636" t="str">
        <f>CONCATENATE("",E1-2,"/",E1-1," Budget Authority Amount:")</f>
        <v>2013/2014 Budget Authority Amount:</v>
      </c>
      <c r="C35" s="637">
        <f>inputOth!B47</f>
        <v>0</v>
      </c>
      <c r="D35" s="638">
        <f>inputPrYr!D17</f>
        <v>0</v>
      </c>
      <c r="E35" s="600" t="s">
        <v>289</v>
      </c>
      <c r="F35" s="639"/>
      <c r="G35" s="640">
        <f>IF(E39&gt;0,E38,E40)</f>
        <v>0</v>
      </c>
      <c r="H35" s="615" t="str">
        <f>CONCATENATE("",E1," Ad Valorem Tax (est.)")</f>
        <v>2015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2015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2013 Expenditures</v>
      </c>
      <c r="I38" s="615"/>
      <c r="J38" s="628"/>
    </row>
    <row r="39" spans="2:10" ht="15.75">
      <c r="B39" s="583"/>
      <c r="C39" s="399" t="s">
        <v>624</v>
      </c>
      <c r="D39" s="647">
        <f>inputOth!E40</f>
        <v>0.06</v>
      </c>
      <c r="E39" s="597">
        <f>ROUND(IF(D39&gt;0,(E38*D39),0),0)</f>
        <v>0</v>
      </c>
      <c r="F39" s="635"/>
      <c r="G39" s="648">
        <f>G36-G38</f>
        <v>0</v>
      </c>
      <c r="H39" s="649" t="str">
        <f>CONCATENATE("Projected ",E1+1," carryover (est.)")</f>
        <v>Projected 2016 carryover (est.)</v>
      </c>
      <c r="I39" s="650"/>
      <c r="J39" s="651"/>
    </row>
    <row r="40" spans="2:6" ht="16.5" thickBot="1">
      <c r="B40" s="580"/>
      <c r="C40" s="816" t="str">
        <f>CONCATENATE("Amount of  ",E1-1," Ad Valorem Tax")</f>
        <v>Amount of  2014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2015 Fund Mill Rate</v>
      </c>
      <c r="I43" s="656"/>
      <c r="J43" s="657"/>
    </row>
    <row r="44" spans="2:10" ht="15.75">
      <c r="B44" s="586" t="s">
        <v>10</v>
      </c>
      <c r="C44" s="587" t="s">
        <v>821</v>
      </c>
      <c r="D44" s="588" t="s">
        <v>822</v>
      </c>
      <c r="E44" s="589" t="s">
        <v>823</v>
      </c>
      <c r="F44" s="635"/>
      <c r="G44" s="659" t="str">
        <f>summ!F19</f>
        <v>  </v>
      </c>
      <c r="H44" s="632" t="str">
        <f>CONCATENATE("",E1-1," Fund Mill Rate")</f>
        <v>2014 Fund Mill Rate</v>
      </c>
      <c r="I44" s="656"/>
      <c r="J44" s="657"/>
    </row>
    <row r="45" spans="2:10" ht="15.75">
      <c r="B45" s="660" t="str">
        <f>inputPrYr!B18</f>
        <v>Library</v>
      </c>
      <c r="C45" s="591" t="str">
        <f>CONCATENATE("Actual for ",$E$1-2,"")</f>
        <v>Actual for 2013</v>
      </c>
      <c r="D45" s="592" t="str">
        <f>CONCATENATE("Estimate for ",$E$1-1,"")</f>
        <v>Estimate for 2014</v>
      </c>
      <c r="E45" s="593" t="str">
        <f>CONCATENATE("Year for ",$E$1,"")</f>
        <v>Year for 2015</v>
      </c>
      <c r="F45" s="635"/>
      <c r="G45" s="661">
        <f>summ!I32</f>
        <v>0.604</v>
      </c>
      <c r="H45" s="632" t="str">
        <f>CONCATENATE("Total ",E1," Mill Rate")</f>
        <v>Total 2015 Mill Rate</v>
      </c>
      <c r="I45" s="656"/>
      <c r="J45" s="657"/>
    </row>
    <row r="46" spans="2:10" ht="15.75">
      <c r="B46" s="594" t="s">
        <v>144</v>
      </c>
      <c r="C46" s="599">
        <v>0</v>
      </c>
      <c r="D46" s="596">
        <f>C74</f>
        <v>0</v>
      </c>
      <c r="E46" s="597">
        <f>D74</f>
        <v>0</v>
      </c>
      <c r="F46" s="635"/>
      <c r="G46" s="659">
        <f>summ!F32</f>
        <v>0.379</v>
      </c>
      <c r="H46" s="662" t="str">
        <f>CONCATENATE("Total ",E1-1," Mill Rate")</f>
        <v>Total 2014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2016</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2015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2016</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2014 Ending Cash Balance (est.)</v>
      </c>
      <c r="I73" s="633"/>
      <c r="J73" s="668"/>
    </row>
    <row r="74" spans="2:10" ht="15.75">
      <c r="B74" s="594" t="s">
        <v>119</v>
      </c>
      <c r="C74" s="634">
        <f>C61-C73</f>
        <v>0</v>
      </c>
      <c r="D74" s="634">
        <f>D61-D73</f>
        <v>0</v>
      </c>
      <c r="E74" s="600" t="s">
        <v>289</v>
      </c>
      <c r="F74" s="635"/>
      <c r="G74" s="631">
        <f>E60</f>
        <v>0</v>
      </c>
      <c r="H74" s="615" t="str">
        <f>CONCATENATE("",E1," Non-AV Receipts (est.)")</f>
        <v>2015 Non-AV Receipts (est.)</v>
      </c>
      <c r="I74" s="633"/>
      <c r="J74" s="668"/>
    </row>
    <row r="75" spans="2:11" ht="15.75">
      <c r="B75" s="636" t="str">
        <f>CONCATENATE("",E1-2,"/",E1-1," Budget Authority Amount:")</f>
        <v>2013/2014 Budget Authority Amount:</v>
      </c>
      <c r="C75" s="637">
        <f>inputOth!B48</f>
        <v>0</v>
      </c>
      <c r="D75" s="637">
        <f>inputPrYr!D18</f>
        <v>0</v>
      </c>
      <c r="E75" s="600" t="s">
        <v>289</v>
      </c>
      <c r="F75" s="639"/>
      <c r="G75" s="640">
        <f>IF(E79&gt;0,E78,E80)</f>
        <v>0</v>
      </c>
      <c r="H75" s="615" t="str">
        <f>CONCATENATE("",E1," Ad Valorem Tax (est.)")</f>
        <v>2015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2015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2013 Expenditures + 5%</v>
      </c>
      <c r="I78" s="671"/>
      <c r="J78" s="668"/>
    </row>
    <row r="79" spans="2:10" ht="15.75">
      <c r="B79" s="583"/>
      <c r="C79" s="399" t="s">
        <v>624</v>
      </c>
      <c r="D79" s="647">
        <f>inputOth!E40</f>
        <v>0.06</v>
      </c>
      <c r="E79" s="597">
        <f>ROUND(IF(E78&gt;0,(E78*D79),0),0)</f>
        <v>0</v>
      </c>
      <c r="F79" s="635"/>
      <c r="G79" s="648">
        <f>G76-G78</f>
        <v>0</v>
      </c>
      <c r="H79" s="649" t="str">
        <f>CONCATENATE("Projected ",E1+1," carryover (est.)")</f>
        <v>Projected 2016 carryover (est.)</v>
      </c>
      <c r="I79" s="674"/>
      <c r="J79" s="675"/>
    </row>
    <row r="80" spans="2:6" ht="16.5" thickBot="1">
      <c r="B80" s="580"/>
      <c r="C80" s="816" t="str">
        <f>CONCATENATE("Amount of  ",E1-1," Ad Valorem Tax")</f>
        <v>Amount of  2014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2015 Fund Mill Rate</v>
      </c>
      <c r="I83" s="656"/>
      <c r="J83" s="657"/>
    </row>
    <row r="84" spans="7:10" ht="15.75">
      <c r="G84" s="659" t="str">
        <f>summ!F20</f>
        <v>  </v>
      </c>
      <c r="H84" s="632" t="str">
        <f>CONCATENATE("",E1-1," Fund Mill Rate")</f>
        <v>2014 Fund Mill Rate</v>
      </c>
      <c r="I84" s="656"/>
      <c r="J84" s="657"/>
    </row>
    <row r="85" spans="7:10" ht="15.75">
      <c r="G85" s="661">
        <f>summ!I32</f>
        <v>0.604</v>
      </c>
      <c r="H85" s="632" t="str">
        <f>CONCATENATE("Total ",E1," Mill Rate")</f>
        <v>Total 2015 Mill Rate</v>
      </c>
      <c r="I85" s="656"/>
      <c r="J85" s="657"/>
    </row>
    <row r="86" spans="7:10" ht="15.75">
      <c r="G86" s="659">
        <f>summ!F32</f>
        <v>0.379</v>
      </c>
      <c r="H86" s="662" t="str">
        <f>CONCATENATE("Total ",E1-1," Mill Rate")</f>
        <v>Total 2014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2013</v>
      </c>
      <c r="D5" s="386" t="str">
        <f>gen!D5</f>
        <v>Estimate for 2014</v>
      </c>
      <c r="E5" s="26" t="str">
        <f>gen!E5</f>
        <v>Year for 2015</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2016</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2015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2016</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2014 Ending Cash Balance (est.)</v>
      </c>
      <c r="I43" s="486"/>
      <c r="J43" s="257"/>
    </row>
    <row r="44" spans="2:10" ht="15.75">
      <c r="B44" s="27" t="s">
        <v>119</v>
      </c>
      <c r="C44" s="382">
        <f>C24-C43</f>
        <v>0</v>
      </c>
      <c r="D44" s="382">
        <f>D24-D43</f>
        <v>0</v>
      </c>
      <c r="E44" s="33" t="s">
        <v>289</v>
      </c>
      <c r="G44" s="484">
        <f>E23</f>
        <v>0</v>
      </c>
      <c r="H44" s="487" t="str">
        <f>CONCATENATE("",E1," Non-AV Receipts (est.)")</f>
        <v>2015 Non-AV Receipts (est.)</v>
      </c>
      <c r="I44" s="486"/>
      <c r="J44" s="257"/>
    </row>
    <row r="45" spans="2:11" ht="15.75">
      <c r="B45" s="48" t="str">
        <f>CONCATENATE("",E1-2,"/",E1-1," Budget Authority Amount:")</f>
        <v>2013/2014 Budget Authority Amount:</v>
      </c>
      <c r="C45" s="132">
        <f>inputOth!B49</f>
        <v>0</v>
      </c>
      <c r="D45" s="161">
        <f>inputPrYr!D19</f>
        <v>0</v>
      </c>
      <c r="E45" s="33" t="s">
        <v>289</v>
      </c>
      <c r="F45" s="50"/>
      <c r="G45" s="488">
        <f>IF(D49&gt;0,E48,E50)</f>
        <v>0</v>
      </c>
      <c r="H45" s="487" t="str">
        <f>CONCATENATE("",E1," Ad Valorem Tax (est.)")</f>
        <v>2015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2015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2013 Expenditures + 5%</v>
      </c>
      <c r="I48" s="486"/>
      <c r="J48" s="257"/>
    </row>
    <row r="49" spans="2:10" ht="15.75">
      <c r="B49" s="52"/>
      <c r="C49" s="399" t="s">
        <v>624</v>
      </c>
      <c r="D49" s="689">
        <f>inputOth!$E$40</f>
        <v>0.06</v>
      </c>
      <c r="E49" s="32">
        <f>ROUND(IF(D49&gt;0,(E48*D49),0),0)</f>
        <v>0</v>
      </c>
      <c r="G49" s="490">
        <f>G46-G48</f>
        <v>0</v>
      </c>
      <c r="H49" s="491" t="str">
        <f>CONCATENATE("Projected ",E1+1," Carryover (est.)")</f>
        <v>Projected 2016 Carryover (est.)</v>
      </c>
      <c r="I49" s="492"/>
      <c r="J49" s="493"/>
    </row>
    <row r="50" spans="2:5" ht="15.75">
      <c r="B50" s="14"/>
      <c r="C50" s="799" t="str">
        <f>CONCATENATE("Amount of  ",$E$1-1," Ad Valorem Tax")</f>
        <v>Amount of  2014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2015 Fund Mill Rate</v>
      </c>
      <c r="I53" s="691"/>
      <c r="J53" s="703"/>
    </row>
    <row r="54" spans="2:10" ht="15.75">
      <c r="B54" s="71" t="s">
        <v>31</v>
      </c>
      <c r="C54" s="400" t="str">
        <f>CONCATENATE("",E1-2," Actual Year")</f>
        <v>2013 Actual Year</v>
      </c>
      <c r="D54" s="14"/>
      <c r="E54" s="14"/>
      <c r="G54" s="705" t="str">
        <f>summ!F21</f>
        <v>  </v>
      </c>
      <c r="H54" s="485" t="str">
        <f>CONCATENATE("",E1-1," Fund Mill Rate")</f>
        <v>2014 Fund Mill Rate</v>
      </c>
      <c r="I54" s="691"/>
      <c r="J54" s="703"/>
    </row>
    <row r="55" spans="2:10" ht="15.75">
      <c r="B55" s="72" t="s">
        <v>14</v>
      </c>
      <c r="C55" s="130"/>
      <c r="D55" s="14"/>
      <c r="E55" s="14"/>
      <c r="G55" s="706">
        <f>summ!I32</f>
        <v>0.604</v>
      </c>
      <c r="H55" s="485" t="str">
        <f>CONCATENATE("Total ",E1," Mill Rate")</f>
        <v>Total 2015 Mill Rate</v>
      </c>
      <c r="I55" s="691"/>
      <c r="J55" s="703"/>
    </row>
    <row r="56" spans="2:10" ht="15.75">
      <c r="B56" s="72" t="s">
        <v>33</v>
      </c>
      <c r="C56" s="132"/>
      <c r="D56" s="14"/>
      <c r="E56" s="14"/>
      <c r="G56" s="705">
        <f>summ!F32</f>
        <v>0.379</v>
      </c>
      <c r="H56" s="707" t="str">
        <f>CONCATENATE("Total ",E1-1," Mill Rate")</f>
        <v>Total 2014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49">
      <selection activeCell="C81" sqref="C8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22" t="s">
        <v>35</v>
      </c>
      <c r="D1" s="14"/>
      <c r="E1" s="15">
        <f>inputPrYr!D5</f>
        <v>2015</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2013</v>
      </c>
      <c r="D5" s="386" t="str">
        <f>gen!D5</f>
        <v>Estimate for 2014</v>
      </c>
      <c r="E5" s="26" t="str">
        <f>gen!E5</f>
        <v>Year for 2015</v>
      </c>
    </row>
    <row r="6" spans="2:5" ht="15.75">
      <c r="B6" s="27" t="s">
        <v>118</v>
      </c>
      <c r="C6" s="29">
        <v>2875</v>
      </c>
      <c r="D6" s="387">
        <f>C34</f>
        <v>2419.85</v>
      </c>
      <c r="E6" s="32">
        <f>D34</f>
        <v>1378.8500000000004</v>
      </c>
    </row>
    <row r="7" spans="2:5" ht="15.75">
      <c r="B7" s="27" t="s">
        <v>120</v>
      </c>
      <c r="C7" s="387"/>
      <c r="D7" s="387"/>
      <c r="E7" s="33"/>
    </row>
    <row r="8" spans="2:5" ht="15.75">
      <c r="B8" s="27" t="s">
        <v>16</v>
      </c>
      <c r="C8" s="29">
        <v>2955</v>
      </c>
      <c r="D8" s="387">
        <f>IF(inputPrYr!H15&gt;0,inputPrYr!G20,inputPrYr!E20)</f>
        <v>3077</v>
      </c>
      <c r="E8" s="33" t="s">
        <v>289</v>
      </c>
    </row>
    <row r="9" spans="2:5" ht="15.75">
      <c r="B9" s="27" t="s">
        <v>17</v>
      </c>
      <c r="C9" s="29">
        <v>51</v>
      </c>
      <c r="D9" s="29">
        <v>75</v>
      </c>
      <c r="E9" s="34">
        <v>50</v>
      </c>
    </row>
    <row r="10" spans="2:5" ht="15.75">
      <c r="B10" s="27" t="s">
        <v>18</v>
      </c>
      <c r="C10" s="29">
        <v>239</v>
      </c>
      <c r="D10" s="29">
        <v>329</v>
      </c>
      <c r="E10" s="32">
        <f>mvalloc!G15</f>
        <v>353</v>
      </c>
    </row>
    <row r="11" spans="2:5" ht="15.75">
      <c r="B11" s="27" t="s">
        <v>19</v>
      </c>
      <c r="C11" s="29">
        <v>3</v>
      </c>
      <c r="D11" s="29">
        <v>4</v>
      </c>
      <c r="E11" s="32">
        <f>mvalloc!I15</f>
        <v>4</v>
      </c>
    </row>
    <row r="12" spans="2:5" ht="15.75">
      <c r="B12" s="35" t="s">
        <v>69</v>
      </c>
      <c r="C12" s="29">
        <v>20</v>
      </c>
      <c r="D12" s="29">
        <v>24</v>
      </c>
      <c r="E12" s="32">
        <f>mvalloc!J15</f>
        <v>26</v>
      </c>
    </row>
    <row r="13" spans="2:5" ht="15.75">
      <c r="B13" s="38" t="s">
        <v>949</v>
      </c>
      <c r="C13" s="29"/>
      <c r="D13" s="29">
        <v>100</v>
      </c>
      <c r="E13" s="34">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3268</v>
      </c>
      <c r="D20" s="389">
        <f>SUM(D8:D18)</f>
        <v>3609</v>
      </c>
      <c r="E20" s="42">
        <f>SUM(E8:E18)</f>
        <v>433</v>
      </c>
    </row>
    <row r="21" spans="2:5" ht="15.75">
      <c r="B21" s="43" t="s">
        <v>24</v>
      </c>
      <c r="C21" s="389">
        <f>C20+C6</f>
        <v>6143</v>
      </c>
      <c r="D21" s="389">
        <f>D20+D6</f>
        <v>6028.85</v>
      </c>
      <c r="E21" s="42">
        <f>E20+E6</f>
        <v>1811.8500000000004</v>
      </c>
    </row>
    <row r="22" spans="2:5" ht="15.75">
      <c r="B22" s="27" t="s">
        <v>25</v>
      </c>
      <c r="C22" s="387"/>
      <c r="D22" s="387"/>
      <c r="E22" s="32"/>
    </row>
    <row r="23" spans="2:5" ht="15.75">
      <c r="B23" s="38" t="s">
        <v>36</v>
      </c>
      <c r="C23" s="29">
        <v>126</v>
      </c>
      <c r="D23" s="29">
        <v>150</v>
      </c>
      <c r="E23" s="34">
        <v>150</v>
      </c>
    </row>
    <row r="24" spans="2:11" ht="15.75">
      <c r="B24" s="38" t="s">
        <v>950</v>
      </c>
      <c r="C24" s="29">
        <v>3483.15</v>
      </c>
      <c r="D24" s="29">
        <v>4000</v>
      </c>
      <c r="E24" s="34">
        <v>4200</v>
      </c>
      <c r="G24" s="811" t="str">
        <f>CONCATENATE("Desired Carryover Into ",E1+1,"")</f>
        <v>Desired Carryover Into 2016</v>
      </c>
      <c r="H24" s="812"/>
      <c r="I24" s="812"/>
      <c r="J24" s="813"/>
      <c r="K24" s="582"/>
    </row>
    <row r="25" spans="2:11" ht="15.75">
      <c r="B25" s="38" t="s">
        <v>948</v>
      </c>
      <c r="C25" s="29"/>
      <c r="D25" s="29">
        <v>500</v>
      </c>
      <c r="E25" s="34">
        <v>1500</v>
      </c>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v>114</v>
      </c>
      <c r="D31" s="29"/>
      <c r="E31" s="34"/>
      <c r="G31" s="811" t="str">
        <f>CONCATENATE("Projected Carryover Into ",E1+1,"")</f>
        <v>Projected Carryover Into 2016</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3723.15</v>
      </c>
      <c r="D33" s="389">
        <f>SUM(D23:D31)</f>
        <v>4650</v>
      </c>
      <c r="E33" s="42">
        <f>SUM(E23:E31)</f>
        <v>5850</v>
      </c>
      <c r="G33" s="631">
        <f>D34</f>
        <v>1378.8500000000004</v>
      </c>
      <c r="H33" s="632" t="str">
        <f>CONCATENATE("",E1-1," Ending Cash Balance (est.)")</f>
        <v>2014 Ending Cash Balance (est.)</v>
      </c>
      <c r="I33" s="633"/>
      <c r="J33" s="628"/>
      <c r="K33" s="582"/>
    </row>
    <row r="34" spans="2:11" ht="15.75">
      <c r="B34" s="27" t="s">
        <v>119</v>
      </c>
      <c r="C34" s="382">
        <f>C21-C33</f>
        <v>2419.85</v>
      </c>
      <c r="D34" s="382">
        <f>D21-D33</f>
        <v>1378.8500000000004</v>
      </c>
      <c r="E34" s="33" t="s">
        <v>289</v>
      </c>
      <c r="G34" s="631">
        <f>E20</f>
        <v>433</v>
      </c>
      <c r="H34" s="615" t="str">
        <f>CONCATENATE("",E1," Non-AV Receipts (est.)")</f>
        <v>2015 Non-AV Receipts (est.)</v>
      </c>
      <c r="I34" s="633"/>
      <c r="J34" s="628"/>
      <c r="K34" s="582"/>
    </row>
    <row r="35" spans="2:11" ht="15.75">
      <c r="B35" s="48" t="str">
        <f>CONCATENATE("",E1-2,"/",E1-1," Budget Authority Amount:")</f>
        <v>2013/2014 Budget Authority Amount:</v>
      </c>
      <c r="C35" s="132">
        <f>inputOth!B50</f>
        <v>3875</v>
      </c>
      <c r="D35" s="161">
        <f>inputPrYr!D20</f>
        <v>6045</v>
      </c>
      <c r="E35" s="33" t="s">
        <v>289</v>
      </c>
      <c r="F35" s="50"/>
      <c r="G35" s="640">
        <f>IF(E39&gt;0,E38,E40)</f>
        <v>4038.1499999999996</v>
      </c>
      <c r="H35" s="615" t="str">
        <f>CONCATENATE("",E1," Ad Valorem Tax (est.)")</f>
        <v>2015 Ad Valorem Tax (est.)</v>
      </c>
      <c r="I35" s="633"/>
      <c r="J35" s="628"/>
      <c r="K35" s="641" t="str">
        <f>IF(G35=E40,"","Note: Does not include Delinquent Taxes")</f>
        <v>Note: Does not include Delinquent Taxes</v>
      </c>
    </row>
    <row r="36" spans="2:11" ht="15.75">
      <c r="B36" s="48"/>
      <c r="C36" s="801" t="s">
        <v>622</v>
      </c>
      <c r="D36" s="802"/>
      <c r="E36" s="34"/>
      <c r="F36" s="482">
        <f>IF(E33/0.95-E33&lt;E36,"Exceeds 5%","")</f>
      </c>
      <c r="G36" s="631">
        <f>SUM(G33:G35)</f>
        <v>5850</v>
      </c>
      <c r="H36" s="615" t="str">
        <f>CONCATENATE("Total ",E1," Resources Available")</f>
        <v>Total 2015 Resources Available</v>
      </c>
      <c r="I36" s="633"/>
      <c r="J36" s="628"/>
      <c r="K36" s="582"/>
    </row>
    <row r="37" spans="2:11" ht="15.75">
      <c r="B37" s="395" t="str">
        <f>CONCATENATE(C92,"     ",D92)</f>
        <v>     </v>
      </c>
      <c r="C37" s="803" t="s">
        <v>623</v>
      </c>
      <c r="D37" s="804"/>
      <c r="E37" s="32">
        <f>E33+E36</f>
        <v>5850</v>
      </c>
      <c r="G37" s="644"/>
      <c r="H37" s="615"/>
      <c r="I37" s="615"/>
      <c r="J37" s="628"/>
      <c r="K37" s="582"/>
    </row>
    <row r="38" spans="2:11" ht="15.75">
      <c r="B38" s="395" t="str">
        <f>CONCATENATE(C93,"     ",D93)</f>
        <v>     </v>
      </c>
      <c r="C38" s="60"/>
      <c r="D38" s="52" t="s">
        <v>28</v>
      </c>
      <c r="E38" s="46">
        <f>IF(E37-E21&gt;0,E37-E21,0)</f>
        <v>4038.1499999999996</v>
      </c>
      <c r="G38" s="640">
        <f>C33*0.05+C33</f>
        <v>3909.3075</v>
      </c>
      <c r="H38" s="615" t="str">
        <f>CONCATENATE("Less ",E1-2," Expenditures + 5%")</f>
        <v>Less 2013 Expenditures + 5%</v>
      </c>
      <c r="I38" s="615"/>
      <c r="J38" s="628"/>
      <c r="K38" s="582"/>
    </row>
    <row r="39" spans="2:11" ht="15.75">
      <c r="B39" s="52"/>
      <c r="C39" s="399" t="s">
        <v>624</v>
      </c>
      <c r="D39" s="689">
        <f>inputOth!$E$40</f>
        <v>0.06</v>
      </c>
      <c r="E39" s="32">
        <f>ROUND(IF(D39&gt;0,(E38*D39),0),0)</f>
        <v>242</v>
      </c>
      <c r="G39" s="648">
        <f>G36-G38</f>
        <v>1940.6925</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4280.15</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0.363</v>
      </c>
      <c r="H43" s="632" t="str">
        <f>CONCATENATE("",E1," Fund Mill Rate")</f>
        <v>2015 Fund Mill Rate</v>
      </c>
      <c r="I43" s="656"/>
      <c r="J43" s="657"/>
      <c r="K43" s="582"/>
    </row>
    <row r="44" spans="2:11" ht="15.75">
      <c r="B44" s="14"/>
      <c r="C44" s="385" t="s">
        <v>11</v>
      </c>
      <c r="D44" s="388" t="s">
        <v>12</v>
      </c>
      <c r="E44" s="23" t="s">
        <v>13</v>
      </c>
      <c r="G44" s="659">
        <f>summ!F22</f>
        <v>0.282</v>
      </c>
      <c r="H44" s="632" t="str">
        <f>CONCATENATE("",E1-1," Fund Mill Rate")</f>
        <v>2014 Fund Mill Rate</v>
      </c>
      <c r="I44" s="656"/>
      <c r="J44" s="657"/>
      <c r="K44" s="582"/>
    </row>
    <row r="45" spans="2:11" ht="15.75">
      <c r="B45" s="477" t="str">
        <f>inputPrYr!B21</f>
        <v>Fire Protection</v>
      </c>
      <c r="C45" s="386" t="str">
        <f>C5</f>
        <v>Actual for 2013</v>
      </c>
      <c r="D45" s="386" t="str">
        <f>D5</f>
        <v>Estimate for 2014</v>
      </c>
      <c r="E45" s="26" t="str">
        <f>E5</f>
        <v>Year for 2015</v>
      </c>
      <c r="G45" s="661">
        <f>summ!I32</f>
        <v>0.604</v>
      </c>
      <c r="H45" s="632" t="str">
        <f>CONCATENATE("Total ",E1," Mill Rate")</f>
        <v>Total 2015 Mill Rate</v>
      </c>
      <c r="I45" s="656"/>
      <c r="J45" s="657"/>
      <c r="K45" s="582"/>
    </row>
    <row r="46" spans="2:11" ht="15.75">
      <c r="B46" s="27" t="s">
        <v>118</v>
      </c>
      <c r="C46" s="29"/>
      <c r="D46" s="387">
        <f>C74</f>
        <v>0</v>
      </c>
      <c r="E46" s="32">
        <f>D74</f>
        <v>0</v>
      </c>
      <c r="G46" s="659">
        <f>summ!F32</f>
        <v>0.379</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2016</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inputOth!B51</f>
        <v>0</v>
      </c>
      <c r="D75" s="161">
        <f>inputPrYr!D21</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0.06</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v>7</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2015 Fund Mill Rate</v>
      </c>
      <c r="I83" s="656"/>
      <c r="J83" s="657"/>
      <c r="K83" s="582"/>
    </row>
    <row r="84" spans="7:11" ht="15.75">
      <c r="G84" s="659" t="str">
        <f>summ!F23</f>
        <v>  </v>
      </c>
      <c r="H84" s="632" t="str">
        <f>CONCATENATE("",E1-1," Fund Mill Rate")</f>
        <v>2014 Fund Mill Rate</v>
      </c>
      <c r="I84" s="656"/>
      <c r="J84" s="657"/>
      <c r="K84" s="582"/>
    </row>
    <row r="85" spans="7:11" ht="15.75">
      <c r="G85" s="661">
        <f>summ!I32</f>
        <v>0.604</v>
      </c>
      <c r="H85" s="632" t="str">
        <f>CONCATENATE("Total ",E1," Mill Rate")</f>
        <v>Total 2015 Mill Rate</v>
      </c>
      <c r="I85" s="656"/>
      <c r="J85" s="657"/>
      <c r="K85" s="582"/>
    </row>
    <row r="86" spans="7:11" ht="15.75">
      <c r="G86" s="659">
        <f>summ!F32</f>
        <v>0.379</v>
      </c>
      <c r="H86" s="662" t="str">
        <f>CONCATENATE("Total ",E1-1," Mill Rate")</f>
        <v>Total 2014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14"/>
      <c r="D1" s="14"/>
      <c r="E1" s="15">
        <f>inputPrYr!D5</f>
        <v>2015</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2016</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inputOth!B52</f>
        <v>0</v>
      </c>
      <c r="D35" s="161">
        <f>inputPrYr!D22</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2013 Expenditures + 5%</v>
      </c>
      <c r="I38" s="615"/>
      <c r="J38" s="628"/>
      <c r="K38" s="582"/>
    </row>
    <row r="39" spans="2:11" ht="15.75">
      <c r="B39" s="52"/>
      <c r="C39" s="399" t="s">
        <v>624</v>
      </c>
      <c r="D39" s="689">
        <f>inputOth!$E$40</f>
        <v>0.06</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2015 Fund Mill Rate</v>
      </c>
      <c r="I43" s="656"/>
      <c r="J43" s="657"/>
      <c r="K43" s="582"/>
    </row>
    <row r="44" spans="2:11" ht="15.75">
      <c r="B44" s="14"/>
      <c r="C44" s="385" t="s">
        <v>11</v>
      </c>
      <c r="D44" s="388" t="s">
        <v>12</v>
      </c>
      <c r="E44" s="23" t="s">
        <v>13</v>
      </c>
      <c r="G44" s="659" t="str">
        <f>summ!F24</f>
        <v>  </v>
      </c>
      <c r="H44" s="632" t="str">
        <f>CONCATENATE("",E1-1," Fund Mill Rate")</f>
        <v>2014 Fund Mill Rate</v>
      </c>
      <c r="I44" s="656"/>
      <c r="J44" s="657"/>
      <c r="K44" s="582"/>
    </row>
    <row r="45" spans="2:11" ht="15.75">
      <c r="B45" s="477">
        <f>inputPrYr!B23</f>
        <v>0</v>
      </c>
      <c r="C45" s="386" t="str">
        <f>C5</f>
        <v>Actual for 2013</v>
      </c>
      <c r="D45" s="386" t="str">
        <f>D5</f>
        <v>Estimate for 2014</v>
      </c>
      <c r="E45" s="26" t="str">
        <f>E5</f>
        <v>Year for 2015</v>
      </c>
      <c r="G45" s="661">
        <f>summ!I32</f>
        <v>0.604</v>
      </c>
      <c r="H45" s="632" t="str">
        <f>CONCATENATE("Total ",E1," Mill Rate")</f>
        <v>Total 2015 Mill Rate</v>
      </c>
      <c r="I45" s="656"/>
      <c r="J45" s="657"/>
      <c r="K45" s="582"/>
    </row>
    <row r="46" spans="2:11" ht="15.75">
      <c r="B46" s="27" t="s">
        <v>118</v>
      </c>
      <c r="C46" s="29"/>
      <c r="D46" s="387">
        <f>C74</f>
        <v>0</v>
      </c>
      <c r="E46" s="32">
        <f>D74</f>
        <v>0</v>
      </c>
      <c r="G46" s="659">
        <f>summ!F32</f>
        <v>0.379</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2016</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inputOth!B53</f>
        <v>0</v>
      </c>
      <c r="D75" s="161">
        <f>inputPrYr!D23</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2015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0.06</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2015 Fund Mill Rate</v>
      </c>
      <c r="I83" s="656"/>
      <c r="J83" s="657"/>
      <c r="K83" s="582"/>
    </row>
    <row r="84" spans="7:11" ht="15.75">
      <c r="G84" s="659" t="str">
        <f>summ!F25</f>
        <v>  </v>
      </c>
      <c r="H84" s="632" t="str">
        <f>CONCATENATE("",E1-1," Fund Mill Rate")</f>
        <v>2014 Fund Mill Rate</v>
      </c>
      <c r="I84" s="656"/>
      <c r="J84" s="657"/>
      <c r="K84" s="582"/>
    </row>
    <row r="85" spans="7:11" ht="15.75">
      <c r="G85" s="661">
        <f>summ!I32</f>
        <v>0.604</v>
      </c>
      <c r="H85" s="632" t="str">
        <f>CONCATENATE("Total ",E1," Mill Rate")</f>
        <v>Total 2015 Mill Rate</v>
      </c>
      <c r="I85" s="656"/>
      <c r="J85" s="657"/>
      <c r="K85" s="582"/>
    </row>
    <row r="86" spans="7:11" ht="15.75">
      <c r="G86" s="659">
        <f>summ!F32</f>
        <v>0.379</v>
      </c>
      <c r="H86" s="662" t="str">
        <f>CONCATENATE("Total ",E1-1," Mill Rate")</f>
        <v>Total 2014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Sycamore Township</v>
      </c>
      <c r="C1" s="14"/>
      <c r="D1" s="14"/>
      <c r="E1" s="15">
        <f>inputPrYr!D5</f>
        <v>2015</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2013</v>
      </c>
      <c r="D5" s="386" t="str">
        <f>gen!D5</f>
        <v>Estimate for 2014</v>
      </c>
      <c r="E5" s="26" t="str">
        <f>gen!E5</f>
        <v>Year for 2015</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2016</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2015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2016</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2014 Ending Cash Balance (est.)</v>
      </c>
      <c r="I33" s="633"/>
      <c r="J33" s="628"/>
      <c r="K33" s="582"/>
    </row>
    <row r="34" spans="2:11" ht="15.75">
      <c r="B34" s="27" t="s">
        <v>119</v>
      </c>
      <c r="C34" s="382">
        <f>C21-C33</f>
        <v>0</v>
      </c>
      <c r="D34" s="382">
        <f>D21-D33</f>
        <v>0</v>
      </c>
      <c r="E34" s="33" t="s">
        <v>289</v>
      </c>
      <c r="G34" s="631">
        <f>E20</f>
        <v>0</v>
      </c>
      <c r="H34" s="615" t="str">
        <f>CONCATENATE("",E1," Non-AV Receipts (est.)")</f>
        <v>2015 Non-AV Receipts (est.)</v>
      </c>
      <c r="I34" s="633"/>
      <c r="J34" s="628"/>
      <c r="K34" s="582"/>
    </row>
    <row r="35" spans="2:11" ht="15.75">
      <c r="B35" s="48" t="str">
        <f>CONCATENATE("",E1-2,"/",E1-1," Budget Authority Amount:")</f>
        <v>2013/2014 Budget Authority Amount:</v>
      </c>
      <c r="C35" s="132">
        <f>inputOth!B54</f>
        <v>0</v>
      </c>
      <c r="D35" s="161">
        <f>inputPrYr!D24</f>
        <v>0</v>
      </c>
      <c r="E35" s="33" t="s">
        <v>289</v>
      </c>
      <c r="F35" s="50"/>
      <c r="G35" s="640">
        <f>IF(E39&gt;0,E38,E40)</f>
        <v>0</v>
      </c>
      <c r="H35" s="615" t="str">
        <f>CONCATENATE("",E1," Ad Valorem Tax (est.)")</f>
        <v>2015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2015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2013 Expenditures + 5%</v>
      </c>
      <c r="I38" s="615"/>
      <c r="J38" s="628"/>
      <c r="K38" s="582"/>
    </row>
    <row r="39" spans="2:11" ht="15.75">
      <c r="B39" s="52"/>
      <c r="C39" s="399" t="s">
        <v>624</v>
      </c>
      <c r="D39" s="689">
        <f>inputOth!$E$40</f>
        <v>0.06</v>
      </c>
      <c r="E39" s="32">
        <f>ROUND(IF(D39&gt;0,(E38*D39),0),0)</f>
        <v>0</v>
      </c>
      <c r="G39" s="648">
        <f>G36-G38</f>
        <v>0</v>
      </c>
      <c r="H39" s="649" t="str">
        <f>CONCATENATE("Projected ",E1+1," carryover (est.)")</f>
        <v>Projected 2016 carryover (est.)</v>
      </c>
      <c r="I39" s="650"/>
      <c r="J39" s="651"/>
      <c r="K39" s="582"/>
    </row>
    <row r="40" spans="2:11" ht="15.75">
      <c r="B40" s="14"/>
      <c r="C40" s="799" t="str">
        <f>CONCATENATE("Amount of  ",$E$1-1," Ad Valorem Tax")</f>
        <v>Amount of  2014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2015 Fund Mill Rate</v>
      </c>
      <c r="I43" s="656"/>
      <c r="J43" s="657"/>
      <c r="K43" s="582"/>
    </row>
    <row r="44" spans="2:11" ht="15.75">
      <c r="B44" s="14"/>
      <c r="C44" s="385" t="s">
        <v>11</v>
      </c>
      <c r="D44" s="388" t="s">
        <v>12</v>
      </c>
      <c r="E44" s="23" t="s">
        <v>13</v>
      </c>
      <c r="G44" s="659" t="str">
        <f>summ!F26</f>
        <v>  </v>
      </c>
      <c r="H44" s="632" t="str">
        <f>CONCATENATE("",E1-1," Fund Mill Rate")</f>
        <v>2014 Fund Mill Rate</v>
      </c>
      <c r="I44" s="656"/>
      <c r="J44" s="657"/>
      <c r="K44" s="582"/>
    </row>
    <row r="45" spans="2:11" ht="15.75">
      <c r="B45" s="477">
        <f>inputPrYr!B25</f>
        <v>0</v>
      </c>
      <c r="C45" s="386" t="str">
        <f>C5</f>
        <v>Actual for 2013</v>
      </c>
      <c r="D45" s="386" t="str">
        <f>D5</f>
        <v>Estimate for 2014</v>
      </c>
      <c r="E45" s="26" t="str">
        <f>E5</f>
        <v>Year for 2015</v>
      </c>
      <c r="G45" s="661">
        <f>summ!I32</f>
        <v>0.604</v>
      </c>
      <c r="H45" s="632" t="str">
        <f>CONCATENATE("Total ",E1," Mill Rate")</f>
        <v>Total 2015 Mill Rate</v>
      </c>
      <c r="I45" s="656"/>
      <c r="J45" s="657"/>
      <c r="K45" s="582"/>
    </row>
    <row r="46" spans="2:11" ht="15.75">
      <c r="B46" s="27" t="s">
        <v>118</v>
      </c>
      <c r="C46" s="29"/>
      <c r="D46" s="387">
        <f>C74</f>
        <v>0</v>
      </c>
      <c r="E46" s="32">
        <f>D74</f>
        <v>0</v>
      </c>
      <c r="G46" s="659">
        <f>summ!F32</f>
        <v>0.379</v>
      </c>
      <c r="H46" s="662" t="str">
        <f>CONCATENATE("Total ",E1-1," Mill Rate")</f>
        <v>Total 2014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2016</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2015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2016</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2014 Ending Cash Balance (est.)</v>
      </c>
      <c r="I73" s="633"/>
      <c r="J73" s="668"/>
      <c r="K73" s="582"/>
    </row>
    <row r="74" spans="2:11" ht="15.75">
      <c r="B74" s="27" t="s">
        <v>119</v>
      </c>
      <c r="C74" s="382">
        <f>C61-C73</f>
        <v>0</v>
      </c>
      <c r="D74" s="382">
        <f>D61-D73</f>
        <v>0</v>
      </c>
      <c r="E74" s="33" t="s">
        <v>289</v>
      </c>
      <c r="G74" s="631">
        <f>E60</f>
        <v>0</v>
      </c>
      <c r="H74" s="615" t="str">
        <f>CONCATENATE("",E1," Non-AV Receipts (est.)")</f>
        <v>2015 Non-AV Receipts (est.)</v>
      </c>
      <c r="I74" s="633"/>
      <c r="J74" s="668"/>
      <c r="K74" s="582"/>
    </row>
    <row r="75" spans="2:11" ht="15.75">
      <c r="B75" s="48" t="str">
        <f>CONCATENATE("",E1-2,"/",E1-1," Budget Authority Amount:")</f>
        <v>2013/2014 Budget Authority Amount:</v>
      </c>
      <c r="C75" s="132">
        <f>inputOth!B55</f>
        <v>0</v>
      </c>
      <c r="D75" s="161">
        <f>inputPrYr!D25</f>
        <v>0</v>
      </c>
      <c r="E75" s="33" t="s">
        <v>289</v>
      </c>
      <c r="F75" s="50"/>
      <c r="G75" s="640">
        <f>IF(E79&gt;0,E78,E80)</f>
        <v>0</v>
      </c>
      <c r="H75" s="615" t="str">
        <f>CONCATENATE("",E1," Ad Valorem Tax (est.)")</f>
        <v>2015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2015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2013 Expenditures + 5%</v>
      </c>
      <c r="I78" s="671"/>
      <c r="J78" s="668"/>
      <c r="K78" s="582"/>
    </row>
    <row r="79" spans="2:11" ht="15.75">
      <c r="B79" s="52"/>
      <c r="C79" s="399" t="s">
        <v>624</v>
      </c>
      <c r="D79" s="689">
        <f>inputOth!$E$40</f>
        <v>0.06</v>
      </c>
      <c r="E79" s="32">
        <f>ROUND(IF(D79&gt;0,(E78*D79),0),0)</f>
        <v>0</v>
      </c>
      <c r="G79" s="648">
        <f>G76-G78</f>
        <v>0</v>
      </c>
      <c r="H79" s="649" t="str">
        <f>CONCATENATE("Projected ",E1+1," carryover (est.)")</f>
        <v>Projected 2016 carryover (est.)</v>
      </c>
      <c r="I79" s="674"/>
      <c r="J79" s="675"/>
      <c r="K79" s="582"/>
    </row>
    <row r="80" spans="2:11" ht="15.75">
      <c r="B80" s="14"/>
      <c r="C80" s="799" t="str">
        <f>CONCATENATE("Amount of  ",$E$1-1," Ad Valorem Tax")</f>
        <v>Amount of  2014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2015 Fund Mill Rate</v>
      </c>
      <c r="I83" s="656"/>
      <c r="J83" s="657"/>
      <c r="K83" s="582"/>
    </row>
    <row r="84" spans="7:11" ht="15.75">
      <c r="G84" s="659" t="str">
        <f>summ!F27</f>
        <v>  </v>
      </c>
      <c r="H84" s="632" t="str">
        <f>CONCATENATE("",E1-1," Fund Mill Rate")</f>
        <v>2014 Fund Mill Rate</v>
      </c>
      <c r="I84" s="656"/>
      <c r="J84" s="657"/>
      <c r="K84" s="582"/>
    </row>
    <row r="85" spans="7:11" ht="15.75">
      <c r="G85" s="661">
        <f>summ!I32</f>
        <v>0.604</v>
      </c>
      <c r="H85" s="632" t="str">
        <f>CONCATENATE("Total ",E1," Mill Rate")</f>
        <v>Total 2015 Mill Rate</v>
      </c>
      <c r="I85" s="656"/>
      <c r="J85" s="657"/>
      <c r="K85" s="582"/>
    </row>
    <row r="86" spans="7:11" ht="15.75">
      <c r="G86" s="659">
        <f>summ!F32</f>
        <v>0.379</v>
      </c>
      <c r="H86" s="662" t="str">
        <f>CONCATENATE("Total ",E1-1," Mill Rate")</f>
        <v>Total 2014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Sycamore Township</v>
      </c>
      <c r="C1" s="14"/>
      <c r="D1" s="14"/>
      <c r="E1" s="15">
        <f>inputPrYr!D5</f>
        <v>2015</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2013</v>
      </c>
      <c r="D5" s="26" t="str">
        <f>gen!D5</f>
        <v>Estimate for 2014</v>
      </c>
      <c r="E5" s="26" t="str">
        <f>gen!E5</f>
        <v>Year for 2015</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2013/2014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2013</v>
      </c>
      <c r="D36" s="26" t="str">
        <f>D5</f>
        <v>Estimate for 2014</v>
      </c>
      <c r="E36" s="26" t="str">
        <f>E5</f>
        <v>Year for 2015</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2013/2014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Sycamore Township</v>
      </c>
      <c r="B1" s="89"/>
      <c r="C1" s="90"/>
      <c r="D1" s="90"/>
      <c r="E1" s="90"/>
      <c r="F1" s="91" t="s">
        <v>325</v>
      </c>
      <c r="G1" s="90"/>
      <c r="H1" s="90"/>
      <c r="I1" s="90"/>
      <c r="J1" s="90"/>
      <c r="K1" s="90">
        <f>inputPrYr!$D$5</f>
        <v>2015</v>
      </c>
    </row>
    <row r="2" spans="1:11" ht="15.75">
      <c r="A2" s="90"/>
      <c r="B2" s="90"/>
      <c r="C2" s="90"/>
      <c r="D2" s="90"/>
      <c r="E2" s="90"/>
      <c r="F2" s="92" t="str">
        <f>CONCATENATE("(Only the actual budget year for ",K1-2," is to be shown)")</f>
        <v>(Only the actual budget year for 2013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2">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946</v>
      </c>
      <c r="E2" s="19"/>
    </row>
    <row r="3" spans="1:5" ht="15.75">
      <c r="A3" s="68" t="s">
        <v>225</v>
      </c>
      <c r="B3" s="14"/>
      <c r="C3" s="14"/>
      <c r="D3" s="378" t="s">
        <v>941</v>
      </c>
      <c r="E3" s="19"/>
    </row>
    <row r="4" spans="1:5" ht="15.75">
      <c r="A4" s="14"/>
      <c r="B4" s="14"/>
      <c r="C4" s="14"/>
      <c r="D4" s="14"/>
      <c r="E4" s="14"/>
    </row>
    <row r="5" spans="1:5" ht="15.75">
      <c r="A5" s="17" t="s">
        <v>146</v>
      </c>
      <c r="B5" s="14"/>
      <c r="C5" s="14"/>
      <c r="D5" s="306">
        <v>2015</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2014 Budget, Certificate Page:</v>
      </c>
      <c r="B13" s="310"/>
      <c r="C13" s="49"/>
      <c r="D13" s="14"/>
      <c r="E13" s="14"/>
      <c r="F13" s="14"/>
      <c r="G13" s="19"/>
      <c r="H13" s="129"/>
    </row>
    <row r="14" spans="1:8" ht="15.75">
      <c r="A14" s="309" t="s">
        <v>315</v>
      </c>
      <c r="B14" s="310"/>
      <c r="C14" s="49"/>
      <c r="D14" s="311">
        <f>$D$5-1</f>
        <v>2014</v>
      </c>
      <c r="E14" s="312">
        <f>$D$5-2</f>
        <v>2013</v>
      </c>
      <c r="G14" s="171" t="s">
        <v>758</v>
      </c>
      <c r="H14" s="179" t="s">
        <v>29</v>
      </c>
    </row>
    <row r="15" spans="1:8" ht="15.75">
      <c r="A15" s="22" t="s">
        <v>271</v>
      </c>
      <c r="B15" s="14"/>
      <c r="C15" s="313" t="s">
        <v>270</v>
      </c>
      <c r="D15" s="314" t="s">
        <v>342</v>
      </c>
      <c r="E15" s="315" t="s">
        <v>16</v>
      </c>
      <c r="G15" s="177" t="str">
        <f>CONCATENATE("",E14," Ad Valorem Tax")</f>
        <v>2013 Ad Valorem Tax</v>
      </c>
      <c r="H15" s="731">
        <v>0</v>
      </c>
    </row>
    <row r="16" spans="1:7" ht="15.75">
      <c r="A16" s="14"/>
      <c r="B16" s="72" t="s">
        <v>272</v>
      </c>
      <c r="C16" s="161" t="s">
        <v>273</v>
      </c>
      <c r="D16" s="187">
        <v>11150</v>
      </c>
      <c r="E16" s="187">
        <v>1059</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943</v>
      </c>
      <c r="D20" s="187">
        <v>6045</v>
      </c>
      <c r="E20" s="187">
        <v>3077</v>
      </c>
      <c r="G20" s="32">
        <f>IF(H15&gt;0,ROUND(E20-(E20*H15),0),0)</f>
        <v>0</v>
      </c>
    </row>
    <row r="21" spans="1:7" ht="15.75">
      <c r="A21" s="14"/>
      <c r="B21" s="187" t="s">
        <v>944</v>
      </c>
      <c r="C21" s="391" t="s">
        <v>945</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2014 Budgeted Year</v>
      </c>
      <c r="B26" s="20"/>
      <c r="C26" s="267"/>
      <c r="D26" s="317"/>
      <c r="E26" s="318">
        <f>SUM(E16:E25)</f>
        <v>4136</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2014</v>
      </c>
      <c r="B31" s="319"/>
      <c r="C31" s="259"/>
      <c r="D31" s="158">
        <f>SUM(D16:D25,D29:D30)</f>
        <v>17195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2012 Tax Rate                    (2013 Column)</v>
      </c>
      <c r="E40" s="14"/>
    </row>
    <row r="41" spans="1:5" ht="15.75">
      <c r="A41" s="309" t="str">
        <f>CONCATENATE("the ",D5-1," Budget, Budget Summary Page:")</f>
        <v>the 2014 Budget, Budget Summary Page:</v>
      </c>
      <c r="B41" s="281"/>
      <c r="C41" s="14"/>
      <c r="D41" s="749"/>
      <c r="E41" s="14"/>
    </row>
    <row r="42" spans="1:5" ht="15.75">
      <c r="A42" s="14"/>
      <c r="B42" s="85" t="str">
        <f>B16</f>
        <v>General</v>
      </c>
      <c r="C42" s="14"/>
      <c r="D42" s="321">
        <v>0.089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v>0.251</v>
      </c>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2012 Tax Levy Rate</v>
      </c>
      <c r="B52" s="323"/>
      <c r="C52" s="259"/>
      <c r="D52" s="324">
        <f>SUM(D42:D51)</f>
        <v>0.33999999999999997</v>
      </c>
      <c r="E52" s="14"/>
    </row>
    <row r="53" spans="1:5" ht="16.5" thickTop="1">
      <c r="A53" s="14"/>
      <c r="B53" s="14"/>
      <c r="C53" s="14"/>
      <c r="D53" s="14"/>
      <c r="E53" s="14"/>
    </row>
    <row r="54" spans="1:5" ht="15.75">
      <c r="A54" s="325" t="str">
        <f>CONCATENATE("Total Tax Levied (",D5-2," budget column)")</f>
        <v>Total Tax Levied (2013 budget column)</v>
      </c>
      <c r="B54" s="326"/>
      <c r="C54" s="20"/>
      <c r="D54" s="259"/>
      <c r="E54" s="187">
        <v>4137</v>
      </c>
    </row>
    <row r="55" spans="1:5" ht="15.75">
      <c r="A55" s="327" t="str">
        <f>CONCATENATE("Assessed Valuation (",D5-2," budget column)")</f>
        <v>Assessed Valuation (2013 budget column)</v>
      </c>
      <c r="B55" s="328"/>
      <c r="C55" s="267"/>
      <c r="D55" s="28"/>
      <c r="E55" s="187">
        <v>12145444</v>
      </c>
    </row>
    <row r="56" spans="1:5" ht="15.75">
      <c r="A56" s="274"/>
      <c r="B56" s="19"/>
      <c r="C56" s="19"/>
      <c r="D56" s="19"/>
      <c r="E56" s="284"/>
    </row>
    <row r="57" spans="1:5" ht="15.75">
      <c r="A57" s="14"/>
      <c r="B57" s="14"/>
      <c r="C57" s="14"/>
      <c r="D57" s="14"/>
      <c r="E57" s="55"/>
    </row>
    <row r="58" spans="1:5" ht="15.75">
      <c r="A58" s="293" t="s">
        <v>201</v>
      </c>
      <c r="B58" s="293"/>
      <c r="C58" s="129"/>
      <c r="D58" s="329">
        <f>D5-3</f>
        <v>2012</v>
      </c>
      <c r="E58" s="329">
        <f>D5-2</f>
        <v>2013</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2015</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Sycamore Township</v>
      </c>
      <c r="C5" s="766"/>
      <c r="D5" s="766"/>
      <c r="E5" s="766"/>
      <c r="F5" s="766"/>
      <c r="G5" s="766"/>
      <c r="H5" s="766"/>
      <c r="I5" s="766"/>
    </row>
    <row r="6" spans="2:9" ht="15.75">
      <c r="B6" s="766" t="str">
        <f>inputPrYr!D3</f>
        <v>Montgomery County</v>
      </c>
      <c r="C6" s="766"/>
      <c r="D6" s="766"/>
      <c r="E6" s="766"/>
      <c r="F6" s="766"/>
      <c r="G6" s="766"/>
      <c r="H6" s="766"/>
      <c r="I6" s="766"/>
    </row>
    <row r="7" spans="2:9" ht="15.75">
      <c r="B7" s="764" t="str">
        <f>CONCATENATE("will meet on ",inputBudSum!B8," at ",inputBudSum!B10," at ",inputBudSum!B12," for the purpose of hearing and")</f>
        <v>will meet on August 11, 2014 at 5:30 PM at Sycamore Township Hall, Sycamore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Courthouse, Independence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2015 Expenditures and Amount of 2014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2015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2013</v>
      </c>
      <c r="D14" s="151"/>
      <c r="E14" s="150" t="str">
        <f>CONCATENATE("Current Year Estimate ",I1-1,"")</f>
        <v>Current Year Estimate 2014</v>
      </c>
      <c r="F14" s="152"/>
      <c r="G14" s="153" t="str">
        <f>CONCATENATE("Proposed Budget ",I1,"")</f>
        <v>Proposed Budget 2015</v>
      </c>
      <c r="H14" s="154"/>
      <c r="I14" s="152"/>
      <c r="J14" s="149"/>
    </row>
    <row r="15" spans="2:10" ht="22.5" customHeight="1">
      <c r="B15" s="14"/>
      <c r="C15" s="69"/>
      <c r="D15" s="23" t="s">
        <v>32</v>
      </c>
      <c r="E15" s="23"/>
      <c r="F15" s="23" t="s">
        <v>32</v>
      </c>
      <c r="G15" s="155"/>
      <c r="H15" s="770" t="str">
        <f>CONCATENATE("Amount of ",I1-1," Ad Valorem Tax")</f>
        <v>Amount of 2014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1545</v>
      </c>
      <c r="D18" s="524">
        <f>IF(inputPrYr!D42&gt;0,inputPrYr!D42,"  ")</f>
        <v>0.089</v>
      </c>
      <c r="E18" s="32">
        <f>IF(gen!$D$50&lt;&gt;0,gen!$D$50,"  ")</f>
        <v>5000</v>
      </c>
      <c r="F18" s="235">
        <f>IF(inputOth!D17&gt;0,inputOth!D17,"  ")</f>
        <v>0.097</v>
      </c>
      <c r="G18" s="32">
        <f>IF(gen!$E$50&lt;&gt;0,gen!$E$50,"  ")</f>
        <v>11450</v>
      </c>
      <c r="H18" s="32">
        <f>IF(gen!$E$57&lt;&gt;0,gen!$E$57," ")</f>
        <v>2843.24</v>
      </c>
      <c r="I18" s="526">
        <f>IF(gen!E57&gt;0,ROUND(H18/$G$37*1000,3)," ")</f>
        <v>0.241</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2015</v>
      </c>
      <c r="L21" s="836"/>
      <c r="M21" s="836"/>
      <c r="N21" s="837"/>
    </row>
    <row r="22" spans="2:14" ht="15.75">
      <c r="B22" s="85" t="str">
        <f>IF(inputPrYr!$B20&gt;"  ",inputPrYr!$B20,"  ")</f>
        <v>Hall</v>
      </c>
      <c r="C22" s="32">
        <f>IF(levypage9!$C$33&lt;&gt;0,levypage9!$C$33,"  ")</f>
        <v>3723.15</v>
      </c>
      <c r="D22" s="524">
        <f>IF(inputPrYr!D46&gt;0,inputPrYr!D46,"  ")</f>
        <v>0.251</v>
      </c>
      <c r="E22" s="32">
        <f>IF(levypage9!$D$33&lt;&gt;0,levypage9!$D$33,"  ")</f>
        <v>4650</v>
      </c>
      <c r="F22" s="235">
        <f>IF(inputOth!D21&gt;0,inputOth!D21,"  ")</f>
        <v>0.282</v>
      </c>
      <c r="G22" s="32">
        <f>IF(levypage9!$E$33&lt;&gt;0,levypage9!$E$33,"  ")</f>
        <v>5850</v>
      </c>
      <c r="H22" s="32">
        <f>IF(levypage9!$E$40&lt;&gt;0,levypage9!$E$40,"  ")</f>
        <v>4280.15</v>
      </c>
      <c r="I22" s="526">
        <f>IF(levypage9!E40&gt;0,ROUND(H22/$G$37*1000,3)," ")</f>
        <v>0.363</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11797</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2014?</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2014 Mill Rate Was:</v>
      </c>
      <c r="L27" s="501"/>
      <c r="M27" s="501"/>
      <c r="N27" s="509">
        <f>F32</f>
        <v>0.379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2015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-2652.3899999999994</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5268.15</v>
      </c>
      <c r="D32" s="478">
        <f t="shared" si="0"/>
        <v>0.33999999999999997</v>
      </c>
      <c r="E32" s="527">
        <f t="shared" si="0"/>
        <v>9650</v>
      </c>
      <c r="F32" s="478">
        <f t="shared" si="0"/>
        <v>0.379</v>
      </c>
      <c r="G32" s="527">
        <f t="shared" si="0"/>
        <v>17300</v>
      </c>
      <c r="H32" s="527">
        <f t="shared" si="0"/>
        <v>7123.389999999999</v>
      </c>
      <c r="I32" s="530">
        <f t="shared" si="0"/>
        <v>0.604</v>
      </c>
      <c r="K32" s="831" t="str">
        <f>CONCATENATE("Impact On Keeping The Same Mill Rate As For ",I1-1,"")</f>
        <v>Impact On Keeping The Same Mill Rate As For 2014</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5268.15</v>
      </c>
      <c r="D34" s="14"/>
      <c r="E34" s="528">
        <f>E32-E33</f>
        <v>9650</v>
      </c>
      <c r="F34" s="14"/>
      <c r="G34" s="528">
        <f>G32-G33</f>
        <v>17300</v>
      </c>
      <c r="H34" s="14"/>
      <c r="I34" s="14"/>
      <c r="K34" s="507" t="str">
        <f>CONCATENATE("",I1," Ad Valorem Tax Revenue:")</f>
        <v>2015 Ad Valorem Tax Revenue:</v>
      </c>
      <c r="L34" s="501"/>
      <c r="M34" s="501"/>
      <c r="N34" s="502">
        <f>H32</f>
        <v>7123.389999999999</v>
      </c>
    </row>
    <row r="35" spans="2:14" ht="16.5" thickTop="1">
      <c r="B35" s="274" t="s">
        <v>46</v>
      </c>
      <c r="C35" s="529">
        <f>inputPrYr!E54</f>
        <v>4137</v>
      </c>
      <c r="D35" s="61"/>
      <c r="E35" s="529">
        <f>inputPrYr!E26</f>
        <v>4136</v>
      </c>
      <c r="F35" s="14"/>
      <c r="G35" s="520" t="s">
        <v>289</v>
      </c>
      <c r="H35" s="14"/>
      <c r="I35" s="14"/>
      <c r="K35" s="507" t="str">
        <f>CONCATENATE("",I1-1," Ad Valorem Tax Revenue:")</f>
        <v>2014 Ad Valorem Tax Revenue:</v>
      </c>
      <c r="L35" s="501"/>
      <c r="M35" s="501"/>
      <c r="N35" s="515">
        <f>ROUND(G37*N27/1000,0)</f>
        <v>4471</v>
      </c>
    </row>
    <row r="36" spans="2:14" ht="15.75">
      <c r="B36" s="274" t="s">
        <v>47</v>
      </c>
      <c r="C36" s="55"/>
      <c r="D36" s="61"/>
      <c r="E36" s="55"/>
      <c r="F36" s="61"/>
      <c r="G36" s="14"/>
      <c r="H36" s="14"/>
      <c r="I36" s="14"/>
      <c r="K36" s="512" t="s">
        <v>717</v>
      </c>
      <c r="L36" s="513"/>
      <c r="M36" s="513"/>
      <c r="N36" s="505">
        <f>N34-N35</f>
        <v>2652.3899999999994</v>
      </c>
    </row>
    <row r="37" spans="2:14" ht="15.75">
      <c r="B37" s="274" t="s">
        <v>48</v>
      </c>
      <c r="C37" s="32">
        <f>inputPrYr!E55</f>
        <v>12145444</v>
      </c>
      <c r="D37" s="14"/>
      <c r="E37" s="32">
        <f>inputOth!E29</f>
        <v>10910538</v>
      </c>
      <c r="F37" s="14"/>
      <c r="G37" s="32">
        <f>inputOth!E7</f>
        <v>11797448</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2012</v>
      </c>
      <c r="D39" s="14"/>
      <c r="E39" s="160">
        <f>I1-2</f>
        <v>2013</v>
      </c>
      <c r="F39" s="14"/>
      <c r="G39" s="160">
        <f>I1-1</f>
        <v>2014</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2015 Estimated Mill Rate:</v>
      </c>
      <c r="L40" s="501"/>
      <c r="M40" s="501"/>
      <c r="N40" s="509">
        <f>I32</f>
        <v>0.604</v>
      </c>
    </row>
    <row r="41" spans="2:14" ht="15.75">
      <c r="B41" s="22" t="s">
        <v>21</v>
      </c>
      <c r="C41" s="161">
        <f>inputPrYr!D60</f>
        <v>0</v>
      </c>
      <c r="D41" s="59"/>
      <c r="E41" s="161">
        <f>inputPrYr!E60</f>
        <v>0</v>
      </c>
      <c r="F41" s="59"/>
      <c r="G41" s="161">
        <f>'debt-lease'!F15</f>
        <v>0</v>
      </c>
      <c r="H41" s="14"/>
      <c r="I41" s="14"/>
      <c r="K41" s="507" t="str">
        <f>CONCATENATE("Desired ",I1," Mill Rate:")</f>
        <v>Desired 2015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2015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2015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Sycamore Township</v>
      </c>
      <c r="C46" s="830"/>
      <c r="D46" s="14"/>
      <c r="E46" s="14"/>
      <c r="F46" s="14"/>
      <c r="G46" s="14"/>
      <c r="H46" s="14"/>
      <c r="I46" s="14"/>
    </row>
    <row r="47" spans="2:9" ht="15.75">
      <c r="B47" s="828">
        <f>inputBudSum!B6</f>
        <v>0</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Sycamore Township</v>
      </c>
      <c r="B1" s="14"/>
      <c r="C1" s="14"/>
      <c r="D1" s="14"/>
      <c r="E1" s="14"/>
      <c r="F1" s="14">
        <f>inputPrYr!D5</f>
        <v>2015</v>
      </c>
    </row>
    <row r="2" spans="1:6" ht="15.75">
      <c r="A2" s="14"/>
      <c r="B2" s="14"/>
      <c r="C2" s="14"/>
      <c r="D2" s="14"/>
      <c r="E2" s="14"/>
      <c r="F2" s="14"/>
    </row>
    <row r="3" spans="1:6" ht="15.75">
      <c r="A3" s="14"/>
      <c r="B3" s="769" t="str">
        <f>CONCATENATE("",F1," Neighborhood Revitalization Rebate")</f>
        <v>2015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2015</v>
      </c>
      <c r="C5" s="126" t="str">
        <f>CONCATENATE("",F1-1," Ad Valorem before Rebate**")</f>
        <v>2014 Ad Valorem before Rebate**</v>
      </c>
      <c r="D5" s="127" t="str">
        <f>CONCATENATE("",F1-1," Mil Rate before Rebate")</f>
        <v>2014 Mil Rate before Rebate</v>
      </c>
      <c r="E5" s="128" t="str">
        <f>CONCATENATE("Estimate ",F1," NR Rebate")</f>
        <v>Estimate 2015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2014 July 1 Valuation:</v>
      </c>
      <c r="B19" s="841"/>
      <c r="C19" s="842"/>
      <c r="D19" s="136">
        <f>inputOth!E7</f>
        <v>11797448</v>
      </c>
      <c r="E19" s="14"/>
      <c r="F19" s="129"/>
    </row>
    <row r="20" spans="1:6" ht="15.75">
      <c r="A20" s="14"/>
      <c r="B20" s="14"/>
      <c r="C20" s="14"/>
      <c r="D20" s="14"/>
      <c r="E20" s="14"/>
      <c r="F20" s="129"/>
    </row>
    <row r="21" spans="1:6" ht="15.75">
      <c r="A21" s="14"/>
      <c r="B21" s="842" t="s">
        <v>365</v>
      </c>
      <c r="C21" s="842"/>
      <c r="D21" s="137">
        <f>IF(D19&gt;0,(D19*0.001),"")</f>
        <v>11797.448</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2015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6">
      <selection activeCell="D51" sqref="D51"/>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Sycamore Township </v>
      </c>
      <c r="I6">
        <f>CONCATENATE(I7)</f>
      </c>
    </row>
    <row r="7" spans="1:7" ht="15.75">
      <c r="A7" s="848" t="str">
        <f>CONCATENATE("   with respect to financing the ",inputPrYr!D5," annual budget for ",(inputPrYr!D2)," , ",(inputPrYr!D3)," , Kansas.")</f>
        <v>   with respect to financing the 2015 annual budget for Sycamore Township , Montgomery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2015 Sycamore Township budget exceed the amount levied to finance the 2014</v>
      </c>
    </row>
    <row r="12" spans="1:7" ht="15.75">
      <c r="A12" s="843" t="str">
        <f>CONCATENATE((inputPrYr!D2)," Township budget, except with regard to revenue produced and attributable to the taxation of 1) new improvements to real property; 2) increased personal property valuation, other than increased")</f>
        <v>Sycamore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Sycamore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Sycamore Township of Montgomery County, Kansas that is our desire to notify the public of increased property taxes to finance the 2015 Sycamore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2014 by the Sycamore Township Board, Montgomery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Sycamore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v>9</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2013 'total expenditures' exceed your 2013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2015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2013 budget was amended, did you</v>
      </c>
    </row>
    <row r="26" ht="15.75">
      <c r="A26" s="351" t="s">
        <v>394</v>
      </c>
    </row>
    <row r="27" ht="15.75">
      <c r="A27" s="351"/>
    </row>
    <row r="28" ht="15.75">
      <c r="A28" s="351" t="str">
        <f>CONCATENATE("Next, look to see if any of your ",inputPrYr!D5-2," expenditures can be")</f>
        <v>Next, look to see if any of your 2013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2013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2013 financial records have been closed?</v>
      </c>
    </row>
    <row r="76" ht="15.75">
      <c r="A76" s="351" t="s">
        <v>429</v>
      </c>
    </row>
    <row r="77" ht="15.75">
      <c r="A77" s="351" t="str">
        <f>CONCATENATE("(i.e. an audit for ",inputPrYr!D5-2," has been completed, or the ",inputPrYr!D5)</f>
        <v>(i.e. an audit for 2013 has been completed, or the 2015</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2013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2013 are not closed</v>
      </c>
      <c r="B33" s="351"/>
      <c r="C33" s="351"/>
      <c r="D33" s="351"/>
      <c r="E33" s="351"/>
      <c r="F33" s="351"/>
      <c r="G33" s="351"/>
      <c r="H33" s="351"/>
    </row>
    <row r="34" spans="1:8" ht="15.75">
      <c r="A34" s="351" t="str">
        <f>CONCATENATE("(i.e. an audit has not been completed, or the ",inputPrYr!D5," adopted ")</f>
        <v>(i.e. an audit has not been completed, or the 2015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2014 'total expenditures' exceed your 2014</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2014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2014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2014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2015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2014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2014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2015 'total expenditures' exceed your 2015</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7">
      <selection activeCell="B51" sqref="B5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Sycamore Township</v>
      </c>
      <c r="B1" s="90"/>
      <c r="C1" s="90"/>
      <c r="D1" s="90"/>
      <c r="E1" s="90">
        <f>inputPrYr!D5</f>
        <v>2015</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2015:</v>
      </c>
      <c r="B6" s="281"/>
      <c r="C6" s="281"/>
      <c r="D6" s="14"/>
      <c r="E6" s="55"/>
    </row>
    <row r="7" spans="1:5" ht="15.75">
      <c r="A7" s="22" t="str">
        <f>CONCATENATE("Total Assessed Valuation for ",E1-1,"")</f>
        <v>Total Assessed Valuation for 2014</v>
      </c>
      <c r="B7" s="19"/>
      <c r="C7" s="19"/>
      <c r="D7" s="19"/>
      <c r="E7" s="282">
        <v>11797448</v>
      </c>
    </row>
    <row r="8" spans="1:5" ht="15.75">
      <c r="A8" s="22" t="str">
        <f>CONCATENATE("New Improvements for ",E1-1,"")</f>
        <v>New Improvements for 2014</v>
      </c>
      <c r="B8" s="19"/>
      <c r="C8" s="19"/>
      <c r="D8" s="19"/>
      <c r="E8" s="283">
        <v>17633</v>
      </c>
    </row>
    <row r="9" spans="1:5" ht="15.75">
      <c r="A9" s="22" t="str">
        <f>CONCATENATE("Personal Property excluding oil, gas, and mobile homes - ",E1-1,"")</f>
        <v>Personal Property excluding oil, gas, and mobile homes - 2014</v>
      </c>
      <c r="B9" s="19"/>
      <c r="C9" s="19"/>
      <c r="D9" s="19"/>
      <c r="E9" s="283">
        <v>525965</v>
      </c>
    </row>
    <row r="10" spans="1:5" ht="15.75">
      <c r="A10" s="22" t="str">
        <f>CONCATENATE("Property that has changed in use for ",E1-1,"")</f>
        <v>Property that has changed in use for 2014</v>
      </c>
      <c r="B10" s="19"/>
      <c r="C10" s="19"/>
      <c r="D10" s="19"/>
      <c r="E10" s="283">
        <v>40586</v>
      </c>
    </row>
    <row r="11" spans="1:5" ht="15.75">
      <c r="A11" s="22" t="str">
        <f>CONCATENATE("Personal Property excluding oil, gas, and mobile homes- ",E1-2,"")</f>
        <v>Personal Property excluding oil, gas, and mobile homes- 2013</v>
      </c>
      <c r="B11" s="19"/>
      <c r="C11" s="19"/>
      <c r="D11" s="19"/>
      <c r="E11" s="283">
        <v>512583</v>
      </c>
    </row>
    <row r="12" spans="1:5" ht="15.75">
      <c r="A12" s="22" t="str">
        <f>CONCATENATE("Gross earnings (intangible) tax estimate for ",E1,"")</f>
        <v>Gross earnings (intangible) tax estimate for 2015</v>
      </c>
      <c r="B12" s="19"/>
      <c r="C12" s="19"/>
      <c r="D12" s="19"/>
      <c r="E12" s="283">
        <v>0</v>
      </c>
    </row>
    <row r="13" spans="1:5" ht="15.75">
      <c r="A13" s="22" t="str">
        <f>CONCATENATE("Neighborhood Revitalization - ",E1,"")</f>
        <v>Neighborhood Revitalization - 2015</v>
      </c>
      <c r="B13" s="19"/>
      <c r="C13" s="19"/>
      <c r="D13" s="19"/>
      <c r="E13" s="283">
        <v>0</v>
      </c>
    </row>
    <row r="14" spans="1:5" ht="15.75">
      <c r="A14" s="22"/>
      <c r="B14" s="19"/>
      <c r="C14" s="19"/>
      <c r="D14" s="19"/>
      <c r="E14" s="284"/>
    </row>
    <row r="15" spans="1:5" ht="15.75">
      <c r="A15" s="285" t="str">
        <f>CONCATENATE("Actual Tax Rates for the ",E1-1," Budget:")</f>
        <v>Actual Tax Rates for the 2014 Budget:</v>
      </c>
      <c r="B15" s="19"/>
      <c r="C15" s="19"/>
      <c r="D15" s="19"/>
      <c r="E15" s="286"/>
    </row>
    <row r="16" spans="1:5" ht="15.75">
      <c r="A16" s="755" t="s">
        <v>285</v>
      </c>
      <c r="B16" s="756"/>
      <c r="C16" s="90"/>
      <c r="D16" s="287" t="s">
        <v>3</v>
      </c>
      <c r="E16" s="286"/>
    </row>
    <row r="17" spans="1:5" ht="15.75">
      <c r="A17" s="71" t="str">
        <f>inputPrYr!B16</f>
        <v>General</v>
      </c>
      <c r="B17" s="20"/>
      <c r="C17" s="19"/>
      <c r="D17" s="288">
        <v>0.097</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v>0.282</v>
      </c>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0.379</v>
      </c>
      <c r="E27" s="14"/>
    </row>
    <row r="28" spans="1:5" ht="15.75">
      <c r="A28" s="14"/>
      <c r="B28" s="14"/>
      <c r="C28" s="14"/>
      <c r="D28" s="14"/>
      <c r="E28" s="14"/>
    </row>
    <row r="29" spans="1:5" ht="15.75">
      <c r="A29" s="20" t="str">
        <f>CONCATENATE("Final Assessed Valuation from the November 1, ",E1-2," Abstract:")</f>
        <v>Final Assessed Valuation from the November 1, 2013 Abstract:</v>
      </c>
      <c r="B29" s="20"/>
      <c r="C29" s="20"/>
      <c r="D29" s="20"/>
      <c r="E29" s="36">
        <v>10910538</v>
      </c>
    </row>
    <row r="30" spans="1:5" ht="15.75">
      <c r="A30" s="14"/>
      <c r="B30" s="14"/>
      <c r="C30" s="14"/>
      <c r="D30" s="14"/>
      <c r="E30" s="14"/>
    </row>
    <row r="31" spans="1:5" ht="15.75">
      <c r="A31" s="292" t="str">
        <f>CONCATENATE("From the County Treasurer's Budget Information - ",E1," Budget Year Estimates:")</f>
        <v>From the County Treasurer's Budget Information - 2015 Budget Year Estimates:</v>
      </c>
      <c r="B31" s="293"/>
      <c r="C31" s="293"/>
      <c r="D31" s="294"/>
      <c r="E31" s="55"/>
    </row>
    <row r="32" spans="1:5" ht="15.75">
      <c r="A32" s="71" t="s">
        <v>159</v>
      </c>
      <c r="B32" s="20"/>
      <c r="C32" s="20"/>
      <c r="D32" s="295"/>
      <c r="E32" s="34">
        <v>474</v>
      </c>
    </row>
    <row r="33" spans="1:5" ht="15.75">
      <c r="A33" s="296" t="s">
        <v>276</v>
      </c>
      <c r="B33" s="267"/>
      <c r="C33" s="267"/>
      <c r="D33" s="31"/>
      <c r="E33" s="34">
        <v>5</v>
      </c>
    </row>
    <row r="34" spans="1:5" ht="15.75">
      <c r="A34" s="296" t="s">
        <v>160</v>
      </c>
      <c r="B34" s="267"/>
      <c r="C34" s="267"/>
      <c r="D34" s="31"/>
      <c r="E34" s="34">
        <v>35</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2012 Tax - (rate .01213 = 1.213%, key in 1.2)</v>
      </c>
      <c r="B39" s="20"/>
      <c r="C39" s="20"/>
      <c r="D39" s="259"/>
      <c r="E39" s="730">
        <v>0.0567</v>
      </c>
    </row>
    <row r="40" spans="1:5" ht="15.75">
      <c r="A40" s="296" t="s">
        <v>856</v>
      </c>
      <c r="B40" s="274"/>
      <c r="C40" s="19"/>
      <c r="D40" s="19"/>
      <c r="E40" s="731">
        <v>0.06</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2013 Budget Certificate Page</v>
      </c>
      <c r="B43" s="758"/>
      <c r="C43" s="140"/>
      <c r="D43" s="140"/>
      <c r="E43" s="140"/>
    </row>
    <row r="44" spans="1:5" ht="15.75">
      <c r="A44" s="300"/>
      <c r="B44" s="300" t="str">
        <f>CONCATENATE("",E1-2," Expenditure Amounts")</f>
        <v>2013 Expenditure Amounts</v>
      </c>
      <c r="C44" s="759" t="str">
        <f>CONCATENATE("Note: If the ",E1-2," budget was amended, then the")</f>
        <v>Note: If the 2013 budget was amended, then the</v>
      </c>
      <c r="D44" s="760"/>
      <c r="E44" s="760"/>
    </row>
    <row r="45" spans="1:5" ht="15.75">
      <c r="A45" s="301" t="s">
        <v>207</v>
      </c>
      <c r="B45" s="301" t="s">
        <v>208</v>
      </c>
      <c r="C45" s="302" t="s">
        <v>209</v>
      </c>
      <c r="D45" s="303"/>
      <c r="E45" s="303"/>
    </row>
    <row r="46" spans="1:5" ht="15.75">
      <c r="A46" s="304" t="str">
        <f>inputPrYr!B16</f>
        <v>General</v>
      </c>
      <c r="B46" s="36">
        <v>4100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v>3875</v>
      </c>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H18" sqref="H18"/>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946</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951</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1, 2014</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954</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41852</v>
      </c>
    </row>
    <row r="22" spans="1:7" ht="15.75">
      <c r="A22" s="354" t="s">
        <v>373</v>
      </c>
      <c r="B22" s="354" t="s">
        <v>378</v>
      </c>
      <c r="C22" s="354"/>
      <c r="D22" s="354"/>
      <c r="E22" s="354"/>
      <c r="G22" s="714">
        <f>IF(B8="","",MONTH(G21))</f>
        <v>8</v>
      </c>
    </row>
    <row r="23" spans="1:7" ht="15.75">
      <c r="A23" s="354"/>
      <c r="B23" s="354"/>
      <c r="C23" s="354"/>
      <c r="D23" s="354"/>
      <c r="E23" s="354"/>
      <c r="G23" s="715">
        <f>IF(B8="","",DAY(G21))</f>
        <v>1</v>
      </c>
    </row>
    <row r="24" spans="1:7" ht="15.75">
      <c r="A24" s="354" t="s">
        <v>374</v>
      </c>
      <c r="B24" s="354" t="s">
        <v>380</v>
      </c>
      <c r="C24" s="354"/>
      <c r="D24" s="354"/>
      <c r="E24" s="354"/>
      <c r="G24" s="716">
        <f>IF(B8="","",YEAR(G21))</f>
        <v>2014</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2015</v>
      </c>
    </row>
    <row r="2" spans="3:7" s="14" customFormat="1" ht="15.75">
      <c r="C2" s="145"/>
      <c r="D2" s="145"/>
      <c r="E2" s="145"/>
      <c r="F2" s="145"/>
      <c r="G2" s="62"/>
    </row>
    <row r="3" spans="2:8" s="14" customFormat="1" ht="15.75">
      <c r="B3" s="764" t="str">
        <f>CONCATENATE("To the Clerk of ",inputPrYr!D3,", State of Kansas")</f>
        <v>To the Clerk of Montgomery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Sycamore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2015; and (3) the</v>
      </c>
      <c r="C8" s="765"/>
      <c r="D8" s="765"/>
      <c r="E8" s="765"/>
      <c r="F8" s="765"/>
      <c r="G8" s="765"/>
    </row>
    <row r="9" spans="2:7" s="14" customFormat="1" ht="15.75" customHeight="1">
      <c r="B9" s="764" t="str">
        <f>CONCATENATE("Amount(s) of ",H1-1," Ad Valorem Tax are within statutory limitations for the ",H1," Budget.")</f>
        <v>Amount(s) of 2014 Ad Valorem Tax are within statutory limitations for the 2015 Budget.</v>
      </c>
      <c r="C9" s="765"/>
      <c r="D9" s="765"/>
      <c r="E9" s="765"/>
      <c r="F9" s="765"/>
      <c r="G9" s="765"/>
    </row>
    <row r="10" spans="5:7" s="14" customFormat="1" ht="15.75" customHeight="1">
      <c r="E10" s="66"/>
      <c r="F10" s="66"/>
      <c r="G10" s="66"/>
    </row>
    <row r="11" spans="4:7" s="14" customFormat="1" ht="15.75">
      <c r="D11" s="19"/>
      <c r="E11" s="773" t="str">
        <f>CONCATENATE("",H1," Adopted Budget")</f>
        <v>2015 Adopted Budget</v>
      </c>
      <c r="F11" s="774"/>
      <c r="G11" s="775"/>
    </row>
    <row r="12" spans="2:7" s="14" customFormat="1" ht="15.75">
      <c r="B12" s="22"/>
      <c r="D12" s="66"/>
      <c r="E12" s="255" t="s">
        <v>277</v>
      </c>
      <c r="F12" s="770" t="str">
        <f>CONCATENATE("Amount of ",H1-1," Ad Valorem Tax")</f>
        <v>Amount of 2014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2015</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11450</v>
      </c>
      <c r="F21" s="722">
        <f>IF(gen!$E$57&lt;&gt;0,gen!$E$57,0)</f>
        <v>2843.24</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f>IF(levypage9!C81&gt;0,levypage9!C81,"  ")</f>
        <v>7</v>
      </c>
      <c r="E25" s="722">
        <f>IF(levypage9!$E$33&lt;&gt;0,levypage9!$E$33,"  ")</f>
        <v>5850</v>
      </c>
      <c r="F25" s="722">
        <f>IF(levypage9!$E$40&lt;&gt;0,levypage9!$E$40,"  ")</f>
        <v>4280.15</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f>IF(levypage9!C81&gt;0,levypage9!C81,"  ")</f>
        <v>7</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17300</v>
      </c>
      <c r="F35" s="724">
        <f>SUM(F21:F30)</f>
        <v>7123.389999999999</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Yes</v>
      </c>
    </row>
    <row r="38" spans="2:6" s="14" customFormat="1" ht="15.75">
      <c r="B38" s="27" t="s">
        <v>156</v>
      </c>
      <c r="C38" s="28"/>
      <c r="D38" s="264">
        <f>IF(Resolution!D50&gt;0,Resolution!D50,"")</f>
        <v>9</v>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2014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2014</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Sycamore Township</v>
      </c>
      <c r="D1" s="14"/>
      <c r="E1" s="14"/>
      <c r="F1" s="14"/>
      <c r="G1" s="14"/>
      <c r="H1" s="14"/>
      <c r="I1" s="14"/>
      <c r="J1" s="14">
        <f>inputPrYr!D5</f>
        <v>2015</v>
      </c>
    </row>
    <row r="2" spans="1:10" ht="15.75">
      <c r="A2" s="14"/>
      <c r="B2" s="14"/>
      <c r="C2" s="14"/>
      <c r="D2" s="14"/>
      <c r="E2" s="14"/>
      <c r="F2" s="14"/>
      <c r="G2" s="14"/>
      <c r="H2" s="14"/>
      <c r="I2" s="14"/>
      <c r="J2" s="14"/>
    </row>
    <row r="3" spans="1:10" ht="15.75">
      <c r="A3" s="786" t="str">
        <f>CONCATENATE("Computation to Determine Limit for ",J1,"")</f>
        <v>Computation to Determine Limit for 2015</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2014</v>
      </c>
      <c r="C5" s="14"/>
      <c r="D5" s="14"/>
      <c r="E5" s="55"/>
      <c r="F5" s="55"/>
      <c r="G5" s="55"/>
      <c r="H5" s="246" t="s">
        <v>15</v>
      </c>
      <c r="I5" s="55" t="s">
        <v>2</v>
      </c>
      <c r="J5" s="247">
        <f>inputPrYr!E26</f>
        <v>4136</v>
      </c>
    </row>
    <row r="6" spans="1:10" ht="15.75">
      <c r="A6" s="245" t="s">
        <v>81</v>
      </c>
      <c r="B6" s="14" t="str">
        <f>CONCATENATE("Debt Service Levy in ",J1-1,"")</f>
        <v>Debt Service Levy in 2014</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4136</v>
      </c>
    </row>
    <row r="8" spans="1:10" ht="15.75">
      <c r="A8" s="14"/>
      <c r="B8" s="14"/>
      <c r="C8" s="14"/>
      <c r="D8" s="14"/>
      <c r="E8" s="55"/>
      <c r="F8" s="55"/>
      <c r="G8" s="55"/>
      <c r="H8" s="55"/>
      <c r="I8" s="55"/>
      <c r="J8" s="55"/>
    </row>
    <row r="9" spans="1:10" ht="15.75">
      <c r="A9" s="14"/>
      <c r="B9" s="17" t="str">
        <f>CONCATENATE("",J1-1," Valuation Information for Valuation Adjustments:")</f>
        <v>2014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2014:</v>
      </c>
      <c r="C11" s="14"/>
      <c r="D11" s="14"/>
      <c r="E11" s="246"/>
      <c r="F11" s="246" t="s">
        <v>15</v>
      </c>
      <c r="G11" s="247">
        <f>inputOth!E8</f>
        <v>17633</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2014:</v>
      </c>
      <c r="C13" s="14"/>
      <c r="D13" s="14"/>
      <c r="E13" s="246"/>
      <c r="F13" s="246"/>
      <c r="G13" s="53"/>
      <c r="H13" s="53"/>
      <c r="I13" s="55"/>
      <c r="J13" s="55"/>
    </row>
    <row r="14" spans="1:10" ht="15.75">
      <c r="A14" s="14"/>
      <c r="B14" s="14" t="s">
        <v>86</v>
      </c>
      <c r="C14" s="14" t="str">
        <f>CONCATENATE("Personal Property ",J1-1,"")</f>
        <v>Personal Property 2014</v>
      </c>
      <c r="D14" s="245" t="s">
        <v>15</v>
      </c>
      <c r="E14" s="247">
        <f>inputOth!E9</f>
        <v>525965</v>
      </c>
      <c r="F14" s="246"/>
      <c r="G14" s="55"/>
      <c r="H14" s="55"/>
      <c r="I14" s="53"/>
      <c r="J14" s="55"/>
    </row>
    <row r="15" spans="1:10" ht="15.75">
      <c r="A15" s="245"/>
      <c r="B15" s="14" t="s">
        <v>87</v>
      </c>
      <c r="C15" s="14" t="str">
        <f>CONCATENATE("Personal Property ",J1-2,"")</f>
        <v>Personal Property 2013</v>
      </c>
      <c r="D15" s="245" t="s">
        <v>82</v>
      </c>
      <c r="E15" s="249">
        <f>inputOth!E11</f>
        <v>512583</v>
      </c>
      <c r="F15" s="246"/>
      <c r="G15" s="53"/>
      <c r="H15" s="53"/>
      <c r="I15" s="55"/>
      <c r="J15" s="55"/>
    </row>
    <row r="16" spans="1:10" ht="15.75">
      <c r="A16" s="245"/>
      <c r="B16" s="14" t="s">
        <v>88</v>
      </c>
      <c r="C16" s="14" t="s">
        <v>108</v>
      </c>
      <c r="D16" s="14"/>
      <c r="E16" s="55"/>
      <c r="F16" s="55" t="s">
        <v>15</v>
      </c>
      <c r="G16" s="247">
        <f>IF(E14&gt;E15,E14-E15,0)</f>
        <v>13382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2014:</v>
      </c>
      <c r="C18" s="14"/>
      <c r="D18" s="14"/>
      <c r="E18" s="55"/>
      <c r="F18" s="246" t="s">
        <v>15</v>
      </c>
      <c r="G18" s="247">
        <f>inputOth!E10</f>
        <v>40586</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71601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1,2014</v>
      </c>
      <c r="C22" s="14"/>
      <c r="D22" s="14"/>
      <c r="E22" s="247">
        <f>inputOth!E7</f>
        <v>11797448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11725847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0.006106253987451823</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25</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4161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2015</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4161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2015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Sycamore Township</v>
      </c>
      <c r="C1" s="14"/>
      <c r="D1" s="14"/>
      <c r="E1" s="14"/>
      <c r="F1" s="14"/>
      <c r="G1" s="14"/>
      <c r="H1" s="14"/>
      <c r="I1" s="14"/>
      <c r="J1" s="15">
        <f>inputPrYr!D5</f>
        <v>2015</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2014</v>
      </c>
      <c r="F9" s="233"/>
      <c r="G9" s="789" t="str">
        <f>CONCATENATE("Allocation for Proposed Year ",J1,"")</f>
        <v>Allocation for Proposed Year 2015</v>
      </c>
      <c r="H9" s="790"/>
      <c r="I9" s="790"/>
      <c r="J9" s="791"/>
      <c r="K9" s="90"/>
      <c r="L9" s="90"/>
      <c r="M9" s="550"/>
    </row>
    <row r="10" spans="2:13" ht="15.75" customHeight="1">
      <c r="B10" s="552" t="str">
        <f>CONCATENATE("for ",J1-1,"")</f>
        <v>for 2014</v>
      </c>
      <c r="C10" s="177"/>
      <c r="D10" s="91" t="str">
        <f>CONCATENATE("Amount for ",J1,"")</f>
        <v>Amount for 2015</v>
      </c>
      <c r="E10" s="788"/>
      <c r="F10" s="25"/>
      <c r="G10" s="26" t="s">
        <v>77</v>
      </c>
      <c r="H10" s="26"/>
      <c r="I10" s="26" t="s">
        <v>78</v>
      </c>
      <c r="J10" s="161" t="s">
        <v>121</v>
      </c>
      <c r="K10" s="90"/>
      <c r="L10" s="90"/>
      <c r="M10" s="550"/>
    </row>
    <row r="11" spans="2:13" ht="15.75">
      <c r="B11" s="85" t="str">
        <f>inputPrYr!B16</f>
        <v>General</v>
      </c>
      <c r="C11" s="234"/>
      <c r="D11" s="161">
        <f>IF(inputPrYr!E16&gt;0,inputPrYr!E16,"  ")</f>
        <v>1059</v>
      </c>
      <c r="E11" s="131">
        <f>IF(inputOth!D17&gt;0,inputOth!D17,"  ")</f>
        <v>0.097</v>
      </c>
      <c r="F11" s="717"/>
      <c r="G11" s="161">
        <f>IF(inputPrYr!E16=0,0,G23-SUM(G12:G20))</f>
        <v>121</v>
      </c>
      <c r="H11" s="718"/>
      <c r="I11" s="161">
        <f>IF(inputPrYr!E16=0,0,I25-SUM(I12:I20))</f>
        <v>1</v>
      </c>
      <c r="J11" s="161">
        <f>IF(inputPrYr!E16=0,0,J27-SUM(J12:J20))</f>
        <v>9</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3077</v>
      </c>
      <c r="E15" s="131">
        <f>IF(inputOth!D21&gt;0,inputOth!D21,"  ")</f>
        <v>0.282</v>
      </c>
      <c r="F15" s="717"/>
      <c r="G15" s="161">
        <f>IF(inputPrYr!E20=0,0,ROUND(D15*$G$30,0))</f>
        <v>353</v>
      </c>
      <c r="H15" s="718"/>
      <c r="I15" s="161">
        <f>IF(inputPrYr!$E$20=0,0,ROUND($D$15*$I$32,0))</f>
        <v>4</v>
      </c>
      <c r="J15" s="161">
        <f>IF(inputPrYr!E20=0,0,ROUND($D15*$J$34,0))</f>
        <v>26</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4136</v>
      </c>
      <c r="E21" s="720">
        <f>SUM(E11:E20)</f>
        <v>0.379</v>
      </c>
      <c r="F21" s="721"/>
      <c r="G21" s="719">
        <f>SUM(G11:G20)</f>
        <v>474</v>
      </c>
      <c r="H21" s="719"/>
      <c r="I21" s="719">
        <f>SUM(I11:I20)</f>
        <v>5</v>
      </c>
      <c r="J21" s="719">
        <f>SUM(J11:J20)</f>
        <v>35</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474</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35</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0.11460348162475822</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0.0012088974854932303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0.008462282398452611</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2015</v>
      </c>
    </row>
    <row r="2" spans="1:6" ht="15.75">
      <c r="A2" s="88" t="str">
        <f>inputPrYr!D2</f>
        <v>Sycamore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2013</v>
      </c>
      <c r="D9" s="219">
        <f>F1-1</f>
        <v>2014</v>
      </c>
      <c r="E9" s="219">
        <f>F1</f>
        <v>2015</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2014 and/or 2015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2014-07-18T15:43:26Z</cp:lastPrinted>
  <dcterms:created xsi:type="dcterms:W3CDTF">1998-08-26T16:30:41Z</dcterms:created>
  <dcterms:modified xsi:type="dcterms:W3CDTF">2014-07-18T15:59:08Z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