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7" activeTab="15"/>
  </bookViews>
  <sheets>
    <sheet name="instructions" sheetId="1" r:id="rId1"/>
    <sheet name="inputPrYr" sheetId="2" r:id="rId2"/>
    <sheet name="inputOth" sheetId="3" r:id="rId3"/>
    <sheet name="inputBudSum" sheetId="4" r:id="rId4"/>
    <sheet name="cert1" sheetId="5" r:id="rId5"/>
    <sheet name="computation2" sheetId="6" r:id="rId6"/>
    <sheet name="mvalloc3" sheetId="7" r:id="rId7"/>
    <sheet name="transfer4" sheetId="8" r:id="rId8"/>
    <sheet name="TransferStatutes" sheetId="9" r:id="rId9"/>
    <sheet name="debt-lease5" sheetId="10" r:id="rId10"/>
    <sheet name="Library Grant" sheetId="11" r:id="rId11"/>
    <sheet name="gen6" sheetId="12" r:id="rId12"/>
    <sheet name="DebtSvs-Library" sheetId="13" r:id="rId13"/>
    <sheet name="road7" sheetId="14" r:id="rId14"/>
    <sheet name="Nox Wd-Ceme 8" sheetId="15" r:id="rId15"/>
    <sheet name="Hall 9" sheetId="16" r:id="rId16"/>
    <sheet name="levypage10" sheetId="17" r:id="rId17"/>
    <sheet name="nolevypage11" sheetId="18" r:id="rId18"/>
    <sheet name="nonbud" sheetId="19" r:id="rId19"/>
    <sheet name="NonBudFunds" sheetId="20" r:id="rId20"/>
    <sheet name="summ 12"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'gen6'!$B$1:$E$61</definedName>
    <definedName name="_xlnm.Print_Area" localSheetId="15">'Hall 9'!$A$1:$E$86</definedName>
    <definedName name="_xlnm.Print_Area" localSheetId="1">'inputPrYr'!$A$1:$E$85</definedName>
    <definedName name="_xlnm.Print_Area" localSheetId="16">'levypage10'!$A$1:$E$86</definedName>
    <definedName name="_xlnm.Print_Area" localSheetId="10">'Library Grant'!$A$1:$J$40</definedName>
    <definedName name="_xlnm.Print_Area" localSheetId="14">'Nox Wd-Ceme 8'!$A$1:$E$86</definedName>
    <definedName name="_xlnm.Print_Area" localSheetId="13">'road7'!$B$1:$F$68</definedName>
    <definedName name="_xlnm.Print_Area" localSheetId="20">'summ 12'!$B$2:$I$49</definedName>
  </definedNames>
  <calcPr fullCalcOnLoad="1"/>
</workbook>
</file>

<file path=xl/sharedStrings.xml><?xml version="1.0" encoding="utf-8"?>
<sst xmlns="http://schemas.openxmlformats.org/spreadsheetml/2006/main" count="1609" uniqueCount="975">
  <si>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</si>
  <si>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</si>
  <si>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</si>
  <si>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</si>
  <si>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</si>
  <si>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</si>
  <si>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</si>
  <si>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</si>
  <si>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</si>
  <si>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</si>
  <si>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</si>
  <si>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</si>
  <si>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</si>
  <si>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</si>
  <si>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</si>
  <si>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</si>
  <si>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</si>
  <si>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</si>
  <si>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</si>
  <si>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</si>
  <si>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</si>
  <si>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</si>
  <si>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</si>
  <si>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</si>
  <si>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</si>
  <si>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</si>
  <si>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</si>
  <si>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</si>
  <si>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</si>
  <si>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</si>
  <si>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</si>
  <si>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</si>
  <si>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</si>
  <si>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</si>
  <si>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</si>
  <si>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</si>
  <si>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</si>
  <si>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</si>
  <si>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</si>
  <si>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</si>
  <si>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</si>
  <si>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</si>
  <si>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</si>
  <si>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</si>
  <si>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</si>
  <si>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</si>
  <si>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</si>
  <si>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</si>
  <si>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</si>
  <si>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</si>
  <si>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</si>
  <si>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</si>
  <si>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</si>
  <si>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</si>
  <si>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</si>
  <si>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</si>
  <si>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</si>
  <si>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</si>
  <si>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</si>
  <si>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</si>
  <si>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</si>
  <si>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</si>
  <si>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</si>
  <si>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</si>
  <si>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</si>
  <si>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</si>
  <si>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</si>
  <si>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</si>
  <si>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</si>
  <si>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</si>
  <si>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</si>
  <si>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</si>
  <si>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</si>
  <si>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</si>
  <si>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</si>
  <si>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</si>
  <si>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</si>
  <si>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</si>
  <si>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</si>
  <si>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</si>
  <si>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</si>
  <si>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</si>
  <si>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</si>
  <si>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</si>
  <si>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</si>
  <si>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</si>
  <si>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</si>
  <si>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</si>
  <si>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</si>
  <si>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</si>
  <si>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</si>
  <si>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</si>
  <si>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</si>
  <si>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</si>
  <si>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</si>
  <si>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</si>
  <si>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</si>
  <si>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</si>
  <si>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</si>
  <si>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</si>
  <si>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</si>
  <si>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</si>
  <si>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</si>
  <si>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</si>
  <si>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</si>
  <si>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</si>
  <si>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</si>
  <si>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</si>
  <si>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</si>
  <si>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</si>
  <si>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</si>
  <si>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</si>
  <si>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</si>
  <si>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</si>
  <si>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</si>
  <si>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</si>
  <si>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</si>
  <si>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</si>
  <si>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</si>
  <si>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</si>
  <si>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</si>
  <si>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</si>
  <si>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</si>
  <si>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</si>
  <si>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</si>
  <si>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</si>
  <si>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</si>
  <si>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</si>
  <si>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</si>
  <si>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</si>
  <si>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</si>
  <si>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</si>
  <si>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</si>
  <si>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</si>
  <si>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</si>
  <si>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</si>
  <si>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</si>
  <si>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</si>
  <si>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</si>
  <si>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</si>
  <si>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</si>
  <si>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</si>
  <si>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</si>
  <si>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</si>
  <si>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</si>
  <si>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</si>
  <si>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</si>
  <si>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</si>
  <si>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</si>
  <si>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</si>
  <si>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</si>
  <si>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</si>
  <si>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</si>
  <si>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</si>
  <si>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</si>
  <si>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</si>
  <si>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</si>
  <si>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</si>
  <si>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</si>
  <si>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</si>
  <si>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</si>
  <si>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</si>
  <si>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</si>
  <si>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</si>
  <si>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</si>
  <si>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</si>
  <si>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</si>
  <si>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</si>
  <si>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</si>
  <si>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</si>
  <si>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</si>
  <si>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</si>
  <si>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</si>
  <si>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</si>
  <si>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</si>
  <si>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</si>
  <si>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</si>
  <si>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</si>
  <si>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</si>
  <si>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</si>
  <si>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</si>
  <si>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</si>
  <si>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</si>
  <si>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</si>
  <si>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</si>
  <si>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</si>
  <si>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</si>
  <si>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</si>
  <si>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</si>
  <si>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</si>
  <si>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</si>
  <si>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</si>
  <si>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</si>
  <si>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</si>
  <si>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</si>
  <si>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</si>
  <si>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</si>
  <si>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</si>
  <si>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</si>
  <si>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</si>
  <si>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</si>
  <si>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</si>
  <si>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</si>
  <si>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</si>
  <si>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</si>
  <si>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</si>
  <si>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</si>
  <si>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</si>
  <si>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</si>
  <si>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</si>
  <si>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</si>
  <si>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</si>
  <si>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</si>
  <si>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</si>
  <si>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</si>
  <si>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</si>
  <si>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</si>
  <si>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</si>
  <si>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</si>
  <si>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</si>
  <si>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</si>
  <si>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</si>
  <si>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</si>
  <si>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</si>
  <si>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</si>
  <si>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</si>
  <si>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</si>
  <si>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</si>
  <si>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</si>
  <si>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</si>
  <si>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</si>
  <si>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</si>
  <si>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</si>
  <si>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</si>
  <si>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</si>
  <si>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</si>
  <si>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</si>
  <si>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</si>
  <si>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</si>
  <si>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</si>
  <si>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</si>
  <si>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</si>
  <si>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</si>
  <si>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</si>
  <si>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</si>
  <si>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</si>
  <si>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</si>
  <si>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</si>
  <si>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</si>
  <si>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</si>
  <si>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</si>
  <si>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</si>
  <si>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</si>
  <si>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</si>
  <si>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</si>
  <si>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</si>
  <si>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</si>
  <si>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</si>
  <si>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</si>
  <si>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</si>
  <si>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</si>
  <si>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</si>
  <si>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</si>
  <si>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</si>
  <si>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</si>
  <si>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</si>
  <si>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</si>
  <si>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</si>
  <si>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</si>
  <si>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</si>
  <si>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</si>
  <si>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</si>
  <si>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</si>
  <si>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</si>
  <si>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</si>
  <si>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</si>
  <si>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</si>
  <si>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</si>
  <si>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</si>
  <si>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</si>
  <si>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</si>
  <si>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</si>
  <si>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</si>
  <si>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</si>
  <si>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</si>
  <si>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</si>
  <si>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</si>
  <si>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</si>
  <si>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</si>
  <si>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</si>
  <si>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</si>
  <si>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</si>
  <si>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</si>
  <si>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</si>
  <si>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</si>
  <si>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</si>
  <si>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</si>
  <si>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</si>
  <si>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</si>
  <si>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</si>
  <si>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</si>
  <si>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</si>
  <si>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</si>
  <si>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</si>
  <si>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</si>
  <si>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</si>
  <si>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</si>
  <si>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</si>
  <si>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</si>
  <si>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</si>
  <si>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</si>
  <si>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</si>
  <si>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</si>
  <si>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</si>
  <si>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</si>
  <si>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</si>
  <si>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</si>
  <si>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</si>
  <si>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</si>
  <si>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</si>
  <si>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</si>
  <si>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</si>
  <si>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</si>
  <si>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</si>
  <si>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</si>
  <si>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</si>
  <si>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</si>
  <si>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</si>
  <si>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</si>
  <si>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</si>
  <si>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</si>
  <si>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</si>
  <si>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</si>
  <si>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</si>
  <si>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</si>
  <si>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</si>
  <si>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</si>
  <si>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</si>
  <si>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</si>
  <si>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</si>
  <si>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</si>
  <si>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</si>
  <si>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</si>
  <si>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</si>
  <si>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</si>
  <si>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</si>
  <si>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</si>
  <si>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</si>
  <si>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</si>
  <si>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</si>
  <si>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</si>
  <si>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</si>
  <si>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</si>
  <si>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</si>
  <si>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</si>
  <si>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</si>
  <si>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</si>
  <si>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</si>
  <si>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</si>
  <si>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</si>
  <si>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</si>
  <si>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</si>
  <si>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</si>
  <si>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</si>
  <si>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</si>
  <si>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</si>
  <si>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</si>
  <si>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</si>
  <si>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</si>
  <si>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</si>
  <si>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</si>
  <si>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</si>
  <si>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</si>
  <si>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</si>
  <si>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</si>
  <si>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</si>
  <si>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</si>
  <si>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</si>
  <si>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</si>
  <si>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</si>
  <si>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</si>
  <si>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</si>
  <si>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</si>
  <si>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</si>
  <si>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</si>
  <si>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</si>
  <si>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</si>
  <si>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</si>
  <si>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</si>
  <si>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</si>
  <si>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</si>
  <si>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</si>
  <si>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</si>
  <si>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</si>
  <si>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</si>
  <si>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</si>
  <si>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</si>
  <si>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</si>
  <si>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</si>
  <si>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</si>
  <si>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</si>
  <si>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</si>
  <si>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</si>
  <si>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</si>
  <si>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</si>
  <si>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</si>
  <si>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</si>
  <si>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</si>
  <si>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</si>
  <si>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</si>
  <si>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</si>
  <si>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</si>
  <si>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</si>
  <si>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</si>
  <si>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</si>
  <si>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</si>
  <si>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</si>
  <si>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</si>
  <si>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</si>
  <si>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</si>
  <si>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</si>
  <si>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</si>
  <si>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</si>
  <si>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</si>
  <si>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</si>
  <si>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</si>
  <si>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</si>
  <si>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</si>
  <si>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</si>
  <si>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</si>
  <si>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</si>
  <si>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</si>
  <si>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</si>
  <si>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</si>
  <si>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</si>
  <si>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</si>
  <si>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</si>
  <si>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</si>
  <si>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</si>
  <si>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</si>
  <si>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</si>
  <si>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</si>
  <si>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</si>
  <si>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</si>
  <si>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</si>
  <si>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</si>
  <si>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</si>
  <si>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</si>
  <si>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</si>
  <si>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</si>
  <si>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</si>
  <si>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</si>
  <si>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</si>
  <si>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</si>
  <si>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</si>
  <si>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</si>
  <si>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</si>
  <si>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</si>
  <si>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</si>
  <si>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</si>
  <si>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</si>
  <si>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</si>
  <si>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</si>
  <si>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</si>
  <si>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</si>
  <si>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</si>
  <si>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</si>
  <si>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</si>
  <si>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</si>
  <si>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</si>
  <si>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</si>
  <si>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</si>
  <si>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</si>
  <si>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</si>
  <si>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</si>
  <si>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</si>
  <si>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</si>
  <si>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</si>
  <si>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</si>
  <si>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</si>
  <si>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</si>
  <si>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</si>
  <si>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</si>
  <si>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</si>
  <si>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</si>
  <si>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</si>
  <si>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</si>
  <si>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</si>
  <si>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</si>
  <si>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</si>
  <si>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</si>
  <si>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</si>
  <si>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</si>
  <si>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</si>
  <si>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</si>
  <si>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</si>
  <si>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</si>
  <si>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</si>
  <si>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</si>
  <si>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</si>
  <si>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</si>
  <si>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</si>
  <si>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</si>
  <si>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</si>
  <si>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</si>
  <si>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</si>
  <si>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</si>
  <si>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</si>
  <si>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</si>
  <si>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</si>
  <si>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</si>
  <si>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</si>
  <si>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</si>
  <si>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</si>
  <si>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</si>
  <si>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</si>
  <si>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</si>
  <si>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</si>
  <si>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</si>
  <si>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</si>
  <si>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</si>
  <si>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</si>
  <si>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</si>
  <si>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</si>
  <si>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</si>
  <si>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</si>
  <si>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</si>
  <si>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</si>
  <si>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</si>
  <si>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</si>
  <si>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</si>
  <si>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</si>
  <si>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</si>
  <si>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</si>
  <si>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</si>
  <si>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</si>
  <si>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</si>
  <si>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</si>
  <si>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</si>
  <si>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</si>
  <si>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</si>
  <si>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</si>
  <si>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</si>
  <si>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</si>
  <si>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</si>
  <si>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</si>
  <si>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</si>
  <si>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</si>
  <si>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</si>
  <si>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</si>
  <si>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</si>
  <si>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</si>
  <si>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</si>
  <si>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</si>
  <si>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</si>
  <si>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</si>
  <si>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</si>
  <si>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</si>
  <si>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</si>
  <si>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</si>
  <si>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</si>
  <si>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</si>
  <si>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</si>
  <si>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</si>
  <si>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</si>
  <si>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</si>
  <si>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</si>
  <si>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</si>
  <si>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</si>
  <si>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</si>
  <si>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</si>
  <si>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</si>
  <si>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</si>
  <si>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</si>
  <si>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</si>
  <si>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</si>
  <si>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</si>
  <si>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</si>
  <si>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</si>
  <si>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</si>
  <si>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</si>
  <si>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</si>
  <si>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</si>
  <si>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</si>
  <si>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</si>
  <si>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</si>
  <si>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</si>
  <si>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</si>
  <si>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</si>
  <si>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</si>
  <si>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</si>
  <si>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</si>
  <si>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</si>
  <si>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</si>
  <si>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</si>
  <si>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</si>
  <si>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</si>
  <si>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</si>
  <si>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</si>
  <si>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</si>
  <si>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</si>
  <si>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</si>
  <si>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</si>
  <si>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</si>
  <si>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</si>
  <si>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</si>
  <si>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</si>
  <si>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</si>
  <si>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</si>
  <si>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</si>
  <si>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</si>
  <si>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</si>
  <si>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</si>
  <si>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</si>
  <si>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</si>
  <si>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</si>
  <si>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</si>
  <si>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</si>
  <si>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</si>
  <si>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</si>
  <si>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</si>
  <si>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</si>
  <si>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</si>
  <si>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</si>
  <si>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</si>
  <si>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</si>
  <si>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</si>
  <si>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</si>
  <si>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</si>
  <si>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</si>
  <si>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</si>
  <si>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</si>
  <si>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</si>
  <si>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</si>
  <si>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</si>
  <si>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</si>
  <si>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</si>
  <si>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</si>
  <si>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</si>
  <si>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</si>
  <si>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</si>
  <si>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</si>
  <si>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</si>
  <si>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</si>
  <si>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</si>
  <si>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</si>
  <si>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</si>
  <si>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</si>
  <si>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</si>
  <si>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</si>
  <si>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</si>
  <si>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</si>
  <si>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</si>
  <si>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</si>
  <si>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</si>
  <si>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</si>
  <si>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</si>
  <si>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</si>
  <si>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</si>
  <si>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</si>
  <si>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</si>
  <si>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</si>
  <si>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</si>
  <si>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</si>
  <si>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</si>
  <si>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</si>
  <si>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</si>
  <si>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</si>
  <si>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</si>
  <si>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</si>
  <si>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</si>
  <si>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</si>
  <si>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</si>
  <si>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</si>
  <si>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</si>
  <si>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</si>
  <si>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</si>
  <si>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</si>
  <si>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</si>
  <si>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</si>
  <si>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</si>
  <si>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</si>
  <si>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</si>
  <si>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</si>
  <si>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</si>
  <si>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</si>
  <si>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</si>
  <si>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</si>
  <si>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</si>
  <si>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</si>
  <si>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</si>
  <si>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</si>
  <si>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</si>
  <si>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</si>
  <si>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</si>
  <si>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</si>
  <si>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</si>
  <si>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</si>
  <si>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</si>
  <si>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</si>
  <si>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</si>
  <si>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</si>
  <si>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</si>
  <si>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</si>
  <si>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</si>
  <si>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</si>
  <si>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</si>
  <si>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</si>
  <si>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</si>
  <si>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</si>
  <si>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</si>
  <si>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</si>
  <si>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</si>
  <si>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</si>
  <si>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</si>
  <si>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</si>
  <si>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</si>
  <si>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</si>
  <si>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</si>
  <si>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</si>
  <si>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</si>
  <si>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</si>
  <si>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</si>
  <si>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</si>
  <si>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</si>
  <si>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</si>
  <si>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</si>
  <si>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</si>
  <si>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</si>
  <si>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</si>
  <si>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</si>
  <si>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</si>
  <si>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</si>
  <si>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</si>
  <si>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</si>
  <si>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</si>
  <si>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</si>
  <si>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</si>
  <si>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</si>
  <si>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</si>
  <si>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</si>
  <si>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</si>
  <si>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</si>
  <si>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</si>
  <si>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</si>
  <si>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</si>
  <si>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</si>
  <si>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</si>
  <si>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</si>
  <si>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</si>
  <si>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</si>
  <si>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</si>
  <si>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</si>
  <si>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</si>
  <si>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</si>
  <si>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</si>
  <si>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</si>
  <si>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</si>
  <si>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</si>
  <si>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</si>
  <si>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</si>
  <si>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</si>
  <si>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</si>
  <si>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</si>
  <si>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</si>
  <si>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</si>
  <si>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</si>
  <si>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</si>
  <si>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</si>
  <si>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</si>
  <si>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</si>
  <si>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</si>
  <si>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</si>
  <si>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</si>
  <si>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</si>
  <si>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</si>
  <si>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</si>
  <si>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</si>
  <si>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</si>
  <si>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</si>
  <si>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</si>
  <si>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</si>
  <si>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</si>
  <si>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</si>
  <si>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</si>
  <si>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</si>
  <si>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</si>
  <si>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</si>
  <si>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</si>
  <si>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</si>
  <si>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</si>
  <si>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</si>
  <si>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</si>
  <si>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</si>
  <si>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</si>
  <si>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</si>
  <si>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</si>
  <si>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</si>
  <si>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</si>
  <si>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</si>
  <si>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</si>
  <si>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</si>
  <si>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</si>
  <si>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</si>
  <si>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</si>
  <si>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</si>
  <si>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</si>
  <si>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</si>
  <si>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</si>
  <si>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</si>
  <si>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</si>
  <si>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</si>
  <si>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</si>
  <si>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</si>
  <si>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</si>
  <si>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</si>
  <si>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</si>
  <si>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</si>
  <si>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</si>
  <si>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</si>
  <si>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</si>
  <si>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</si>
  <si>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</si>
  <si>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</si>
  <si>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</si>
  <si>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</si>
  <si>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</si>
  <si>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</si>
  <si>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</si>
  <si>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</si>
  <si>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</si>
  <si>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</si>
  <si>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</si>
  <si>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</si>
  <si>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</si>
  <si>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</si>
  <si>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</si>
  <si>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</si>
  <si>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</si>
  <si>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</si>
  <si>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</si>
  <si>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</si>
  <si>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</si>
  <si>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</si>
  <si>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</si>
  <si>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</si>
  <si>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</si>
  <si>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</si>
  <si>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</si>
  <si>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</si>
  <si>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</si>
  <si>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</si>
  <si>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</si>
  <si>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</si>
  <si>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</si>
  <si>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</si>
  <si>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</si>
  <si>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</si>
  <si>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</si>
  <si>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</si>
  <si>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</si>
  <si>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</si>
  <si>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</si>
  <si>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</si>
  <si>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</si>
  <si>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</si>
  <si>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</si>
  <si>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</si>
  <si>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</si>
  <si>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</si>
  <si>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</si>
  <si>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</si>
  <si>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</si>
  <si>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</si>
  <si>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</si>
  <si>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</si>
  <si>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</si>
  <si>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</si>
  <si>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</si>
  <si>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</si>
  <si>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</si>
  <si>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</si>
  <si>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</si>
  <si>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</si>
  <si>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</si>
  <si>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</si>
  <si>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</si>
  <si>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</si>
  <si>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</si>
  <si>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</si>
  <si>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</si>
  <si>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</si>
  <si>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</si>
  <si>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</si>
  <si>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</si>
  <si>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</si>
  <si>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</si>
  <si>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</si>
  <si>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</si>
  <si>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</si>
  <si>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</si>
  <si>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</si>
  <si>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</si>
  <si>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</si>
  <si>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</si>
  <si>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</si>
  <si>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</si>
  <si>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</si>
  <si>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</si>
  <si>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</si>
  <si>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</si>
  <si>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</si>
  <si>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</si>
  <si>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</si>
  <si>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</si>
  <si>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</si>
  <si>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</si>
  <si>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</si>
  <si>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</si>
  <si>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</si>
  <si>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</si>
  <si>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</si>
  <si>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</si>
  <si>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</si>
  <si>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</si>
  <si>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</si>
  <si>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</si>
  <si>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</si>
  <si>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</si>
  <si>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</si>
  <si>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</si>
  <si>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</si>
  <si>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</si>
  <si>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</si>
  <si>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</si>
  <si>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</si>
  <si>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</si>
  <si>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</si>
  <si>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</si>
  <si>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</si>
  <si>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</si>
  <si>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</si>
  <si>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Deanna M. Smith, EA</t>
  </si>
  <si>
    <t>Deanna Smith Accounting</t>
  </si>
  <si>
    <t>PO Box 427</t>
  </si>
  <si>
    <t>Madison, KS 66860</t>
  </si>
  <si>
    <t>dee_acc@yahoo.com</t>
  </si>
  <si>
    <t>SPRING CREEK TOWNSHIP</t>
  </si>
  <si>
    <t>GREENWOOD COUNTY</t>
  </si>
  <si>
    <t>Noxious Weed</t>
  </si>
  <si>
    <t>2-1318</t>
  </si>
  <si>
    <t>Cemetery</t>
  </si>
  <si>
    <t>Hall</t>
  </si>
  <si>
    <t>7:00 P. M.</t>
  </si>
  <si>
    <t>Residence of C. D. Gulick</t>
  </si>
  <si>
    <t>NONE</t>
  </si>
  <si>
    <t>Accounting</t>
  </si>
  <si>
    <t>Budget Preparation</t>
  </si>
  <si>
    <t>Publication</t>
  </si>
  <si>
    <t>Reimbursements</t>
  </si>
  <si>
    <t>Refunds and  Reimbursements</t>
  </si>
  <si>
    <t>Cemetery Maintenance</t>
  </si>
  <si>
    <t>Rent</t>
  </si>
  <si>
    <t>Community Support</t>
  </si>
  <si>
    <t>Building Maintenance</t>
  </si>
  <si>
    <t>Contract Services</t>
  </si>
  <si>
    <t>Utilities</t>
  </si>
  <si>
    <t>From Cemetery</t>
  </si>
  <si>
    <t>From Hall</t>
  </si>
  <si>
    <t>From Noxious Weed</t>
  </si>
  <si>
    <t>68-141g</t>
  </si>
  <si>
    <t>August 11, 2014</t>
  </si>
  <si>
    <t>Dan Mock</t>
  </si>
  <si>
    <t>Trustee</t>
  </si>
  <si>
    <t>Reece School House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</si>
</sst>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SPRING CREEK TOWNSHIP</v>
      </c>
      <c r="C1" s="156"/>
      <c r="D1" s="156"/>
      <c r="E1" s="156"/>
      <c r="F1" s="156"/>
      <c r="G1" s="156"/>
      <c r="H1" s="156"/>
      <c r="I1" s="156"/>
      <c r="J1" s="3"/>
      <c r="K1" s="3"/>
      <c r="L1" s="4">
        <f>inputPrYr!D5</f>
        <v>2015</v>
      </c>
    </row>
    <row r="2" spans="2:12" ht="15.75">
      <c r="B2" s="155" t="str">
        <f>inputPrYr!$D$3</f>
        <v>GREENWOOD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955</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955</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797"/>
      <c r="D18" s="797"/>
      <c r="E18" s="797"/>
      <c r="F18" s="797"/>
      <c r="G18" s="797"/>
      <c r="H18" s="797"/>
      <c r="I18" s="797"/>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t="s">
        <v>955</v>
      </c>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SPRING CREEK TOWNSHIP</v>
      </c>
      <c r="C7" s="531"/>
      <c r="D7" s="531"/>
      <c r="E7" s="531"/>
      <c r="F7" s="531"/>
      <c r="G7" s="531"/>
      <c r="H7" s="531"/>
      <c r="I7" s="531"/>
    </row>
    <row r="8" spans="2:9" ht="15.75">
      <c r="B8" s="532" t="str">
        <f>inputPrYr!D3</f>
        <v>GREENWOOD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 12'!E37</f>
        <v>1881261</v>
      </c>
      <c r="F27" s="531"/>
      <c r="G27" s="536">
        <f>'summ 12'!G37</f>
        <v>1995830</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 12'!F20</f>
        <v>  </v>
      </c>
      <c r="F29" s="531"/>
      <c r="G29" s="542" t="str">
        <f>'summ 12'!I20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57" sqref="E5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SPRING CREEK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0</v>
      </c>
      <c r="D6" s="364">
        <f>C51</f>
        <v>334</v>
      </c>
      <c r="E6" s="21">
        <f>D51</f>
        <v>133</v>
      </c>
    </row>
    <row r="7" spans="2:5" ht="15.75">
      <c r="B7" s="16" t="s">
        <v>111</v>
      </c>
      <c r="C7" s="364"/>
      <c r="D7" s="364"/>
      <c r="E7" s="22"/>
    </row>
    <row r="8" spans="2:5" ht="15.75">
      <c r="B8" s="16" t="s">
        <v>16</v>
      </c>
      <c r="C8" s="18">
        <v>2838</v>
      </c>
      <c r="D8" s="364">
        <f>IF(inputPrYr!H15&gt;0,inputPrYr!G16,inputPrYr!E16)</f>
        <v>2599</v>
      </c>
      <c r="E8" s="22" t="s">
        <v>266</v>
      </c>
    </row>
    <row r="9" spans="2:5" ht="15.75">
      <c r="B9" s="16" t="s">
        <v>17</v>
      </c>
      <c r="C9" s="18"/>
      <c r="D9" s="18"/>
      <c r="E9" s="23"/>
    </row>
    <row r="10" spans="2:5" ht="15.75">
      <c r="B10" s="16" t="s">
        <v>18</v>
      </c>
      <c r="C10" s="18"/>
      <c r="D10" s="18"/>
      <c r="E10" s="21">
        <f>mvalloc3!G11</f>
        <v>152</v>
      </c>
    </row>
    <row r="11" spans="2:5" ht="15.75">
      <c r="B11" s="16" t="s">
        <v>19</v>
      </c>
      <c r="C11" s="18"/>
      <c r="D11" s="18"/>
      <c r="E11" s="21">
        <f>mvalloc3!I11</f>
        <v>5</v>
      </c>
    </row>
    <row r="12" spans="2:5" ht="15.75">
      <c r="B12" s="24" t="s">
        <v>69</v>
      </c>
      <c r="C12" s="18"/>
      <c r="D12" s="18"/>
      <c r="E12" s="21">
        <f>mvalloc3!J11</f>
        <v>18</v>
      </c>
    </row>
    <row r="13" spans="2:5" ht="15.75">
      <c r="B13" s="24" t="s">
        <v>138</v>
      </c>
      <c r="C13" s="18"/>
      <c r="D13" s="18"/>
      <c r="E13" s="21">
        <f>inputOth!E35</f>
        <v>0</v>
      </c>
    </row>
    <row r="14" spans="2:5" ht="15.75">
      <c r="B14" s="16" t="s">
        <v>20</v>
      </c>
      <c r="C14" s="18"/>
      <c r="D14" s="18"/>
      <c r="E14" s="21">
        <f>inputOth!E12</f>
        <v>0</v>
      </c>
    </row>
    <row r="15" spans="2:5" ht="15.75">
      <c r="B15" s="26" t="s">
        <v>959</v>
      </c>
      <c r="C15" s="18"/>
      <c r="D15" s="18"/>
      <c r="E15" s="25">
        <v>650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2838</v>
      </c>
      <c r="D26" s="366">
        <f>SUM(D8:D24)</f>
        <v>2599</v>
      </c>
      <c r="E26" s="31">
        <f>SUM(E8:E24)</f>
        <v>825</v>
      </c>
    </row>
    <row r="27" spans="2:5" ht="15.75">
      <c r="B27" s="32" t="s">
        <v>24</v>
      </c>
      <c r="C27" s="366">
        <f>C26+C6</f>
        <v>2838</v>
      </c>
      <c r="D27" s="366">
        <f>D26+D6</f>
        <v>2933</v>
      </c>
      <c r="E27" s="31">
        <f>E26+E6</f>
        <v>958</v>
      </c>
    </row>
    <row r="28" spans="2:5" ht="15.75">
      <c r="B28" s="16" t="s">
        <v>25</v>
      </c>
      <c r="C28" s="364"/>
      <c r="D28" s="364"/>
      <c r="E28" s="21"/>
    </row>
    <row r="29" spans="2:5" ht="15.75">
      <c r="B29" s="26"/>
      <c r="C29" s="18"/>
      <c r="D29" s="18"/>
      <c r="E29" s="23"/>
    </row>
    <row r="30" spans="2:5" ht="15.75">
      <c r="B30" s="27" t="s">
        <v>101</v>
      </c>
      <c r="C30" s="18">
        <v>1080</v>
      </c>
      <c r="D30" s="18">
        <v>1100</v>
      </c>
      <c r="E30" s="23">
        <v>1200</v>
      </c>
    </row>
    <row r="31" spans="2:5" ht="15.75">
      <c r="B31" s="27" t="s">
        <v>956</v>
      </c>
      <c r="C31" s="18">
        <v>38</v>
      </c>
      <c r="D31" s="18">
        <v>50</v>
      </c>
      <c r="E31" s="23">
        <v>100</v>
      </c>
    </row>
    <row r="32" spans="2:5" ht="15.75">
      <c r="B32" s="27" t="s">
        <v>957</v>
      </c>
      <c r="C32" s="18">
        <v>150</v>
      </c>
      <c r="D32" s="18">
        <v>150</v>
      </c>
      <c r="E32" s="23">
        <v>150</v>
      </c>
    </row>
    <row r="33" spans="2:5" ht="15.75">
      <c r="B33" s="27" t="s">
        <v>958</v>
      </c>
      <c r="C33" s="18">
        <v>151</v>
      </c>
      <c r="D33" s="18">
        <v>200</v>
      </c>
      <c r="E33" s="23">
        <v>300</v>
      </c>
    </row>
    <row r="34" spans="2:5" ht="15.75">
      <c r="B34" s="26" t="s">
        <v>103</v>
      </c>
      <c r="C34" s="18"/>
      <c r="D34" s="18"/>
      <c r="E34" s="23"/>
    </row>
    <row r="35" spans="2:5" ht="15.75">
      <c r="B35" s="26" t="s">
        <v>117</v>
      </c>
      <c r="C35" s="18"/>
      <c r="D35" s="18"/>
      <c r="E35" s="23"/>
    </row>
    <row r="36" spans="2:5" ht="15.75">
      <c r="B36" s="27" t="s">
        <v>119</v>
      </c>
      <c r="C36" s="18">
        <v>1085</v>
      </c>
      <c r="D36" s="18">
        <v>1300</v>
      </c>
      <c r="E36" s="23">
        <v>2000</v>
      </c>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IF(AND(cert1!F21&gt;0,$E$43&gt;0),"Not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2504</v>
      </c>
      <c r="D50" s="358">
        <f>SUM(D29:D48)</f>
        <v>2800</v>
      </c>
      <c r="E50" s="36">
        <f>SUM(E29:E43,E45,E47:E48)</f>
        <v>3750</v>
      </c>
      <c r="G50" s="459">
        <f>D51</f>
        <v>133</v>
      </c>
      <c r="H50" s="460" t="str">
        <f>CONCATENATE("",E1-1," Ending Cash Balance (est.)")</f>
        <v>2014 Ending Cash Balance (est.)</v>
      </c>
      <c r="I50" s="461"/>
      <c r="J50" s="245"/>
    </row>
    <row r="51" spans="2:10" ht="15.75">
      <c r="B51" s="16" t="s">
        <v>110</v>
      </c>
      <c r="C51" s="359">
        <f>C27-C50</f>
        <v>334</v>
      </c>
      <c r="D51" s="359">
        <f>SUM(D27-D50)</f>
        <v>133</v>
      </c>
      <c r="E51" s="22" t="s">
        <v>266</v>
      </c>
      <c r="G51" s="459">
        <f>E26</f>
        <v>825</v>
      </c>
      <c r="H51" s="462" t="str">
        <f>CONCATENATE("",E1," Non-AV Receipts (est.)")</f>
        <v>2015 Non-AV Receipts (est.)</v>
      </c>
      <c r="I51" s="461"/>
      <c r="J51" s="245"/>
    </row>
    <row r="52" spans="2:11" ht="15.75">
      <c r="B52" s="266" t="str">
        <f>CONCATENATE("",E1-2,"/",E1-1,"/",E1," Budget Authority Amount:")</f>
        <v>2013/2014/2015 Budget Authority Amount:</v>
      </c>
      <c r="C52" s="52">
        <f>inputOth!B46</f>
        <v>2697</v>
      </c>
      <c r="D52" s="52">
        <f>inputPrYr!D16</f>
        <v>2800</v>
      </c>
      <c r="E52" s="21">
        <f>E50</f>
        <v>3750</v>
      </c>
      <c r="F52" s="39"/>
      <c r="G52" s="463">
        <f>IF(D56&gt;0,E55,E57)</f>
        <v>2792</v>
      </c>
      <c r="H52" s="462" t="str">
        <f>CONCATENATE("",E1," Ad Valorem Tax (est.)")</f>
        <v>2015 Ad Valorem Tax (est.)</v>
      </c>
      <c r="I52" s="461"/>
      <c r="J52" s="245"/>
      <c r="K52" s="674">
        <f>IF(G52=E57,"","Note: Does not include Delinquent Taxes")</f>
      </c>
    </row>
    <row r="53" spans="2:10" ht="15.75">
      <c r="B53" s="37"/>
      <c r="C53" s="834" t="s">
        <v>587</v>
      </c>
      <c r="D53" s="835"/>
      <c r="E53" s="23"/>
      <c r="F53" s="457">
        <f>IF(E50/0.95-E50&lt;E53,"Exceeds 5%","")</f>
      </c>
      <c r="G53" s="459">
        <f>SUM(G50:G52)</f>
        <v>3750</v>
      </c>
      <c r="H53" s="462" t="str">
        <f>CONCATENATE("Total ",E1," Resources Available")</f>
        <v>Total 2015 Resources Available</v>
      </c>
      <c r="I53" s="461"/>
      <c r="J53" s="245"/>
    </row>
    <row r="54" spans="2:10" ht="15.75">
      <c r="B54" s="370" t="str">
        <f>CONCATENATE(C72,"     ",D72)</f>
        <v>     </v>
      </c>
      <c r="C54" s="836" t="s">
        <v>588</v>
      </c>
      <c r="D54" s="837"/>
      <c r="E54" s="21">
        <f>E50+E53</f>
        <v>3750</v>
      </c>
      <c r="G54" s="464"/>
      <c r="H54" s="462"/>
      <c r="I54" s="462"/>
      <c r="J54" s="245"/>
    </row>
    <row r="55" spans="2:10" ht="15.75">
      <c r="B55" s="370" t="str">
        <f>CONCATENATE(C73,"     ",D73)</f>
        <v>     </v>
      </c>
      <c r="C55" s="49"/>
      <c r="D55" s="41" t="s">
        <v>28</v>
      </c>
      <c r="E55" s="35">
        <f>IF(E54-E27&gt;0,E54-E27,0)</f>
        <v>2792</v>
      </c>
      <c r="G55" s="463">
        <f>ROUND(C50*0.05+C50,0)</f>
        <v>2629</v>
      </c>
      <c r="H55" s="462" t="str">
        <f>CONCATENATE("Less ",E1-2," Expenditures + 5%")</f>
        <v>Less 2013 Expenditures + 5%</v>
      </c>
      <c r="I55" s="461"/>
      <c r="J55" s="245"/>
    </row>
    <row r="56" spans="2:10" ht="15.75">
      <c r="B56" s="41"/>
      <c r="C56" s="374" t="s">
        <v>589</v>
      </c>
      <c r="D56" s="662">
        <f>inputOth!$E$40</f>
        <v>0</v>
      </c>
      <c r="E56" s="21">
        <f>ROUND(IF(D56&gt;0,(E55*D56),0),0)</f>
        <v>0</v>
      </c>
      <c r="G56" s="465">
        <f>G53-G55</f>
        <v>1121</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2792</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 12'!I18</f>
        <v>1.399</v>
      </c>
      <c r="H60" s="460" t="str">
        <f>CONCATENATE("",E1," Fund Mill Rate")</f>
        <v>2015 Fund Mill Rate</v>
      </c>
      <c r="I60" s="664"/>
      <c r="J60" s="676"/>
      <c r="K60" s="5"/>
    </row>
    <row r="61" spans="2:10" ht="15.75">
      <c r="B61" s="41" t="s">
        <v>9</v>
      </c>
      <c r="C61" s="376">
        <f>IF(inputPrYr!D18&gt;0,7,6)</f>
        <v>6</v>
      </c>
      <c r="D61" s="3"/>
      <c r="E61" s="44"/>
      <c r="G61" s="678">
        <f>'summ 12'!F18</f>
        <v>1.381</v>
      </c>
      <c r="H61" s="460" t="str">
        <f>CONCATENATE("",E1-1," Fund Mill Rate")</f>
        <v>2014 Fund Mill Rate</v>
      </c>
      <c r="I61" s="664"/>
      <c r="J61" s="676"/>
    </row>
    <row r="62" spans="7:10" ht="15.75">
      <c r="G62" s="679">
        <f>'summ 12'!I32</f>
        <v>19.014</v>
      </c>
      <c r="H62" s="460" t="str">
        <f>CONCATENATE("Total ",E1," Mill Rate")</f>
        <v>Total 2015 Mill Rate</v>
      </c>
      <c r="I62" s="664"/>
      <c r="J62" s="676"/>
    </row>
    <row r="63" spans="2:10" ht="15.75">
      <c r="B63" s="1"/>
      <c r="G63" s="678">
        <f>'summ 12'!F32</f>
        <v>19.917</v>
      </c>
      <c r="H63" s="680" t="str">
        <f>CONCATENATE("Total ",E1-1," Mill Rate")</f>
        <v>Total 2014 Mill Rate</v>
      </c>
      <c r="I63" s="681"/>
      <c r="J63" s="682"/>
    </row>
    <row r="64" spans="7:10" ht="15.75">
      <c r="G64" s="665"/>
      <c r="H64" s="469"/>
      <c r="I64" s="469"/>
      <c r="J64" s="667"/>
    </row>
    <row r="65" spans="7:10" ht="15.75">
      <c r="G65" s="751" t="s">
        <v>898</v>
      </c>
      <c r="H65" s="716"/>
      <c r="I65" s="715" t="str">
        <f>cert1!F37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SPRING CREEK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mvalloc3!G12</f>
        <v>0</v>
      </c>
    </row>
    <row r="11" spans="2:5" ht="15.75">
      <c r="B11" s="569" t="s">
        <v>19</v>
      </c>
      <c r="C11" s="574"/>
      <c r="D11" s="576"/>
      <c r="E11" s="572">
        <f>mvalloc3!I12</f>
        <v>0</v>
      </c>
    </row>
    <row r="12" spans="2:5" ht="15.75">
      <c r="B12" s="578" t="s">
        <v>99</v>
      </c>
      <c r="C12" s="574"/>
      <c r="D12" s="576"/>
      <c r="E12" s="572">
        <f>mvalloc3!J12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47"/>
      <c r="I31" s="847"/>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 12'!I19</f>
        <v> </v>
      </c>
      <c r="H43" s="607" t="str">
        <f>CONCATENATE("",E1," Fund Mill Rate")</f>
        <v>2015 Fund Mill Rate</v>
      </c>
      <c r="I43" s="629"/>
      <c r="J43" s="630"/>
    </row>
    <row r="44" spans="2:10" ht="15.75">
      <c r="B44" s="561" t="s">
        <v>10</v>
      </c>
      <c r="C44" s="562" t="s">
        <v>781</v>
      </c>
      <c r="D44" s="563" t="s">
        <v>782</v>
      </c>
      <c r="E44" s="564" t="s">
        <v>783</v>
      </c>
      <c r="F44" s="610"/>
      <c r="G44" s="632" t="str">
        <f>'summ 12'!F19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 12'!I32</f>
        <v>19.014</v>
      </c>
      <c r="H45" s="607" t="str">
        <f>CONCATENATE("Total ",E1," Mill Rate")</f>
        <v>Total 2015 Mill Rate</v>
      </c>
      <c r="I45" s="629"/>
      <c r="J45" s="630"/>
    </row>
    <row r="46" spans="2:10" ht="15.75">
      <c r="B46" s="569" t="s">
        <v>123</v>
      </c>
      <c r="C46" s="574">
        <v>0</v>
      </c>
      <c r="D46" s="571">
        <f>C74</f>
        <v>0</v>
      </c>
      <c r="E46" s="572">
        <f>D74</f>
        <v>0</v>
      </c>
      <c r="F46" s="610"/>
      <c r="G46" s="632">
        <f>'summ 12'!F32</f>
        <v>19.917</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cert1!F37</f>
        <v>No</v>
      </c>
    </row>
    <row r="49" spans="2:6" ht="15.75">
      <c r="B49" s="569" t="s">
        <v>17</v>
      </c>
      <c r="C49" s="582"/>
      <c r="D49" s="576"/>
      <c r="E49" s="577"/>
      <c r="F49" s="610"/>
    </row>
    <row r="50" spans="2:6" ht="15.75">
      <c r="B50" s="569" t="s">
        <v>18</v>
      </c>
      <c r="C50" s="582"/>
      <c r="D50" s="576"/>
      <c r="E50" s="572">
        <f>mvalloc3!G13</f>
        <v>0</v>
      </c>
      <c r="F50" s="610"/>
    </row>
    <row r="51" spans="2:6" ht="15.75">
      <c r="B51" s="569" t="s">
        <v>19</v>
      </c>
      <c r="C51" s="582"/>
      <c r="D51" s="576"/>
      <c r="E51" s="572">
        <f>mvalloc3!I13</f>
        <v>0</v>
      </c>
      <c r="F51" s="610"/>
    </row>
    <row r="52" spans="2:5" ht="15.75">
      <c r="B52" s="578" t="s">
        <v>99</v>
      </c>
      <c r="C52" s="582"/>
      <c r="D52" s="576"/>
      <c r="E52" s="572">
        <f>mvalloc3!J13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54"/>
      <c r="I71" s="854"/>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 12'!I20</f>
        <v> </v>
      </c>
      <c r="H83" s="607" t="str">
        <f>CONCATENATE("",E1," Fund Mill Rate")</f>
        <v>2015 Fund Mill Rate</v>
      </c>
      <c r="I83" s="629"/>
      <c r="J83" s="630"/>
    </row>
    <row r="84" spans="7:10" ht="15.75">
      <c r="G84" s="632" t="str">
        <f>'summ 12'!F20</f>
        <v>  </v>
      </c>
      <c r="H84" s="607" t="str">
        <f>CONCATENATE("",E1-1," Fund Mill Rate")</f>
        <v>2014 Fund Mill Rate</v>
      </c>
      <c r="I84" s="629"/>
      <c r="J84" s="630"/>
    </row>
    <row r="85" spans="7:10" ht="15.75">
      <c r="G85" s="634">
        <f>'summ 12'!I32</f>
        <v>19.014</v>
      </c>
      <c r="H85" s="607" t="str">
        <f>CONCATENATE("Total ",E1," Mill Rate")</f>
        <v>Total 2015 Mill Rate</v>
      </c>
      <c r="I85" s="629"/>
      <c r="J85" s="630"/>
    </row>
    <row r="86" spans="7:10" ht="15.75">
      <c r="G86" s="632">
        <f>'summ 12'!F32</f>
        <v>19.917</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cert1!F37</f>
        <v>No</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8">
      <selection activeCell="E29" sqref="E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SPRING CREEK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gen6!C5</f>
        <v>Actual for 2013</v>
      </c>
      <c r="D5" s="363" t="str">
        <f>gen6!D5</f>
        <v>Estimate for 2014</v>
      </c>
      <c r="E5" s="15" t="str">
        <f>gen6!E5</f>
        <v>Year for 2015</v>
      </c>
    </row>
    <row r="6" spans="2:5" ht="15.75">
      <c r="B6" s="16" t="s">
        <v>109</v>
      </c>
      <c r="C6" s="18">
        <v>1746</v>
      </c>
      <c r="D6" s="364">
        <f>C44</f>
        <v>2125</v>
      </c>
      <c r="E6" s="21">
        <f>D44</f>
        <v>0</v>
      </c>
    </row>
    <row r="7" spans="2:5" ht="15.75">
      <c r="B7" s="16" t="s">
        <v>111</v>
      </c>
      <c r="C7" s="364"/>
      <c r="D7" s="364"/>
      <c r="E7" s="22"/>
    </row>
    <row r="8" spans="2:5" ht="15.75">
      <c r="B8" s="16" t="s">
        <v>16</v>
      </c>
      <c r="C8" s="18">
        <v>29977</v>
      </c>
      <c r="D8" s="364">
        <f>IF(inputPrYr!H15&gt;0,inputPrYr!G19,inputPrYr!E19)</f>
        <v>27954</v>
      </c>
      <c r="E8" s="22" t="s">
        <v>266</v>
      </c>
    </row>
    <row r="9" spans="2:5" ht="15.75">
      <c r="B9" s="16" t="s">
        <v>17</v>
      </c>
      <c r="C9" s="18"/>
      <c r="D9" s="18"/>
      <c r="E9" s="23"/>
    </row>
    <row r="10" spans="2:5" ht="15.75">
      <c r="B10" s="16" t="s">
        <v>18</v>
      </c>
      <c r="C10" s="18"/>
      <c r="D10" s="18"/>
      <c r="E10" s="21">
        <f>mvalloc3!G14</f>
        <v>1630</v>
      </c>
    </row>
    <row r="11" spans="2:5" ht="15.75">
      <c r="B11" s="16" t="s">
        <v>19</v>
      </c>
      <c r="C11" s="18"/>
      <c r="D11" s="18"/>
      <c r="E11" s="21">
        <f>mvalloc3!I14</f>
        <v>51</v>
      </c>
    </row>
    <row r="12" spans="2:5" ht="15.75">
      <c r="B12" s="16" t="s">
        <v>99</v>
      </c>
      <c r="C12" s="18"/>
      <c r="D12" s="18"/>
      <c r="E12" s="21">
        <f>mvalloc3!J14</f>
        <v>200</v>
      </c>
    </row>
    <row r="13" spans="2:5" ht="15.75">
      <c r="B13" s="16" t="s">
        <v>100</v>
      </c>
      <c r="C13" s="18"/>
      <c r="D13" s="18"/>
      <c r="E13" s="21">
        <f>inputOth!E36</f>
        <v>0</v>
      </c>
    </row>
    <row r="14" spans="2:5" ht="15.75">
      <c r="B14" s="27" t="s">
        <v>960</v>
      </c>
      <c r="C14" s="18">
        <v>100</v>
      </c>
      <c r="D14" s="18"/>
      <c r="E14" s="23">
        <v>8250</v>
      </c>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30077</v>
      </c>
      <c r="D23" s="366">
        <f>SUM(D8:D21)</f>
        <v>27954</v>
      </c>
      <c r="E23" s="31">
        <f>SUM(E8:E21)</f>
        <v>10131</v>
      </c>
    </row>
    <row r="24" spans="2:5" ht="15.75">
      <c r="B24" s="32" t="s">
        <v>24</v>
      </c>
      <c r="C24" s="366">
        <f>C23+C6</f>
        <v>31823</v>
      </c>
      <c r="D24" s="366">
        <f>D23+D6</f>
        <v>30079</v>
      </c>
      <c r="E24" s="31">
        <f>E23+E6</f>
        <v>10131</v>
      </c>
    </row>
    <row r="25" spans="2:5" ht="15.75">
      <c r="B25" s="16" t="s">
        <v>25</v>
      </c>
      <c r="C25" s="364"/>
      <c r="D25" s="364"/>
      <c r="E25" s="21"/>
    </row>
    <row r="26" spans="2:5" ht="15.75">
      <c r="B26" s="27" t="s">
        <v>116</v>
      </c>
      <c r="C26" s="18"/>
      <c r="D26" s="18"/>
      <c r="E26" s="23"/>
    </row>
    <row r="27" spans="2:5" ht="15.75">
      <c r="B27" s="26" t="s">
        <v>102</v>
      </c>
      <c r="C27" s="18"/>
      <c r="D27" s="18"/>
      <c r="E27" s="23"/>
    </row>
    <row r="28" spans="2:5" ht="15.75">
      <c r="B28" s="27" t="s">
        <v>118</v>
      </c>
      <c r="C28" s="18">
        <v>17987</v>
      </c>
      <c r="D28" s="18">
        <v>20000</v>
      </c>
      <c r="E28" s="23">
        <v>24000</v>
      </c>
    </row>
    <row r="29" spans="2:5" ht="15.75">
      <c r="B29" s="27" t="s">
        <v>105</v>
      </c>
      <c r="C29" s="18">
        <v>4986</v>
      </c>
      <c r="D29" s="18">
        <v>5000</v>
      </c>
      <c r="E29" s="23">
        <v>10000</v>
      </c>
    </row>
    <row r="30" spans="2:5" ht="15.75">
      <c r="B30" s="27" t="s">
        <v>103</v>
      </c>
      <c r="C30" s="18"/>
      <c r="D30" s="18">
        <v>5079</v>
      </c>
      <c r="E30" s="23">
        <v>4000</v>
      </c>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v>6725</v>
      </c>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29698</v>
      </c>
      <c r="D43" s="366">
        <f>SUM(D26:D38,D40:D41)</f>
        <v>30079</v>
      </c>
      <c r="E43" s="31">
        <f>SUM(E26:E38,E40:E41)</f>
        <v>38000</v>
      </c>
      <c r="G43" s="459">
        <f>D44</f>
        <v>0</v>
      </c>
      <c r="H43" s="460" t="str">
        <f>CONCATENATE("",E1-1," Ending Cash Balance (est.)")</f>
        <v>2014 Ending Cash Balance (est.)</v>
      </c>
      <c r="I43" s="461"/>
      <c r="J43" s="245"/>
    </row>
    <row r="44" spans="2:10" ht="15.75">
      <c r="B44" s="16" t="s">
        <v>110</v>
      </c>
      <c r="C44" s="359">
        <f>C24-C43</f>
        <v>2125</v>
      </c>
      <c r="D44" s="359">
        <f>D24-D43</f>
        <v>0</v>
      </c>
      <c r="E44" s="22" t="s">
        <v>266</v>
      </c>
      <c r="G44" s="459">
        <f>E23</f>
        <v>10131</v>
      </c>
      <c r="H44" s="462" t="str">
        <f>CONCATENATE("",E1," Non-AV Receipts (est.)")</f>
        <v>2015 Non-AV Receipts (est.)</v>
      </c>
      <c r="I44" s="461"/>
      <c r="J44" s="245"/>
    </row>
    <row r="45" spans="2:11" ht="15.75">
      <c r="B45" s="266" t="str">
        <f>CONCATENATE("",E1-2,"/",E1-1,"/",E1," Budget Authority Amount:")</f>
        <v>2013/2014/2015 Budget Authority Amount:</v>
      </c>
      <c r="C45" s="52">
        <f>inputOth!B49</f>
        <v>28979</v>
      </c>
      <c r="D45" s="52">
        <f>inputPrYr!D19</f>
        <v>37500</v>
      </c>
      <c r="E45" s="21">
        <f>E43</f>
        <v>38000</v>
      </c>
      <c r="F45" s="39"/>
      <c r="G45" s="463">
        <f>IF(D49&gt;0,E48,E50)</f>
        <v>27869</v>
      </c>
      <c r="H45" s="462" t="str">
        <f>CONCATENATE("",E1," Ad Valorem Tax (est.)")</f>
        <v>2015 Ad Valorem Tax (est.)</v>
      </c>
      <c r="I45" s="461"/>
      <c r="J45" s="245"/>
      <c r="K45" s="674">
        <f>IF(G45=E50,"","Note: Does not include Delinquent Taxes")</f>
      </c>
    </row>
    <row r="46" spans="2:10" ht="15.75">
      <c r="B46" s="37"/>
      <c r="C46" s="834" t="s">
        <v>587</v>
      </c>
      <c r="D46" s="835"/>
      <c r="E46" s="23"/>
      <c r="F46" s="457">
        <f>IF(E43/0.95-E43&lt;E46,"Exceeds 5%","")</f>
      </c>
      <c r="G46" s="459">
        <f>SUM(G43:G45)</f>
        <v>38000</v>
      </c>
      <c r="H46" s="462" t="str">
        <f>CONCATENATE("Total ",E1," Resources Available")</f>
        <v>Total 2015 Resources Available</v>
      </c>
      <c r="I46" s="461"/>
      <c r="J46" s="245"/>
    </row>
    <row r="47" spans="2:10" ht="15.75">
      <c r="B47" s="370" t="str">
        <f>CONCATENATE(C74,"     ",D74)</f>
        <v>See Tab A     </v>
      </c>
      <c r="C47" s="836" t="s">
        <v>588</v>
      </c>
      <c r="D47" s="837"/>
      <c r="E47" s="21">
        <f>E43+E46</f>
        <v>38000</v>
      </c>
      <c r="G47" s="464"/>
      <c r="H47" s="462"/>
      <c r="I47" s="462"/>
      <c r="J47" s="245"/>
    </row>
    <row r="48" spans="2:10" ht="15.75">
      <c r="B48" s="370" t="str">
        <f>CONCATENATE(C75,"     ",D75)</f>
        <v>     </v>
      </c>
      <c r="C48" s="49"/>
      <c r="D48" s="41" t="s">
        <v>28</v>
      </c>
      <c r="E48" s="35">
        <f>IF(E47-E24&gt;0,E47-E24,0)</f>
        <v>27869</v>
      </c>
      <c r="G48" s="463">
        <f>ROUND(C43*0.05+C43,0)</f>
        <v>31183</v>
      </c>
      <c r="H48" s="462" t="str">
        <f>CONCATENATE("Less ",E1-2," Expenditures + 5%")</f>
        <v>Less 2013 Expenditures + 5%</v>
      </c>
      <c r="I48" s="461"/>
      <c r="J48" s="245"/>
    </row>
    <row r="49" spans="2:10" ht="15.75">
      <c r="B49" s="41"/>
      <c r="C49" s="374" t="s">
        <v>589</v>
      </c>
      <c r="D49" s="662">
        <f>inputOth!$E$40</f>
        <v>0</v>
      </c>
      <c r="E49" s="21">
        <f>ROUND(IF(D49&gt;0,(E48*D49),0),0)</f>
        <v>0</v>
      </c>
      <c r="G49" s="465">
        <f>G46-G48</f>
        <v>6817</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27869</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 12'!I21</f>
        <v>13.964</v>
      </c>
      <c r="H53" s="460" t="str">
        <f>CONCATENATE("",E1," Fund Mill Rate")</f>
        <v>2015 Fund Mill Rate</v>
      </c>
      <c r="I53" s="664"/>
      <c r="J53" s="676"/>
    </row>
    <row r="54" spans="2:10" ht="15.75">
      <c r="B54" s="60" t="s">
        <v>31</v>
      </c>
      <c r="C54" s="375" t="str">
        <f>CONCATENATE("",E1-2," Actual Year")</f>
        <v>2013 Actual Year</v>
      </c>
      <c r="D54" s="3"/>
      <c r="E54" s="3"/>
      <c r="G54" s="678">
        <f>'summ 12'!F21</f>
        <v>14.858</v>
      </c>
      <c r="H54" s="460" t="str">
        <f>CONCATENATE("",E1-1," Fund Mill Rate")</f>
        <v>2014 Fund Mill Rate</v>
      </c>
      <c r="I54" s="664"/>
      <c r="J54" s="676"/>
    </row>
    <row r="55" spans="2:10" ht="15.75">
      <c r="B55" s="61" t="s">
        <v>14</v>
      </c>
      <c r="C55" s="119"/>
      <c r="D55" s="3"/>
      <c r="E55" s="3"/>
      <c r="G55" s="679">
        <f>'summ 12'!I32</f>
        <v>19.014</v>
      </c>
      <c r="H55" s="460" t="str">
        <f>CONCATENATE("Total ",E1," Mill Rate")</f>
        <v>Total 2015 Mill Rate</v>
      </c>
      <c r="I55" s="664"/>
      <c r="J55" s="676"/>
    </row>
    <row r="56" spans="2:10" ht="15.75">
      <c r="B56" s="61" t="s">
        <v>33</v>
      </c>
      <c r="C56" s="121"/>
      <c r="D56" s="3"/>
      <c r="E56" s="3"/>
      <c r="G56" s="678">
        <f>'summ 12'!F32</f>
        <v>19.917</v>
      </c>
      <c r="H56" s="680" t="str">
        <f>CONCATENATE("Total ",E1-1," Mill Rate")</f>
        <v>Total 2014 Mill Rate</v>
      </c>
      <c r="I56" s="681"/>
      <c r="J56" s="682"/>
    </row>
    <row r="57" spans="2:5" ht="15.75">
      <c r="B57" s="61" t="s">
        <v>34</v>
      </c>
      <c r="C57" s="373">
        <f>C38</f>
        <v>6725</v>
      </c>
      <c r="D57" s="63"/>
      <c r="E57" s="3"/>
    </row>
    <row r="58" spans="2:9" ht="15.75">
      <c r="B58" s="61" t="s">
        <v>223</v>
      </c>
      <c r="C58" s="373">
        <f>gen6!C43</f>
        <v>0</v>
      </c>
      <c r="D58" s="855">
        <f>IF(AND(C58&gt;0,C59&gt;0),"Not Auth. Two General Transfers - Only One","")</f>
      </c>
      <c r="E58" s="856"/>
      <c r="G58" s="754" t="s">
        <v>898</v>
      </c>
      <c r="H58" s="716"/>
      <c r="I58" s="715" t="str">
        <f>cert1!F37</f>
        <v>No</v>
      </c>
    </row>
    <row r="59" spans="2:5" ht="15.75">
      <c r="B59" s="64" t="s">
        <v>224</v>
      </c>
      <c r="C59" s="373">
        <f>gen6!C45</f>
        <v>0</v>
      </c>
      <c r="D59" s="857"/>
      <c r="E59" s="856"/>
    </row>
    <row r="60" spans="2:5" ht="15.75">
      <c r="B60" s="65" t="s">
        <v>967</v>
      </c>
      <c r="C60" s="119">
        <v>700</v>
      </c>
      <c r="D60" s="3"/>
      <c r="E60" s="3"/>
    </row>
    <row r="61" spans="2:5" ht="15.75">
      <c r="B61" s="65" t="s">
        <v>969</v>
      </c>
      <c r="C61" s="119">
        <v>468</v>
      </c>
      <c r="D61" s="3"/>
      <c r="E61" s="3"/>
    </row>
    <row r="62" spans="2:5" ht="15.75">
      <c r="B62" s="65" t="s">
        <v>968</v>
      </c>
      <c r="C62" s="119">
        <v>320</v>
      </c>
      <c r="D62" s="3"/>
      <c r="E62" s="3"/>
    </row>
    <row r="63" spans="2:5" ht="15.75">
      <c r="B63" s="66" t="s">
        <v>24</v>
      </c>
      <c r="C63" s="121">
        <f>SUM(C55:C62)</f>
        <v>8213</v>
      </c>
      <c r="D63" s="3"/>
      <c r="E63" s="3"/>
    </row>
    <row r="64" spans="2:5" ht="15.75">
      <c r="B64" s="66" t="s">
        <v>26</v>
      </c>
      <c r="C64" s="119"/>
      <c r="D64" s="3"/>
      <c r="E64" s="3"/>
    </row>
    <row r="65" spans="2:5" ht="15.75">
      <c r="B65" s="66" t="s">
        <v>27</v>
      </c>
      <c r="C65" s="372">
        <f>SUM(C63-C64)</f>
        <v>8213</v>
      </c>
      <c r="D65" s="3"/>
      <c r="E65" s="3"/>
    </row>
    <row r="66" spans="2:5" ht="15.75">
      <c r="B66" s="3"/>
      <c r="C66" s="3"/>
      <c r="D66" s="3"/>
      <c r="E66" s="3"/>
    </row>
    <row r="67" spans="2:5" ht="15.75">
      <c r="B67" s="41" t="s">
        <v>9</v>
      </c>
      <c r="C67" s="54">
        <v>7</v>
      </c>
      <c r="D67" s="3"/>
      <c r="E67" s="3"/>
    </row>
    <row r="69" ht="15.75">
      <c r="B69" s="1"/>
    </row>
    <row r="74" spans="3:4" ht="15.75" hidden="1">
      <c r="C74" s="5" t="str">
        <f>IF(C43&gt;C45,"See Tab A","")</f>
        <v>See Tab A</v>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3">
      <selection activeCell="E24" sqref="E2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SPRING CREEK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t="str">
        <f>inputPrYr!B20</f>
        <v>Noxious Weed</v>
      </c>
      <c r="C5" s="363" t="str">
        <f>gen6!C5</f>
        <v>Actual for 2013</v>
      </c>
      <c r="D5" s="363" t="str">
        <f>gen6!D5</f>
        <v>Estimate for 2014</v>
      </c>
      <c r="E5" s="15" t="str">
        <f>gen6!E5</f>
        <v>Year for 2015</v>
      </c>
    </row>
    <row r="6" spans="2:5" ht="15.75">
      <c r="B6" s="16" t="s">
        <v>109</v>
      </c>
      <c r="C6" s="18">
        <v>815</v>
      </c>
      <c r="D6" s="364">
        <f>C34</f>
        <v>1471</v>
      </c>
      <c r="E6" s="21">
        <f>D34</f>
        <v>890</v>
      </c>
    </row>
    <row r="7" spans="2:5" ht="15.75">
      <c r="B7" s="16" t="s">
        <v>111</v>
      </c>
      <c r="C7" s="364"/>
      <c r="D7" s="364"/>
      <c r="E7" s="22"/>
    </row>
    <row r="8" spans="2:5" ht="15.75">
      <c r="B8" s="16" t="s">
        <v>16</v>
      </c>
      <c r="C8" s="18">
        <v>1124</v>
      </c>
      <c r="D8" s="364">
        <f>IF(inputPrYr!H15&gt;0,inputPrYr!G20,inputPrYr!E20)</f>
        <v>1219</v>
      </c>
      <c r="E8" s="22" t="s">
        <v>266</v>
      </c>
    </row>
    <row r="9" spans="2:5" ht="15.75">
      <c r="B9" s="16" t="s">
        <v>17</v>
      </c>
      <c r="C9" s="18"/>
      <c r="D9" s="18"/>
      <c r="E9" s="23"/>
    </row>
    <row r="10" spans="2:5" ht="15.75">
      <c r="B10" s="16" t="s">
        <v>18</v>
      </c>
      <c r="C10" s="18"/>
      <c r="D10" s="18"/>
      <c r="E10" s="21">
        <f>mvalloc3!G15</f>
        <v>71</v>
      </c>
    </row>
    <row r="11" spans="2:5" ht="15.75">
      <c r="B11" s="16" t="s">
        <v>19</v>
      </c>
      <c r="C11" s="18"/>
      <c r="D11" s="18"/>
      <c r="E11" s="21">
        <f>mvalloc3!I15</f>
        <v>2</v>
      </c>
    </row>
    <row r="12" spans="2:5" ht="15.75">
      <c r="B12" s="24" t="s">
        <v>69</v>
      </c>
      <c r="C12" s="18"/>
      <c r="D12" s="18"/>
      <c r="E12" s="21">
        <f>mvalloc3!J15</f>
        <v>9</v>
      </c>
    </row>
    <row r="13" spans="2:5" ht="15.75">
      <c r="B13" s="27" t="s">
        <v>959</v>
      </c>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1124</v>
      </c>
      <c r="D20" s="366">
        <f>SUM(D8:D18)</f>
        <v>1219</v>
      </c>
      <c r="E20" s="31">
        <f>SUM(E8:E18)</f>
        <v>82</v>
      </c>
    </row>
    <row r="21" spans="2:5" ht="15.75">
      <c r="B21" s="32" t="s">
        <v>24</v>
      </c>
      <c r="C21" s="366">
        <f>C20+C6</f>
        <v>1939</v>
      </c>
      <c r="D21" s="366">
        <f>D20+D6</f>
        <v>2690</v>
      </c>
      <c r="E21" s="31">
        <f>E20+E6</f>
        <v>972</v>
      </c>
    </row>
    <row r="22" spans="2:5" ht="15.75">
      <c r="B22" s="16" t="s">
        <v>25</v>
      </c>
      <c r="C22" s="364"/>
      <c r="D22" s="364"/>
      <c r="E22" s="21"/>
    </row>
    <row r="23" spans="2:5" ht="15.75">
      <c r="B23" s="27" t="s">
        <v>103</v>
      </c>
      <c r="C23" s="18"/>
      <c r="D23" s="18">
        <v>1800</v>
      </c>
      <c r="E23" s="23">
        <v>2200</v>
      </c>
    </row>
    <row r="24" spans="2:11" ht="15.75">
      <c r="B24" s="27"/>
      <c r="C24" s="18"/>
      <c r="D24" s="18"/>
      <c r="E24" s="23"/>
      <c r="G24" s="844" t="str">
        <f>CONCATENATE("Desired Carryover Into ",E1+1,"")</f>
        <v>Desired Carryover Into 2016</v>
      </c>
      <c r="H24" s="845"/>
      <c r="I24" s="845"/>
      <c r="J24" s="846"/>
      <c r="K24" s="557"/>
    </row>
    <row r="25" spans="2:11" ht="15.75">
      <c r="B25" s="27" t="s">
        <v>104</v>
      </c>
      <c r="C25" s="18">
        <v>468</v>
      </c>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468</v>
      </c>
      <c r="D33" s="366">
        <f>SUM(D23:D31)</f>
        <v>1800</v>
      </c>
      <c r="E33" s="31">
        <f>SUM(E23:E31)</f>
        <v>2200</v>
      </c>
      <c r="G33" s="606">
        <f>D34</f>
        <v>890</v>
      </c>
      <c r="H33" s="607" t="str">
        <f>CONCATENATE("",E1-1," Ending Cash Balance (est.)")</f>
        <v>2014 Ending Cash Balance (est.)</v>
      </c>
      <c r="I33" s="608"/>
      <c r="J33" s="603"/>
      <c r="K33" s="557"/>
    </row>
    <row r="34" spans="2:11" ht="15.75">
      <c r="B34" s="16" t="s">
        <v>110</v>
      </c>
      <c r="C34" s="359">
        <f>C21-C33</f>
        <v>1471</v>
      </c>
      <c r="D34" s="359">
        <f>D21-D33</f>
        <v>890</v>
      </c>
      <c r="E34" s="22" t="s">
        <v>266</v>
      </c>
      <c r="G34" s="606">
        <f>E20</f>
        <v>82</v>
      </c>
      <c r="H34" s="590" t="str">
        <f>CONCATENATE("",E1," Non-AV Receipts (est.)")</f>
        <v>2015 Non-AV Receipts (est.)</v>
      </c>
      <c r="I34" s="608"/>
      <c r="J34" s="603"/>
      <c r="K34" s="557"/>
    </row>
    <row r="35" spans="2:11" ht="15.75">
      <c r="B35" s="266" t="str">
        <f>CONCATENATE("",E1-2,"/",E1-1,"/",E1," Budget Authority Amount:")</f>
        <v>2013/2014/2015 Budget Authority Amount:</v>
      </c>
      <c r="C35" s="52">
        <f>inputOth!B50</f>
        <v>1872</v>
      </c>
      <c r="D35" s="52">
        <f>inputPrYr!D20</f>
        <v>1800</v>
      </c>
      <c r="E35" s="21">
        <f>E33</f>
        <v>2200</v>
      </c>
      <c r="F35" s="39"/>
      <c r="G35" s="613">
        <f>IF(E39&gt;0,E38,E40)</f>
        <v>1228</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2200</v>
      </c>
      <c r="H36" s="590" t="str">
        <f>CONCATENATE("Total ",E1," Resources Available")</f>
        <v>Total 2015 Resources Available</v>
      </c>
      <c r="I36" s="608"/>
      <c r="J36" s="603"/>
      <c r="K36" s="557"/>
    </row>
    <row r="37" spans="2:11" ht="15.75">
      <c r="B37" s="370" t="str">
        <f>CONCATENATE(C92,"     ",D92)</f>
        <v>     </v>
      </c>
      <c r="C37" s="836" t="s">
        <v>588</v>
      </c>
      <c r="D37" s="837"/>
      <c r="E37" s="21">
        <f>E33+E36</f>
        <v>2200</v>
      </c>
      <c r="G37" s="617"/>
      <c r="H37" s="590"/>
      <c r="I37" s="590"/>
      <c r="J37" s="603"/>
      <c r="K37" s="557"/>
    </row>
    <row r="38" spans="2:11" ht="15.75">
      <c r="B38" s="370" t="str">
        <f>CONCATENATE(C93,"     ",D93)</f>
        <v>     </v>
      </c>
      <c r="C38" s="49"/>
      <c r="D38" s="41" t="s">
        <v>28</v>
      </c>
      <c r="E38" s="35">
        <f>IF(E37-E21&gt;0,E37-E21,0)</f>
        <v>1228</v>
      </c>
      <c r="G38" s="613">
        <f>C33*0.05+C33</f>
        <v>491.4</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1708.6</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1228</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f>'summ 12'!I22</f>
        <v>0.615</v>
      </c>
      <c r="H43" s="607" t="str">
        <f>CONCATENATE("",E1," Fund Mill Rate")</f>
        <v>2015 Fund Mill Rate</v>
      </c>
      <c r="I43" s="629"/>
      <c r="J43" s="630"/>
      <c r="K43" s="557"/>
    </row>
    <row r="44" spans="2:11" ht="15.75">
      <c r="B44" s="3"/>
      <c r="C44" s="362" t="s">
        <v>11</v>
      </c>
      <c r="D44" s="365" t="s">
        <v>12</v>
      </c>
      <c r="E44" s="12" t="s">
        <v>13</v>
      </c>
      <c r="G44" s="632">
        <f>'summ 12'!F22</f>
        <v>0.648</v>
      </c>
      <c r="H44" s="607" t="str">
        <f>CONCATENATE("",E1-1," Fund Mill Rate")</f>
        <v>2014 Fund Mill Rate</v>
      </c>
      <c r="I44" s="629"/>
      <c r="J44" s="630"/>
      <c r="K44" s="557"/>
    </row>
    <row r="45" spans="2:11" ht="15.75">
      <c r="B45" s="452" t="str">
        <f>inputPrYr!B21</f>
        <v>Cemetery</v>
      </c>
      <c r="C45" s="363" t="str">
        <f>C5</f>
        <v>Actual for 2013</v>
      </c>
      <c r="D45" s="363" t="str">
        <f>D5</f>
        <v>Estimate for 2014</v>
      </c>
      <c r="E45" s="15" t="str">
        <f>E5</f>
        <v>Year for 2015</v>
      </c>
      <c r="G45" s="634">
        <f>'summ 12'!I32</f>
        <v>19.014</v>
      </c>
      <c r="H45" s="607" t="str">
        <f>CONCATENATE("Total ",E1," Mill Rate")</f>
        <v>Total 2015 Mill Rate</v>
      </c>
      <c r="I45" s="629"/>
      <c r="J45" s="630"/>
      <c r="K45" s="557"/>
    </row>
    <row r="46" spans="2:11" ht="15.75">
      <c r="B46" s="16" t="s">
        <v>109</v>
      </c>
      <c r="C46" s="18">
        <v>417</v>
      </c>
      <c r="D46" s="364">
        <f>C74</f>
        <v>611</v>
      </c>
      <c r="E46" s="21">
        <f>D74</f>
        <v>406</v>
      </c>
      <c r="G46" s="632">
        <f>'summ 12'!F32</f>
        <v>19.917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v>2894</v>
      </c>
      <c r="D48" s="364">
        <f>IF(inputPrYr!H15&gt;0,inputPrYr!G21,inputPrYr!E21)</f>
        <v>4295</v>
      </c>
      <c r="E48" s="22" t="s">
        <v>266</v>
      </c>
      <c r="G48" s="755" t="s">
        <v>898</v>
      </c>
      <c r="H48" s="716"/>
      <c r="I48" s="715" t="str">
        <f>cert1!F37</f>
        <v>No</v>
      </c>
      <c r="J48" s="557"/>
      <c r="K48" s="557"/>
    </row>
    <row r="49" spans="2:11" ht="15.75">
      <c r="B49" s="16" t="s">
        <v>17</v>
      </c>
      <c r="C49" s="18"/>
      <c r="D49" s="18"/>
      <c r="E49" s="23"/>
      <c r="G49" s="557"/>
      <c r="H49" s="557"/>
      <c r="I49" s="557"/>
      <c r="J49" s="557"/>
      <c r="K49" s="557"/>
    </row>
    <row r="50" spans="2:11" ht="15.75">
      <c r="B50" s="16" t="s">
        <v>18</v>
      </c>
      <c r="C50" s="18"/>
      <c r="D50" s="18"/>
      <c r="E50" s="21">
        <f>mvalloc3!G16</f>
        <v>250</v>
      </c>
      <c r="G50" s="557"/>
      <c r="H50" s="557"/>
      <c r="I50" s="557"/>
      <c r="J50" s="557"/>
      <c r="K50" s="557"/>
    </row>
    <row r="51" spans="2:11" ht="15.75">
      <c r="B51" s="16" t="s">
        <v>19</v>
      </c>
      <c r="C51" s="18"/>
      <c r="D51" s="18"/>
      <c r="E51" s="21">
        <f>mvalloc3!I16</f>
        <v>8</v>
      </c>
      <c r="G51" s="557"/>
      <c r="H51" s="557"/>
      <c r="I51" s="557"/>
      <c r="J51" s="557"/>
      <c r="K51" s="557"/>
    </row>
    <row r="52" spans="2:11" ht="15.75">
      <c r="B52" s="16" t="s">
        <v>99</v>
      </c>
      <c r="C52" s="18"/>
      <c r="D52" s="18"/>
      <c r="E52" s="21">
        <f>mvalloc3!J16</f>
        <v>31</v>
      </c>
      <c r="G52" s="557"/>
      <c r="H52" s="557"/>
      <c r="I52" s="557"/>
      <c r="J52" s="557"/>
      <c r="K52" s="557"/>
    </row>
    <row r="53" spans="2:11" ht="15.75">
      <c r="B53" s="26" t="s">
        <v>959</v>
      </c>
      <c r="C53" s="18"/>
      <c r="D53" s="18"/>
      <c r="E53" s="23">
        <v>750</v>
      </c>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2894</v>
      </c>
      <c r="D60" s="366">
        <f>SUM(D48:D58)</f>
        <v>4295</v>
      </c>
      <c r="E60" s="31">
        <f>SUM(E48:E58)</f>
        <v>1039</v>
      </c>
      <c r="G60" s="557"/>
      <c r="H60" s="557"/>
      <c r="I60" s="557"/>
      <c r="J60" s="557"/>
      <c r="K60" s="557"/>
    </row>
    <row r="61" spans="2:11" ht="15.75">
      <c r="B61" s="32" t="s">
        <v>24</v>
      </c>
      <c r="C61" s="366">
        <f>C60+C46</f>
        <v>3311</v>
      </c>
      <c r="D61" s="366">
        <f>D60+D46</f>
        <v>4906</v>
      </c>
      <c r="E61" s="31">
        <f>E60+E46</f>
        <v>1445</v>
      </c>
      <c r="G61" s="557"/>
      <c r="H61" s="557"/>
      <c r="I61" s="557"/>
      <c r="J61" s="557"/>
      <c r="K61" s="557"/>
    </row>
    <row r="62" spans="2:11" ht="15.75">
      <c r="B62" s="16" t="s">
        <v>25</v>
      </c>
      <c r="C62" s="364"/>
      <c r="D62" s="364"/>
      <c r="E62" s="21"/>
      <c r="G62" s="557"/>
      <c r="H62" s="557"/>
      <c r="I62" s="557"/>
      <c r="J62" s="557"/>
      <c r="K62" s="557"/>
    </row>
    <row r="63" spans="2:11" ht="15.75">
      <c r="B63" s="27" t="s">
        <v>961</v>
      </c>
      <c r="C63" s="18">
        <v>2000</v>
      </c>
      <c r="D63" s="18">
        <v>3500</v>
      </c>
      <c r="E63" s="23">
        <v>4000</v>
      </c>
      <c r="G63" s="557"/>
      <c r="H63" s="557"/>
      <c r="I63" s="557"/>
      <c r="J63" s="557"/>
      <c r="K63" s="557"/>
    </row>
    <row r="64" spans="2:11" ht="15.75">
      <c r="B64" s="27" t="s">
        <v>104</v>
      </c>
      <c r="C64" s="18">
        <v>700</v>
      </c>
      <c r="D64" s="18"/>
      <c r="E64" s="23"/>
      <c r="G64" s="844" t="str">
        <f>CONCATENATE("Desired Carryover Into ",E1+1,"")</f>
        <v>Desired Carryover Into 2016</v>
      </c>
      <c r="H64" s="845"/>
      <c r="I64" s="845"/>
      <c r="J64" s="846"/>
      <c r="K64" s="557"/>
    </row>
    <row r="65" spans="2:11" ht="15.75">
      <c r="B65" s="27" t="s">
        <v>103</v>
      </c>
      <c r="C65" s="18"/>
      <c r="D65" s="18">
        <v>1000</v>
      </c>
      <c r="E65" s="23">
        <v>1500</v>
      </c>
      <c r="G65" s="588"/>
      <c r="H65" s="589"/>
      <c r="I65" s="590"/>
      <c r="J65" s="591"/>
      <c r="K65" s="557"/>
    </row>
    <row r="66" spans="2:11" ht="15.75">
      <c r="B66" s="27" t="s">
        <v>36</v>
      </c>
      <c r="C66" s="18"/>
      <c r="D66" s="18"/>
      <c r="E66" s="23">
        <v>500</v>
      </c>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2700</v>
      </c>
      <c r="D73" s="366">
        <f>SUM(D63:D71)</f>
        <v>4500</v>
      </c>
      <c r="E73" s="31">
        <f>SUM(E63:E71)</f>
        <v>6000</v>
      </c>
      <c r="G73" s="606">
        <f>D74</f>
        <v>406</v>
      </c>
      <c r="H73" s="607" t="str">
        <f>CONCATENATE("",E1-1," Ending Cash Balance (est.)")</f>
        <v>2014 Ending Cash Balance (est.)</v>
      </c>
      <c r="I73" s="608"/>
      <c r="J73" s="641"/>
      <c r="K73" s="557"/>
    </row>
    <row r="74" spans="2:11" ht="15.75">
      <c r="B74" s="16" t="s">
        <v>110</v>
      </c>
      <c r="C74" s="359">
        <f>C61-C73</f>
        <v>611</v>
      </c>
      <c r="D74" s="359">
        <f>D61-D73</f>
        <v>406</v>
      </c>
      <c r="E74" s="22" t="s">
        <v>266</v>
      </c>
      <c r="G74" s="606">
        <f>E60</f>
        <v>1039</v>
      </c>
      <c r="H74" s="590" t="str">
        <f>CONCATENATE("",E1," Non-AV Receipts (est.)")</f>
        <v>2015 Non-AV Receipts (est.)</v>
      </c>
      <c r="I74" s="608"/>
      <c r="J74" s="641"/>
      <c r="K74" s="557"/>
    </row>
    <row r="75" spans="2:11" ht="15.75">
      <c r="B75" s="266" t="str">
        <f>CONCATENATE("",E1-2,"/",E1-1,"/",E1," Budget Authority Amount:")</f>
        <v>2013/2014/2015 Budget Authority Amount:</v>
      </c>
      <c r="C75" s="52">
        <f>inputOth!B51</f>
        <v>3148</v>
      </c>
      <c r="D75" s="52">
        <f>inputPrYr!D21</f>
        <v>4500</v>
      </c>
      <c r="E75" s="21">
        <f>E73</f>
        <v>6000</v>
      </c>
      <c r="F75" s="39"/>
      <c r="G75" s="613">
        <f>IF(E79&gt;0,E78,E80)</f>
        <v>4555</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6000</v>
      </c>
      <c r="H76" s="590" t="str">
        <f>CONCATENATE("Total ",E1," Resources Available")</f>
        <v>Total 2015 Resources Available</v>
      </c>
      <c r="I76" s="644"/>
      <c r="J76" s="641"/>
      <c r="K76" s="557"/>
    </row>
    <row r="77" spans="2:11" ht="15.75">
      <c r="B77" s="370" t="str">
        <f>CONCATENATE(C94,"     ",D94)</f>
        <v>     </v>
      </c>
      <c r="C77" s="836" t="s">
        <v>588</v>
      </c>
      <c r="D77" s="837"/>
      <c r="E77" s="21">
        <f>E73+E76</f>
        <v>6000</v>
      </c>
      <c r="G77" s="645"/>
      <c r="H77" s="646"/>
      <c r="I77" s="589"/>
      <c r="J77" s="641"/>
      <c r="K77" s="557"/>
    </row>
    <row r="78" spans="2:11" ht="15.75">
      <c r="B78" s="370" t="str">
        <f>CONCATENATE(C95,"     ",D95)</f>
        <v>     </v>
      </c>
      <c r="C78" s="49"/>
      <c r="D78" s="41" t="s">
        <v>28</v>
      </c>
      <c r="E78" s="35">
        <f>IF(E77-E61&gt;0,E77-E61,0)</f>
        <v>4555</v>
      </c>
      <c r="G78" s="613">
        <f>ROUND(C73*0.05+C73,0)</f>
        <v>2835</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3165</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4555</v>
      </c>
      <c r="G80" s="557"/>
      <c r="H80" s="557"/>
      <c r="I80" s="557"/>
      <c r="J80" s="557"/>
      <c r="K80" s="557"/>
    </row>
    <row r="81" spans="2:11" ht="15.75">
      <c r="B81" s="41" t="s">
        <v>9</v>
      </c>
      <c r="C81" s="54">
        <v>8</v>
      </c>
      <c r="D81" s="3"/>
      <c r="E81" s="3"/>
      <c r="G81" s="851" t="s">
        <v>785</v>
      </c>
      <c r="H81" s="852"/>
      <c r="I81" s="852"/>
      <c r="J81" s="853"/>
      <c r="K81" s="557"/>
    </row>
    <row r="82" spans="2:11" ht="15.75">
      <c r="B82" s="69"/>
      <c r="G82" s="628"/>
      <c r="H82" s="607"/>
      <c r="I82" s="629"/>
      <c r="J82" s="630"/>
      <c r="K82" s="557"/>
    </row>
    <row r="83" spans="7:11" ht="15.75">
      <c r="G83" s="631">
        <f>'summ 12'!I23</f>
        <v>2.282</v>
      </c>
      <c r="H83" s="607" t="str">
        <f>CONCATENATE("",E1," Fund Mill Rate")</f>
        <v>2015 Fund Mill Rate</v>
      </c>
      <c r="I83" s="629"/>
      <c r="J83" s="630"/>
      <c r="K83" s="557"/>
    </row>
    <row r="84" spans="7:11" ht="15.75">
      <c r="G84" s="632">
        <f>'summ 12'!F23</f>
        <v>2.283</v>
      </c>
      <c r="H84" s="607" t="str">
        <f>CONCATENATE("",E1-1," Fund Mill Rate")</f>
        <v>2014 Fund Mill Rate</v>
      </c>
      <c r="I84" s="629"/>
      <c r="J84" s="630"/>
      <c r="K84" s="557"/>
    </row>
    <row r="85" spans="7:11" ht="15.75">
      <c r="G85" s="634">
        <f>'summ 12'!I32</f>
        <v>19.014</v>
      </c>
      <c r="H85" s="607" t="str">
        <f>CONCATENATE("Total ",E1," Mill Rate")</f>
        <v>Total 2015 Mill Rate</v>
      </c>
      <c r="I85" s="629"/>
      <c r="J85" s="630"/>
      <c r="K85" s="557"/>
    </row>
    <row r="86" spans="7:11" ht="15.75">
      <c r="G86" s="632">
        <f>'summ 12'!F32</f>
        <v>19.917</v>
      </c>
      <c r="H86" s="635" t="str">
        <f>CONCATENATE("Total ",E1-1," Mill Rate")</f>
        <v>Total 2014 Mill Rate</v>
      </c>
      <c r="I86" s="636"/>
      <c r="J86" s="637"/>
      <c r="K86" s="557"/>
    </row>
    <row r="88" spans="7:9" ht="15.75">
      <c r="G88" s="756" t="s">
        <v>898</v>
      </c>
      <c r="H88" s="716"/>
      <c r="I88" s="715" t="str">
        <f>cert1!F37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3">
      <selection activeCell="B27" sqref="B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SPRING CREEK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t="str">
        <f>inputPrYr!B22</f>
        <v>Hall</v>
      </c>
      <c r="C5" s="363" t="str">
        <f>gen6!C5</f>
        <v>Actual for 2013</v>
      </c>
      <c r="D5" s="363" t="str">
        <f>gen6!D5</f>
        <v>Estimate for 2014</v>
      </c>
      <c r="E5" s="15" t="str">
        <f>gen6!E5</f>
        <v>Year for 2015</v>
      </c>
    </row>
    <row r="6" spans="2:5" ht="15.75">
      <c r="B6" s="16" t="s">
        <v>109</v>
      </c>
      <c r="C6" s="18">
        <v>0</v>
      </c>
      <c r="D6" s="364">
        <f>C34</f>
        <v>5</v>
      </c>
      <c r="E6" s="21">
        <f>D34</f>
        <v>0</v>
      </c>
    </row>
    <row r="7" spans="2:5" ht="15.75">
      <c r="B7" s="16" t="s">
        <v>111</v>
      </c>
      <c r="C7" s="364"/>
      <c r="D7" s="364"/>
      <c r="E7" s="22"/>
    </row>
    <row r="8" spans="2:5" ht="15.75">
      <c r="B8" s="16" t="s">
        <v>16</v>
      </c>
      <c r="C8" s="18">
        <v>1337</v>
      </c>
      <c r="D8" s="364">
        <f>IF(inputPrYr!H15&gt;0,inputPrYr!G22,inputPrYr!E22)</f>
        <v>1405</v>
      </c>
      <c r="E8" s="22" t="s">
        <v>266</v>
      </c>
    </row>
    <row r="9" spans="2:5" ht="15.75">
      <c r="B9" s="16" t="s">
        <v>17</v>
      </c>
      <c r="C9" s="18"/>
      <c r="D9" s="18"/>
      <c r="E9" s="23"/>
    </row>
    <row r="10" spans="2:5" ht="15.75">
      <c r="B10" s="16" t="s">
        <v>18</v>
      </c>
      <c r="C10" s="18"/>
      <c r="D10" s="18"/>
      <c r="E10" s="21">
        <f>mvalloc3!G17</f>
        <v>82</v>
      </c>
    </row>
    <row r="11" spans="2:5" ht="15.75">
      <c r="B11" s="16" t="s">
        <v>19</v>
      </c>
      <c r="C11" s="18"/>
      <c r="D11" s="18"/>
      <c r="E11" s="21">
        <f>mvalloc3!I17</f>
        <v>3</v>
      </c>
    </row>
    <row r="12" spans="2:5" ht="15.75">
      <c r="B12" s="16" t="s">
        <v>99</v>
      </c>
      <c r="C12" s="18"/>
      <c r="D12" s="18"/>
      <c r="E12" s="21">
        <f>mvalloc3!J17</f>
        <v>10</v>
      </c>
    </row>
    <row r="13" spans="2:5" ht="15.75">
      <c r="B13" s="26" t="s">
        <v>962</v>
      </c>
      <c r="C13" s="18">
        <v>205</v>
      </c>
      <c r="D13" s="18">
        <v>200</v>
      </c>
      <c r="E13" s="23">
        <v>250</v>
      </c>
    </row>
    <row r="14" spans="2:5" ht="15.75">
      <c r="B14" s="26" t="s">
        <v>963</v>
      </c>
      <c r="C14" s="18">
        <v>50</v>
      </c>
      <c r="D14" s="18"/>
      <c r="E14" s="23">
        <v>250</v>
      </c>
    </row>
    <row r="15" spans="2:5" ht="15.75">
      <c r="B15" s="26" t="s">
        <v>959</v>
      </c>
      <c r="C15" s="18"/>
      <c r="D15" s="18"/>
      <c r="E15" s="23">
        <v>100</v>
      </c>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1592</v>
      </c>
      <c r="D20" s="366">
        <f>SUM(D8:D18)</f>
        <v>1605</v>
      </c>
      <c r="E20" s="31">
        <f>SUM(E8:E18)</f>
        <v>695</v>
      </c>
    </row>
    <row r="21" spans="2:5" ht="15.75">
      <c r="B21" s="32" t="s">
        <v>24</v>
      </c>
      <c r="C21" s="366">
        <f>C20+C6</f>
        <v>1592</v>
      </c>
      <c r="D21" s="366">
        <f>D20+D6</f>
        <v>1610</v>
      </c>
      <c r="E21" s="31">
        <f>E20+E6</f>
        <v>695</v>
      </c>
    </row>
    <row r="22" spans="2:5" ht="15.75">
      <c r="B22" s="16" t="s">
        <v>25</v>
      </c>
      <c r="C22" s="364"/>
      <c r="D22" s="364"/>
      <c r="E22" s="21"/>
    </row>
    <row r="23" spans="2:5" ht="15.75">
      <c r="B23" s="27" t="s">
        <v>964</v>
      </c>
      <c r="C23" s="18">
        <v>62</v>
      </c>
      <c r="D23" s="18">
        <v>310</v>
      </c>
      <c r="E23" s="23">
        <v>500</v>
      </c>
    </row>
    <row r="24" spans="2:11" ht="15.75">
      <c r="B24" s="27" t="s">
        <v>965</v>
      </c>
      <c r="C24" s="18">
        <v>930</v>
      </c>
      <c r="D24" s="18">
        <v>1000</v>
      </c>
      <c r="E24" s="23">
        <v>1200</v>
      </c>
      <c r="G24" s="844" t="str">
        <f>CONCATENATE("Desired Carryover Into ",E1+1,"")</f>
        <v>Desired Carryover Into 2016</v>
      </c>
      <c r="H24" s="845"/>
      <c r="I24" s="845"/>
      <c r="J24" s="846"/>
      <c r="K24" s="557"/>
    </row>
    <row r="25" spans="2:11" ht="15.75">
      <c r="B25" s="27" t="s">
        <v>966</v>
      </c>
      <c r="C25" s="18">
        <v>275</v>
      </c>
      <c r="D25" s="18">
        <v>300</v>
      </c>
      <c r="E25" s="23">
        <v>500</v>
      </c>
      <c r="G25" s="588"/>
      <c r="H25" s="589"/>
      <c r="I25" s="590"/>
      <c r="J25" s="591"/>
      <c r="K25" s="557"/>
    </row>
    <row r="26" spans="2:11" ht="15.75">
      <c r="B26" s="27" t="s">
        <v>104</v>
      </c>
      <c r="C26" s="18">
        <v>320</v>
      </c>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1587</v>
      </c>
      <c r="D33" s="366">
        <f>SUM(D23:D31)</f>
        <v>1610</v>
      </c>
      <c r="E33" s="31">
        <f>SUM(E23:E31)</f>
        <v>2200</v>
      </c>
      <c r="G33" s="606">
        <f>D34</f>
        <v>0</v>
      </c>
      <c r="H33" s="607" t="str">
        <f>CONCATENATE("",E1-1," Ending Cash Balance (est.)")</f>
        <v>2014 Ending Cash Balance (est.)</v>
      </c>
      <c r="I33" s="608"/>
      <c r="J33" s="603"/>
      <c r="K33" s="557"/>
    </row>
    <row r="34" spans="2:11" ht="15.75">
      <c r="B34" s="16" t="s">
        <v>110</v>
      </c>
      <c r="C34" s="359">
        <f>C21-C33</f>
        <v>5</v>
      </c>
      <c r="D34" s="359">
        <f>D21-D33</f>
        <v>0</v>
      </c>
      <c r="E34" s="22" t="s">
        <v>266</v>
      </c>
      <c r="G34" s="606">
        <f>E20</f>
        <v>695</v>
      </c>
      <c r="H34" s="590" t="str">
        <f>CONCATENATE("",E1," Non-AV Receipts (est.)")</f>
        <v>2015 Non-AV Receipts (est.)</v>
      </c>
      <c r="I34" s="608"/>
      <c r="J34" s="603"/>
      <c r="K34" s="557"/>
    </row>
    <row r="35" spans="2:11" ht="15.75">
      <c r="B35" s="266" t="str">
        <f>CONCATENATE("",E1-2,"/",E1-1,"/",E1," Budget Authority Amount:")</f>
        <v>2013/2014/2015 Budget Authority Amount:</v>
      </c>
      <c r="C35" s="52">
        <f>inputOth!B52</f>
        <v>1508</v>
      </c>
      <c r="D35" s="52">
        <f>inputPrYr!D22</f>
        <v>1750</v>
      </c>
      <c r="E35" s="21">
        <f>E33</f>
        <v>2200</v>
      </c>
      <c r="F35" s="39"/>
      <c r="G35" s="613">
        <f>IF(E39&gt;0,E38,E40)</f>
        <v>1505</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2200</v>
      </c>
      <c r="H36" s="590" t="str">
        <f>CONCATENATE("Total ",E1," Resources Available")</f>
        <v>Total 2015 Resources Available</v>
      </c>
      <c r="I36" s="608"/>
      <c r="J36" s="603"/>
      <c r="K36" s="557"/>
    </row>
    <row r="37" spans="2:11" ht="15.75">
      <c r="B37" s="370" t="str">
        <f>CONCATENATE(C92,"     ",D92)</f>
        <v>See Tab A     </v>
      </c>
      <c r="C37" s="836" t="s">
        <v>588</v>
      </c>
      <c r="D37" s="837"/>
      <c r="E37" s="21">
        <f>E33+E36</f>
        <v>2200</v>
      </c>
      <c r="G37" s="617"/>
      <c r="H37" s="590"/>
      <c r="I37" s="590"/>
      <c r="J37" s="603"/>
      <c r="K37" s="557"/>
    </row>
    <row r="38" spans="2:11" ht="15.75">
      <c r="B38" s="370" t="str">
        <f>CONCATENATE(C93,"     ",D93)</f>
        <v>     </v>
      </c>
      <c r="C38" s="49"/>
      <c r="D38" s="41" t="s">
        <v>28</v>
      </c>
      <c r="E38" s="35">
        <f>IF(E37-E21&gt;0,E37-E21,0)</f>
        <v>1505</v>
      </c>
      <c r="G38" s="613">
        <f>C33*0.05+C33</f>
        <v>1666.35</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533.6500000000001</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1505</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f>'summ 12'!I24</f>
        <v>0.754</v>
      </c>
      <c r="H43" s="607" t="str">
        <f>CONCATENATE("",E1," Fund Mill Rate")</f>
        <v>2015 Fund Mill Rate</v>
      </c>
      <c r="I43" s="629"/>
      <c r="J43" s="630"/>
      <c r="K43" s="557"/>
    </row>
    <row r="44" spans="2:11" ht="15.75">
      <c r="B44" s="3"/>
      <c r="C44" s="362" t="s">
        <v>11</v>
      </c>
      <c r="D44" s="365" t="s">
        <v>12</v>
      </c>
      <c r="E44" s="12" t="s">
        <v>13</v>
      </c>
      <c r="G44" s="632">
        <f>'summ 12'!F24</f>
        <v>0.747</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 12'!I32</f>
        <v>19.014</v>
      </c>
      <c r="H45" s="607" t="str">
        <f>CONCATENATE("Total ",E1," Mill Rate")</f>
        <v>Total 2015 Mill Rate</v>
      </c>
      <c r="I45" s="629"/>
      <c r="J45" s="630"/>
      <c r="K45" s="557"/>
    </row>
    <row r="46" spans="2:11" ht="15.75">
      <c r="B46" s="16" t="s">
        <v>109</v>
      </c>
      <c r="C46" s="18"/>
      <c r="D46" s="364">
        <f>C74</f>
        <v>0</v>
      </c>
      <c r="E46" s="21">
        <f>D74</f>
        <v>0</v>
      </c>
      <c r="G46" s="632">
        <f>'summ 12'!F32</f>
        <v>19.917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cert1!F37</f>
        <v>No</v>
      </c>
      <c r="J48" s="557"/>
      <c r="K48" s="557"/>
    </row>
    <row r="49" spans="2:11" ht="15.75">
      <c r="B49" s="16" t="s">
        <v>17</v>
      </c>
      <c r="C49" s="18"/>
      <c r="D49" s="18"/>
      <c r="E49" s="23"/>
      <c r="G49" s="557"/>
      <c r="H49" s="557"/>
      <c r="I49" s="557"/>
      <c r="J49" s="557"/>
      <c r="K49" s="557"/>
    </row>
    <row r="50" spans="2:11" ht="15.75">
      <c r="B50" s="16" t="s">
        <v>18</v>
      </c>
      <c r="C50" s="18"/>
      <c r="D50" s="18"/>
      <c r="E50" s="21">
        <f>mvalloc3!G18</f>
        <v>0</v>
      </c>
      <c r="G50" s="557"/>
      <c r="H50" s="557"/>
      <c r="I50" s="557"/>
      <c r="J50" s="557"/>
      <c r="K50" s="557"/>
    </row>
    <row r="51" spans="2:11" ht="15.75">
      <c r="B51" s="16" t="s">
        <v>19</v>
      </c>
      <c r="C51" s="18"/>
      <c r="D51" s="18"/>
      <c r="E51" s="21">
        <f>mvalloc3!I18</f>
        <v>0</v>
      </c>
      <c r="G51" s="557"/>
      <c r="H51" s="557"/>
      <c r="I51" s="557"/>
      <c r="J51" s="557"/>
      <c r="K51" s="557"/>
    </row>
    <row r="52" spans="2:11" ht="15.75">
      <c r="B52" s="16" t="s">
        <v>99</v>
      </c>
      <c r="C52" s="18"/>
      <c r="D52" s="18"/>
      <c r="E52" s="21">
        <f>mvalloc3!J18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 12'!I25</f>
        <v> </v>
      </c>
      <c r="H83" s="607" t="str">
        <f>CONCATENATE("",E1," Fund Mill Rate")</f>
        <v>2015 Fund Mill Rate</v>
      </c>
      <c r="I83" s="629"/>
      <c r="J83" s="630"/>
      <c r="K83" s="557"/>
    </row>
    <row r="84" spans="7:11" ht="15.75">
      <c r="G84" s="632" t="str">
        <f>'summ 12'!F25</f>
        <v>  </v>
      </c>
      <c r="H84" s="607" t="str">
        <f>CONCATENATE("",E1-1," Fund Mill Rate")</f>
        <v>2014 Fund Mill Rate</v>
      </c>
      <c r="I84" s="629"/>
      <c r="J84" s="630"/>
      <c r="K84" s="557"/>
    </row>
    <row r="85" spans="7:11" ht="15.75">
      <c r="G85" s="634">
        <f>'summ 12'!I32</f>
        <v>19.014</v>
      </c>
      <c r="H85" s="607" t="str">
        <f>CONCATENATE("Total ",E1," Mill Rate")</f>
        <v>Total 2015 Mill Rate</v>
      </c>
      <c r="I85" s="629"/>
      <c r="J85" s="630"/>
      <c r="K85" s="557"/>
    </row>
    <row r="86" spans="7:11" ht="15.75">
      <c r="G86" s="632">
        <f>'summ 12'!F32</f>
        <v>19.917</v>
      </c>
      <c r="H86" s="635" t="str">
        <f>CONCATENATE("Total ",E1-1," Mill Rate")</f>
        <v>Total 2014 Mill Rate</v>
      </c>
      <c r="I86" s="636"/>
      <c r="J86" s="637"/>
      <c r="K86" s="557"/>
    </row>
    <row r="88" spans="7:9" ht="15.75">
      <c r="G88" s="758" t="s">
        <v>898</v>
      </c>
      <c r="H88" s="716"/>
      <c r="I88" s="715" t="str">
        <f>cert1!F37</f>
        <v>No</v>
      </c>
    </row>
    <row r="92" spans="3:4" ht="15.75" hidden="1">
      <c r="C92" s="5" t="str">
        <f>IF(C33&gt;C35,"See Tab A","")</f>
        <v>See Tab A</v>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8">
      <selection activeCell="C81" sqref="C8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SPRING CREEK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gen6!C5</f>
        <v>Actual for 2013</v>
      </c>
      <c r="D5" s="363" t="str">
        <f>gen6!D5</f>
        <v>Estimate for 2014</v>
      </c>
      <c r="E5" s="15" t="str">
        <f>gen6!E5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mvalloc3!G19</f>
        <v>0</v>
      </c>
    </row>
    <row r="11" spans="2:5" ht="15.75">
      <c r="B11" s="16" t="s">
        <v>19</v>
      </c>
      <c r="C11" s="18"/>
      <c r="D11" s="18"/>
      <c r="E11" s="21">
        <f>mvalloc3!I19</f>
        <v>0</v>
      </c>
    </row>
    <row r="12" spans="2:5" ht="15.75">
      <c r="B12" s="16" t="s">
        <v>99</v>
      </c>
      <c r="C12" s="18"/>
      <c r="D12" s="18"/>
      <c r="E12" s="21">
        <f>mvalloc3!J19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12'!I26</f>
        <v> </v>
      </c>
      <c r="H43" s="607" t="str">
        <f>CONCATENATE("",E1," Fund Mill Rate")</f>
        <v>2015 Fund Mill Rate</v>
      </c>
      <c r="I43" s="629"/>
      <c r="J43" s="630"/>
      <c r="K43" s="557"/>
    </row>
    <row r="44" spans="2:11" ht="15.75">
      <c r="B44" s="3"/>
      <c r="C44" s="362" t="s">
        <v>11</v>
      </c>
      <c r="D44" s="365" t="s">
        <v>12</v>
      </c>
      <c r="E44" s="12" t="s">
        <v>13</v>
      </c>
      <c r="G44" s="632" t="str">
        <f>'summ 12'!F26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 12'!I32</f>
        <v>19.014</v>
      </c>
      <c r="H45" s="607" t="str">
        <f>CONCATENATE("Total ",E1," Mill Rate")</f>
        <v>Total 2015 Mill Rate</v>
      </c>
      <c r="I45" s="629"/>
      <c r="J45" s="630"/>
      <c r="K45" s="557"/>
    </row>
    <row r="46" spans="2:11" ht="15.75">
      <c r="B46" s="16" t="s">
        <v>109</v>
      </c>
      <c r="C46" s="18"/>
      <c r="D46" s="364">
        <f>C74</f>
        <v>0</v>
      </c>
      <c r="E46" s="21">
        <f>D74</f>
        <v>0</v>
      </c>
      <c r="G46" s="632">
        <f>'summ 12'!F32</f>
        <v>19.917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cert1!F37</f>
        <v>No</v>
      </c>
      <c r="J48" s="557"/>
      <c r="K48" s="557"/>
    </row>
    <row r="49" spans="2:11" ht="15.75">
      <c r="B49" s="16" t="s">
        <v>17</v>
      </c>
      <c r="C49" s="18"/>
      <c r="D49" s="18"/>
      <c r="E49" s="23"/>
      <c r="G49" s="557"/>
      <c r="H49" s="557"/>
      <c r="I49" s="557"/>
      <c r="J49" s="557"/>
      <c r="K49" s="557"/>
    </row>
    <row r="50" spans="2:11" ht="15.75">
      <c r="B50" s="16" t="s">
        <v>18</v>
      </c>
      <c r="C50" s="18"/>
      <c r="D50" s="18"/>
      <c r="E50" s="21">
        <f>mvalloc3!G20</f>
        <v>0</v>
      </c>
      <c r="G50" s="557"/>
      <c r="H50" s="557"/>
      <c r="I50" s="557"/>
      <c r="J50" s="557"/>
      <c r="K50" s="557"/>
    </row>
    <row r="51" spans="2:11" ht="15.75">
      <c r="B51" s="16" t="s">
        <v>19</v>
      </c>
      <c r="C51" s="18"/>
      <c r="D51" s="18"/>
      <c r="E51" s="21">
        <f>mvalloc3!I20</f>
        <v>0</v>
      </c>
      <c r="G51" s="557"/>
      <c r="H51" s="557"/>
      <c r="I51" s="557"/>
      <c r="J51" s="557"/>
      <c r="K51" s="557"/>
    </row>
    <row r="52" spans="2:11" ht="15.75">
      <c r="B52" s="16" t="s">
        <v>99</v>
      </c>
      <c r="C52" s="18"/>
      <c r="D52" s="18"/>
      <c r="E52" s="21">
        <f>mvalloc3!J20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v>10</v>
      </c>
      <c r="D81" s="3"/>
      <c r="E81" s="3"/>
      <c r="G81" s="851" t="s">
        <v>785</v>
      </c>
      <c r="H81" s="852"/>
      <c r="I81" s="852"/>
      <c r="J81" s="853"/>
      <c r="K81" s="557"/>
    </row>
    <row r="82" spans="2:11" ht="15.75">
      <c r="B82" s="69"/>
      <c r="G82" s="628"/>
      <c r="H82" s="607"/>
      <c r="I82" s="629"/>
      <c r="J82" s="630"/>
      <c r="K82" s="557"/>
    </row>
    <row r="83" spans="7:11" ht="15.75">
      <c r="G83" s="631" t="str">
        <f>'summ 12'!I27</f>
        <v> </v>
      </c>
      <c r="H83" s="607" t="str">
        <f>CONCATENATE("",E1," Fund Mill Rate")</f>
        <v>2015 Fund Mill Rate</v>
      </c>
      <c r="I83" s="629"/>
      <c r="J83" s="630"/>
      <c r="K83" s="557"/>
    </row>
    <row r="84" spans="7:11" ht="15.75">
      <c r="G84" s="632" t="str">
        <f>'summ 12'!F27</f>
        <v>  </v>
      </c>
      <c r="H84" s="607" t="str">
        <f>CONCATENATE("",E1-1," Fund Mill Rate")</f>
        <v>2014 Fund Mill Rate</v>
      </c>
      <c r="I84" s="629"/>
      <c r="J84" s="630"/>
      <c r="K84" s="557"/>
    </row>
    <row r="85" spans="7:11" ht="15.75">
      <c r="G85" s="634">
        <f>'summ 12'!I32</f>
        <v>19.014</v>
      </c>
      <c r="H85" s="607" t="str">
        <f>CONCATENATE("Total ",E1," Mill Rate")</f>
        <v>Total 2015 Mill Rate</v>
      </c>
      <c r="I85" s="629"/>
      <c r="J85" s="630"/>
      <c r="K85" s="557"/>
    </row>
    <row r="86" spans="7:11" ht="15.75">
      <c r="G86" s="632">
        <f>'summ 12'!F32</f>
        <v>19.917</v>
      </c>
      <c r="H86" s="635" t="str">
        <f>CONCATENATE("Total ",E1-1," Mill Rate")</f>
        <v>Total 2014 Mill Rate</v>
      </c>
      <c r="I86" s="636"/>
      <c r="J86" s="637"/>
      <c r="K86" s="557"/>
    </row>
    <row r="88" spans="7:9" ht="15.75">
      <c r="G88" s="760" t="s">
        <v>898</v>
      </c>
      <c r="H88" s="716"/>
      <c r="I88" s="715" t="str">
        <f>cert1!F37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SPRING CREEK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gen6!C5</f>
        <v>Actual for 2013</v>
      </c>
      <c r="D5" s="15" t="str">
        <f>gen6!D5</f>
        <v>Estimate for 2014</v>
      </c>
      <c r="E5" s="15" t="str">
        <f>gen6!E5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v>11</v>
      </c>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SPRING CREEK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G27" sqref="G27"/>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947</v>
      </c>
      <c r="E2" s="8"/>
    </row>
    <row r="3" spans="1:5" ht="15.75">
      <c r="A3" s="57" t="s">
        <v>202</v>
      </c>
      <c r="B3" s="3"/>
      <c r="C3" s="3"/>
      <c r="D3" s="720" t="s">
        <v>948</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2800</v>
      </c>
      <c r="E16" s="176">
        <v>2599</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37500</v>
      </c>
      <c r="E19" s="176">
        <v>27954</v>
      </c>
      <c r="G19" s="21">
        <f>IF(H15&gt;0,ROUND(E19-(E19*H15),0),0)</f>
        <v>0</v>
      </c>
    </row>
    <row r="20" spans="1:7" ht="15.75">
      <c r="A20" s="3"/>
      <c r="B20" s="356" t="s">
        <v>949</v>
      </c>
      <c r="C20" s="357" t="s">
        <v>950</v>
      </c>
      <c r="D20" s="176">
        <v>1800</v>
      </c>
      <c r="E20" s="176">
        <v>1219</v>
      </c>
      <c r="G20" s="21">
        <f>IF(H15&gt;0,ROUND(E20-(E20*H15),0),0)</f>
        <v>0</v>
      </c>
    </row>
    <row r="21" spans="1:7" ht="15.75">
      <c r="A21" s="3"/>
      <c r="B21" s="176" t="s">
        <v>951</v>
      </c>
      <c r="C21" s="368" t="s">
        <v>250</v>
      </c>
      <c r="D21" s="176">
        <v>4500</v>
      </c>
      <c r="E21" s="176">
        <v>4295</v>
      </c>
      <c r="G21" s="21">
        <f>IF(H15&gt;0,ROUND(E21-(E21*H15),0),0)</f>
        <v>0</v>
      </c>
    </row>
    <row r="22" spans="1:7" ht="15.75">
      <c r="A22" s="3"/>
      <c r="B22" s="65" t="s">
        <v>952</v>
      </c>
      <c r="C22" s="368" t="s">
        <v>250</v>
      </c>
      <c r="D22" s="176">
        <v>1750</v>
      </c>
      <c r="E22" s="176">
        <v>1405</v>
      </c>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37472</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48350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1.536</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15.488</v>
      </c>
      <c r="E45" s="3"/>
    </row>
    <row r="46" spans="1:5" ht="15.75">
      <c r="A46" s="3"/>
      <c r="B46" s="61" t="str">
        <f t="shared" si="0"/>
        <v>Noxious Weed</v>
      </c>
      <c r="C46" s="3"/>
      <c r="D46" s="304">
        <v>0.604</v>
      </c>
      <c r="E46" s="3"/>
    </row>
    <row r="47" spans="1:5" ht="15.75">
      <c r="A47" s="3"/>
      <c r="B47" s="61" t="str">
        <f t="shared" si="0"/>
        <v>Cemetery</v>
      </c>
      <c r="C47" s="3"/>
      <c r="D47" s="304">
        <v>1.554</v>
      </c>
      <c r="E47" s="3"/>
    </row>
    <row r="48" spans="1:5" ht="15.75">
      <c r="A48" s="3"/>
      <c r="B48" s="61" t="str">
        <f t="shared" si="0"/>
        <v>Hall</v>
      </c>
      <c r="C48" s="3"/>
      <c r="D48" s="304">
        <v>0.719</v>
      </c>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19.901</v>
      </c>
      <c r="E52" s="3"/>
    </row>
    <row r="53" spans="1:5" ht="16.5" thickTop="1">
      <c r="A53" s="3"/>
      <c r="B53" s="3"/>
      <c r="C53" s="3"/>
      <c r="D53" s="3"/>
      <c r="E53" s="3"/>
    </row>
    <row r="54" spans="1:5" ht="15.75">
      <c r="A54" s="307" t="str">
        <f>CONCATENATE("Total Tax Levied (",D5-2," budget column)")</f>
        <v>Total Tax Levied (2013 budget column)</v>
      </c>
      <c r="B54" s="308"/>
      <c r="C54" s="9"/>
      <c r="D54" s="247"/>
      <c r="E54" s="176">
        <v>32036</v>
      </c>
    </row>
    <row r="55" spans="1:5" ht="15.75">
      <c r="A55" s="309" t="str">
        <f>CONCATENATE("Assessed Valuation (",D5-2," budget column)")</f>
        <v>Assessed Valuation (2013 budget column)</v>
      </c>
      <c r="B55" s="310"/>
      <c r="C55" s="255"/>
      <c r="D55" s="17"/>
      <c r="E55" s="176">
        <v>1610787</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D22">
      <selection activeCell="H33" sqref="H3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0"/>
      <c r="D2" s="800"/>
      <c r="E2" s="800"/>
      <c r="F2" s="800"/>
      <c r="G2" s="800"/>
      <c r="H2" s="800"/>
      <c r="I2" s="800"/>
    </row>
    <row r="3" spans="2:9" ht="15.75">
      <c r="B3" s="3"/>
      <c r="C3" s="3"/>
      <c r="D3" s="3"/>
      <c r="E3" s="3"/>
      <c r="F3" s="3"/>
      <c r="G3" s="11" t="s">
        <v>37</v>
      </c>
      <c r="H3" s="11" t="s">
        <v>38</v>
      </c>
      <c r="I3" s="3"/>
    </row>
    <row r="4" spans="2:9" ht="15.75">
      <c r="B4" s="796" t="s">
        <v>39</v>
      </c>
      <c r="C4" s="796"/>
      <c r="D4" s="796"/>
      <c r="E4" s="796"/>
      <c r="F4" s="796"/>
      <c r="G4" s="796"/>
      <c r="H4" s="796"/>
      <c r="I4" s="796"/>
    </row>
    <row r="5" spans="2:9" ht="15.75">
      <c r="B5" s="798" t="str">
        <f>inputPrYr!D2</f>
        <v>SPRING CREEK TOWNSHIP</v>
      </c>
      <c r="C5" s="798"/>
      <c r="D5" s="798"/>
      <c r="E5" s="798"/>
      <c r="F5" s="798"/>
      <c r="G5" s="798"/>
      <c r="H5" s="798"/>
      <c r="I5" s="798"/>
    </row>
    <row r="6" spans="2:9" ht="15.75">
      <c r="B6" s="798" t="str">
        <f>inputPrYr!D3</f>
        <v>GREENWOOD COUNTY</v>
      </c>
      <c r="C6" s="798"/>
      <c r="D6" s="798"/>
      <c r="E6" s="798"/>
      <c r="F6" s="798"/>
      <c r="G6" s="798"/>
      <c r="H6" s="798"/>
      <c r="I6" s="798"/>
    </row>
    <row r="7" spans="2:9" ht="15.75">
      <c r="B7" s="796" t="str">
        <f>CONCATENATE("will meet on ",inputBudSum!B8," at ",inputBudSum!B10," at ",inputBudSum!B12," for the purpose of hearing and")</f>
        <v>will meet on August 11, 2014 at 7:00 P. M. at Reece School House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Residence of C. D. Gulick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75">
      <c r="B16" s="3"/>
      <c r="C16" s="145"/>
      <c r="D16" s="145" t="s">
        <v>41</v>
      </c>
      <c r="E16" s="145"/>
      <c r="F16" s="145" t="s">
        <v>41</v>
      </c>
      <c r="G16" s="145" t="s">
        <v>185</v>
      </c>
      <c r="H16" s="861"/>
      <c r="I16" s="145" t="s">
        <v>41</v>
      </c>
      <c r="J16" s="138"/>
    </row>
    <row r="17" spans="2:10" ht="15.75">
      <c r="B17" s="14" t="s">
        <v>262</v>
      </c>
      <c r="C17" s="15" t="s">
        <v>42</v>
      </c>
      <c r="D17" s="15" t="s">
        <v>43</v>
      </c>
      <c r="E17" s="15" t="s">
        <v>42</v>
      </c>
      <c r="F17" s="15" t="s">
        <v>43</v>
      </c>
      <c r="G17" s="15" t="s">
        <v>684</v>
      </c>
      <c r="H17" s="862"/>
      <c r="I17" s="15" t="s">
        <v>43</v>
      </c>
      <c r="J17" s="138"/>
    </row>
    <row r="18" spans="2:10" ht="15.75">
      <c r="B18" s="74" t="str">
        <f>inputPrYr!B16</f>
        <v>General</v>
      </c>
      <c r="C18" s="52">
        <f>IF(gen6!$C$50&lt;&gt;0,gen6!$C$50,"  ")</f>
        <v>2504</v>
      </c>
      <c r="D18" s="499">
        <f>IF(inputPrYr!D42&gt;0,inputPrYr!D42,"  ")</f>
        <v>1.536</v>
      </c>
      <c r="E18" s="21">
        <f>IF(gen6!$D$50&lt;&gt;0,gen6!$D$50,"  ")</f>
        <v>2800</v>
      </c>
      <c r="F18" s="224">
        <f>IF(inputOth!D17&gt;0,inputOth!D17,"  ")</f>
        <v>1.381</v>
      </c>
      <c r="G18" s="21">
        <f>IF(gen6!$E$50&lt;&gt;0,gen6!$E$50,"  ")</f>
        <v>3750</v>
      </c>
      <c r="H18" s="21">
        <f>IF(gen6!$E$57&lt;&gt;0,gen6!$E$57," ")</f>
        <v>2792</v>
      </c>
      <c r="I18" s="501">
        <f>IF(gen6!E57&gt;0,ROUND(H18/$G$37*1000,3)," ")</f>
        <v>1.399</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IF(road7!$C$43&lt;&gt;0,road7!$C$43,"  ")</f>
        <v>29698</v>
      </c>
      <c r="D21" s="499">
        <f>IF(inputPrYr!D45&gt;0,inputPrYr!D45,"  ")</f>
        <v>15.488</v>
      </c>
      <c r="E21" s="21">
        <f>IF(road7!$D$43&lt;&gt;0,road7!$D$43,"  ")</f>
        <v>30079</v>
      </c>
      <c r="F21" s="224">
        <f>IF(inputOth!D20&gt;0,inputOth!D20,"  ")</f>
        <v>14.858</v>
      </c>
      <c r="G21" s="21">
        <f>IF(road7!$E$43&lt;&gt;0,road7!$E$43,"  ")</f>
        <v>38000</v>
      </c>
      <c r="H21" s="21">
        <f>IF(road7!$E$50&lt;&gt;0,road7!$E$50,"  ")</f>
        <v>27869</v>
      </c>
      <c r="I21" s="501">
        <f>IF(road7!E50&gt;0,ROUND(H21/$G$37*1000,3)," ")</f>
        <v>13.964</v>
      </c>
      <c r="K21" s="866" t="str">
        <f>CONCATENATE("Estimated Value Of One Mill For ",I1,"")</f>
        <v>Estimated Value Of One Mill For 2015</v>
      </c>
      <c r="L21" s="871"/>
      <c r="M21" s="871"/>
      <c r="N21" s="872"/>
    </row>
    <row r="22" spans="2:14" ht="15.75">
      <c r="B22" s="74" t="str">
        <f>IF(inputPrYr!$B20&gt;"  ",inputPrYr!$B20,"  ")</f>
        <v>Noxious Weed</v>
      </c>
      <c r="C22" s="21">
        <f>IF('Nox Wd-Ceme 8'!$C$33&lt;&gt;0,'Nox Wd-Ceme 8'!$C$33,"  ")</f>
        <v>468</v>
      </c>
      <c r="D22" s="499">
        <f>IF(inputPrYr!D46&gt;0,inputPrYr!D46,"  ")</f>
        <v>0.604</v>
      </c>
      <c r="E22" s="21">
        <f>IF('Nox Wd-Ceme 8'!$D$33&lt;&gt;0,'Nox Wd-Ceme 8'!$D$33,"  ")</f>
        <v>1800</v>
      </c>
      <c r="F22" s="224">
        <f>IF(inputOth!D21&gt;0,inputOth!D21,"  ")</f>
        <v>0.648</v>
      </c>
      <c r="G22" s="21">
        <f>IF('Nox Wd-Ceme 8'!$E$33&lt;&gt;0,'Nox Wd-Ceme 8'!$E$33,"  ")</f>
        <v>2200</v>
      </c>
      <c r="H22" s="21">
        <f>IF('Nox Wd-Ceme 8'!$E$40&lt;&gt;0,'Nox Wd-Ceme 8'!$E$40,"  ")</f>
        <v>1228</v>
      </c>
      <c r="I22" s="501">
        <f>IF('Nox Wd-Ceme 8'!E40&gt;0,ROUND(H22/$G$37*1000,3)," ")</f>
        <v>0.615</v>
      </c>
      <c r="K22" s="475"/>
      <c r="L22" s="476"/>
      <c r="M22" s="476"/>
      <c r="N22" s="477"/>
    </row>
    <row r="23" spans="2:14" ht="15.75">
      <c r="B23" s="74" t="str">
        <f>IF(inputPrYr!$B21&gt;"  ",inputPrYr!$B21,"  ")</f>
        <v>Cemetery</v>
      </c>
      <c r="C23" s="21">
        <f>IF('Nox Wd-Ceme 8'!$C$73&lt;&gt;0,'Nox Wd-Ceme 8'!$C$73,"  ")</f>
        <v>2700</v>
      </c>
      <c r="D23" s="499">
        <f>IF(inputPrYr!D47&gt;0,inputPrYr!D47,"  ")</f>
        <v>1.554</v>
      </c>
      <c r="E23" s="21">
        <f>IF('Nox Wd-Ceme 8'!$D$73&lt;&gt;0,'Nox Wd-Ceme 8'!$D$73,"  ")</f>
        <v>4500</v>
      </c>
      <c r="F23" s="224">
        <f>IF(inputOth!D22&gt;0,inputOth!D22,"  ")</f>
        <v>2.283</v>
      </c>
      <c r="G23" s="21">
        <f>IF('Nox Wd-Ceme 8'!$E$73&lt;&gt;0,'Nox Wd-Ceme 8'!$E$73,"  ")</f>
        <v>6000</v>
      </c>
      <c r="H23" s="21">
        <f>IF('Nox Wd-Ceme 8'!$E$80&lt;&gt;0,'Nox Wd-Ceme 8'!$E$80,"  ")</f>
        <v>4555</v>
      </c>
      <c r="I23" s="501">
        <f>IF('Nox Wd-Ceme 8'!E80&gt;0,ROUND(H23/$G$37*1000,3)," ")</f>
        <v>2.282</v>
      </c>
      <c r="K23" s="478" t="s">
        <v>681</v>
      </c>
      <c r="L23" s="479"/>
      <c r="M23" s="479"/>
      <c r="N23" s="480">
        <f>ROUND(G37/1000,0)</f>
        <v>1996</v>
      </c>
    </row>
    <row r="24" spans="2:9" ht="15.75">
      <c r="B24" s="74" t="str">
        <f>IF(inputPrYr!$B22&gt;"  ",inputPrYr!$B22,"  ")</f>
        <v>Hall</v>
      </c>
      <c r="C24" s="21">
        <f>IF('Hall 9'!$C$33&lt;&gt;0,'Hall 9'!$C$33,"  ")</f>
        <v>1587</v>
      </c>
      <c r="D24" s="499">
        <f>IF(inputPrYr!D48&gt;0,inputPrYr!D48,"  ")</f>
        <v>0.719</v>
      </c>
      <c r="E24" s="21">
        <f>IF('Hall 9'!$D$33&lt;&gt;0,'Hall 9'!$D$33,"  ")</f>
        <v>1610</v>
      </c>
      <c r="F24" s="224">
        <f>IF(inputOth!D23&gt;0,inputOth!D23,"  ")</f>
        <v>0.747</v>
      </c>
      <c r="G24" s="21">
        <f>IF('Hall 9'!$E$33&lt;&gt;0,'Hall 9'!$E$33,"  ")</f>
        <v>2200</v>
      </c>
      <c r="H24" s="21">
        <f>IF('Hall 9'!$E$40&lt;&gt;0,'Hall 9'!$E$40,"  ")</f>
        <v>1505</v>
      </c>
      <c r="I24" s="501">
        <f>IF('Hall 9'!E40&gt;0,ROUND(H24/$G$37*1000,3)," ")</f>
        <v>0.754</v>
      </c>
    </row>
    <row r="25" spans="2:14" ht="15.75">
      <c r="B25" s="74" t="str">
        <f>IF(inputPrYr!$B23&gt;"  ",inputPrYr!$B23,"  ")</f>
        <v>  </v>
      </c>
      <c r="C25" s="21" t="str">
        <f>IF('Hall 9'!$C$73&lt;&gt;0,'Hall 9'!$C$73,"  ")</f>
        <v>  </v>
      </c>
      <c r="D25" s="499" t="str">
        <f>IF(inputPrYr!D49&gt;0,inputPrYr!D49,"  ")</f>
        <v>  </v>
      </c>
      <c r="E25" s="21" t="str">
        <f>IF('Hall 9'!$D$73&lt;&gt;0,'Hall 9'!$D$73,"  ")</f>
        <v>  </v>
      </c>
      <c r="F25" s="224" t="str">
        <f>IF(inputOth!D24&gt;0,inputOth!D24,"  ")</f>
        <v>  </v>
      </c>
      <c r="G25" s="21" t="str">
        <f>IF('Hall 9'!$E$73&lt;&gt;0,'Hall 9'!$E$73,"  ")</f>
        <v>  </v>
      </c>
      <c r="H25" s="21" t="str">
        <f>IF('Hall 9'!$E$80&lt;&gt;0,'Hall 9'!$E$80,"  ")</f>
        <v>  </v>
      </c>
      <c r="I25" s="501" t="str">
        <f>IF('Hall 9'!E80&gt;0,ROUND(H25/$G$37*1000,3),"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IF(levypage10!$C$33&lt;&gt;0,levypage10!$C$33,"  ")</f>
        <v>  </v>
      </c>
      <c r="D26" s="499" t="str">
        <f>IF(inputPrYr!D50&gt;0,inputPrYr!D50,"  ")</f>
        <v>  </v>
      </c>
      <c r="E26" s="21" t="str">
        <f>IF(levypage10!$D$33&lt;&gt;0,levypage10!$D$33,"  ")</f>
        <v>  </v>
      </c>
      <c r="F26" s="224" t="str">
        <f>IF(inputOth!D25&gt;0,inputOth!D25,"  ")</f>
        <v>  </v>
      </c>
      <c r="G26" s="21" t="str">
        <f>IF(levypage10!$E$33&lt;&gt;0,levypage10!$E$33,"  ")</f>
        <v>  </v>
      </c>
      <c r="H26" s="21" t="str">
        <f>IF(levypage10!$E$40&lt;&gt;0,levypage10!$E$40,"  ")</f>
        <v>  </v>
      </c>
      <c r="I26" s="501" t="str">
        <f>IF(levypage10!E40&gt;0,ROUND(H26/$G$37*1000,3)," ")</f>
        <v> </v>
      </c>
      <c r="K26" s="482"/>
      <c r="L26" s="476"/>
      <c r="M26" s="476"/>
      <c r="N26" s="483"/>
    </row>
    <row r="27" spans="2:14" ht="15.75">
      <c r="B27" s="74" t="str">
        <f>IF(inputPrYr!$B25&gt;"  ",inputPrYr!$B25,"  ")</f>
        <v>  </v>
      </c>
      <c r="C27" s="21" t="str">
        <f>IF(levypage10!$C$73&lt;&gt;0,levypage10!$C$73,"  ")</f>
        <v>  </v>
      </c>
      <c r="D27" s="499" t="str">
        <f>IF(inputPrYr!D51&gt;0,inputPrYr!D51,"  ")</f>
        <v>  </v>
      </c>
      <c r="E27" s="21" t="str">
        <f>IF(levypage10!$D$73&lt;&gt;0,levypage10!$D$73,"  ")</f>
        <v>  </v>
      </c>
      <c r="F27" s="224" t="str">
        <f>IF(inputOth!D26&gt;0,inputOth!D26,"  ")</f>
        <v>  </v>
      </c>
      <c r="G27" s="21" t="str">
        <f>IF(levypage10!$E$73&lt;&gt;0,levypage10!$E$73,"  ")</f>
        <v>  </v>
      </c>
      <c r="H27" s="21" t="str">
        <f>IF(levypage10!$E$80&lt;&gt;0,levypage10!$E$80,"  ")</f>
        <v>  </v>
      </c>
      <c r="I27" s="501" t="str">
        <f>IF(levypage10!E80&gt;0,ROUND(H27/$G$37*1000,3)," ")</f>
        <v> </v>
      </c>
      <c r="K27" s="482" t="str">
        <f>CONCATENATE("",I1-1," Mill Rate Was:")</f>
        <v>2014 Mill Rate Was:</v>
      </c>
      <c r="L27" s="476"/>
      <c r="M27" s="476"/>
      <c r="N27" s="484">
        <f>F32</f>
        <v>19.917</v>
      </c>
    </row>
    <row r="28" spans="2:14" ht="15.75">
      <c r="B28" s="74" t="str">
        <f>IF(inputPrYr!$B29&gt;"  ",inputPrYr!$B29,"  ")</f>
        <v>  </v>
      </c>
      <c r="C28" s="21" t="str">
        <f>IF(nolevypage11!$C$28&lt;&gt;0,nolevypage11!$C$28,"  ")</f>
        <v>  </v>
      </c>
      <c r="D28" s="146"/>
      <c r="E28" s="21" t="str">
        <f>IF(nolevypage11!$D$28&lt;&gt;0,nolevypage11!$D$28,"  ")</f>
        <v>  </v>
      </c>
      <c r="F28" s="224"/>
      <c r="G28" s="21" t="str">
        <f>IF(nolevypage11!$E$28&lt;&gt;0,nolevypage11!$E$28,"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IF(nolevypage11!$C$59&lt;&gt;0,nolevypage11!$C$59,"  ")</f>
        <v>  </v>
      </c>
      <c r="D29" s="146"/>
      <c r="E29" s="21" t="str">
        <f>IF(nolevypage11!$D$59&lt;&gt;0,nolevypage11!$D$59,"  ")</f>
        <v>  </v>
      </c>
      <c r="F29" s="224"/>
      <c r="G29" s="21" t="str">
        <f>IF(nolevypage11!$E$59&lt;&gt;0,nolevypage11!$E$59,"  ")</f>
        <v>  </v>
      </c>
      <c r="H29" s="21"/>
      <c r="I29" s="224"/>
      <c r="K29" s="485" t="str">
        <f>IF(N29&gt;0,"Increased By:","")</f>
        <v>Increased By:</v>
      </c>
      <c r="L29" s="486"/>
      <c r="M29" s="486"/>
      <c r="N29" s="492">
        <f>IF(N36&lt;0,N36*-1,0)</f>
        <v>1802</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264</v>
      </c>
      <c r="C31" s="454" t="str">
        <f>IF(road7!C64&lt;&gt;0,road7!C64,"  ")</f>
        <v>  </v>
      </c>
      <c r="D31" s="455"/>
      <c r="E31" s="500"/>
      <c r="F31" s="455"/>
      <c r="G31" s="500"/>
      <c r="H31" s="500"/>
      <c r="I31" s="455"/>
      <c r="K31" s="489"/>
      <c r="L31" s="489"/>
      <c r="M31" s="489"/>
      <c r="N31" s="489"/>
    </row>
    <row r="32" spans="2:14" ht="15.75">
      <c r="B32" s="61" t="s">
        <v>265</v>
      </c>
      <c r="C32" s="502">
        <f aca="true" t="shared" si="0" ref="C32:I32">SUM(C18:C31)</f>
        <v>36957</v>
      </c>
      <c r="D32" s="453">
        <f t="shared" si="0"/>
        <v>19.901</v>
      </c>
      <c r="E32" s="502">
        <f t="shared" si="0"/>
        <v>40789</v>
      </c>
      <c r="F32" s="453">
        <f t="shared" si="0"/>
        <v>19.917</v>
      </c>
      <c r="G32" s="502">
        <f t="shared" si="0"/>
        <v>52150</v>
      </c>
      <c r="H32" s="502">
        <f t="shared" si="0"/>
        <v>37949</v>
      </c>
      <c r="I32" s="505">
        <f t="shared" si="0"/>
        <v>19.014</v>
      </c>
      <c r="K32" s="866" t="str">
        <f>CONCATENATE("Impact On Keeping The Same Mill Rate As For ",I1-1,"")</f>
        <v>Impact On Keeping The Same Mill Rate As For 2014</v>
      </c>
      <c r="L32" s="867"/>
      <c r="M32" s="867"/>
      <c r="N32" s="868"/>
    </row>
    <row r="33" spans="2:14" ht="15.75">
      <c r="B33" s="261" t="s">
        <v>44</v>
      </c>
      <c r="C33" s="21">
        <f>transfer4!C29</f>
        <v>8213</v>
      </c>
      <c r="D33" s="3"/>
      <c r="E33" s="21">
        <f>transfer4!D29</f>
        <v>0</v>
      </c>
      <c r="F33" s="50"/>
      <c r="G33" s="21">
        <f>transfer4!E29</f>
        <v>0</v>
      </c>
      <c r="H33" s="3"/>
      <c r="I33" s="3"/>
      <c r="K33" s="482"/>
      <c r="L33" s="476"/>
      <c r="M33" s="476"/>
      <c r="N33" s="483"/>
    </row>
    <row r="34" spans="2:14" ht="16.5" thickBot="1">
      <c r="B34" s="261" t="s">
        <v>45</v>
      </c>
      <c r="C34" s="503">
        <f>C32-C33</f>
        <v>28744</v>
      </c>
      <c r="D34" s="3"/>
      <c r="E34" s="503">
        <f>E32-E33</f>
        <v>40789</v>
      </c>
      <c r="F34" s="3"/>
      <c r="G34" s="503">
        <f>G32-G33</f>
        <v>52150</v>
      </c>
      <c r="H34" s="3"/>
      <c r="I34" s="3"/>
      <c r="K34" s="482" t="str">
        <f>CONCATENATE("",I1," Ad Valorem Tax Revenue:")</f>
        <v>2015 Ad Valorem Tax Revenue:</v>
      </c>
      <c r="L34" s="476"/>
      <c r="M34" s="476"/>
      <c r="N34" s="477">
        <f>H32</f>
        <v>37949</v>
      </c>
    </row>
    <row r="35" spans="2:14" ht="16.5" thickTop="1">
      <c r="B35" s="261" t="s">
        <v>46</v>
      </c>
      <c r="C35" s="504">
        <f>inputPrYr!E54</f>
        <v>32036</v>
      </c>
      <c r="D35" s="50"/>
      <c r="E35" s="504">
        <f>inputPrYr!E26</f>
        <v>37472</v>
      </c>
      <c r="F35" s="3"/>
      <c r="G35" s="495" t="s">
        <v>266</v>
      </c>
      <c r="H35" s="3"/>
      <c r="I35" s="3"/>
      <c r="K35" s="482" t="str">
        <f>CONCATENATE("",I1-1," Ad Valorem Tax Revenue:")</f>
        <v>2014 Ad Valorem Tax Revenue:</v>
      </c>
      <c r="L35" s="476"/>
      <c r="M35" s="476"/>
      <c r="N35" s="490">
        <f>ROUND(G37*N27/1000,0)</f>
        <v>39751</v>
      </c>
    </row>
    <row r="36" spans="2:14" ht="15.75">
      <c r="B36" s="261" t="s">
        <v>47</v>
      </c>
      <c r="C36" s="44"/>
      <c r="D36" s="50"/>
      <c r="E36" s="44"/>
      <c r="F36" s="50"/>
      <c r="G36" s="3"/>
      <c r="H36" s="3"/>
      <c r="I36" s="3"/>
      <c r="K36" s="487" t="s">
        <v>682</v>
      </c>
      <c r="L36" s="488"/>
      <c r="M36" s="488"/>
      <c r="N36" s="480">
        <f>N34-N35</f>
        <v>-1802</v>
      </c>
    </row>
    <row r="37" spans="2:14" ht="15.75">
      <c r="B37" s="261" t="s">
        <v>48</v>
      </c>
      <c r="C37" s="21">
        <f>inputPrYr!E55</f>
        <v>1610787</v>
      </c>
      <c r="D37" s="3"/>
      <c r="E37" s="21">
        <f>inputOth!E29</f>
        <v>1881261</v>
      </c>
      <c r="F37" s="3"/>
      <c r="G37" s="21">
        <f>inputOth!E7</f>
        <v>1995830</v>
      </c>
      <c r="H37" s="3"/>
      <c r="I37" s="3"/>
      <c r="K37" s="481"/>
      <c r="L37" s="481"/>
      <c r="M37" s="481"/>
      <c r="N37" s="489"/>
    </row>
    <row r="38" spans="2:14" ht="15.75">
      <c r="B38" s="11" t="s">
        <v>49</v>
      </c>
      <c r="C38" s="3"/>
      <c r="D38" s="3"/>
      <c r="E38" s="3"/>
      <c r="F38" s="3"/>
      <c r="G38" s="3"/>
      <c r="H38" s="3"/>
      <c r="I38" s="3"/>
      <c r="K38" s="866" t="s">
        <v>683</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'debt-lease5'!F11</f>
        <v>0</v>
      </c>
      <c r="H40" s="3"/>
      <c r="I40" s="3"/>
      <c r="K40" s="482" t="str">
        <f>CONCATENATE("Current ",I1," Estimated Mill Rate:")</f>
        <v>Current 2015 Estimated Mill Rate:</v>
      </c>
      <c r="L40" s="476"/>
      <c r="M40" s="476"/>
      <c r="N40" s="484">
        <f>I32</f>
        <v>19.014</v>
      </c>
    </row>
    <row r="41" spans="2:14" ht="15.75">
      <c r="B41" s="11" t="s">
        <v>21</v>
      </c>
      <c r="C41" s="150">
        <f>inputPrYr!D60</f>
        <v>0</v>
      </c>
      <c r="D41" s="48"/>
      <c r="E41" s="150">
        <f>inputPrYr!E60</f>
        <v>0</v>
      </c>
      <c r="F41" s="48"/>
      <c r="G41" s="150">
        <f>'debt-lease5'!F15</f>
        <v>0</v>
      </c>
      <c r="H41" s="3"/>
      <c r="I41" s="3"/>
      <c r="K41" s="482" t="str">
        <f>CONCATENATE("Desired ",I1," Mill Rate:")</f>
        <v>Desired 2015 Mill Rate:</v>
      </c>
      <c r="L41" s="476"/>
      <c r="M41" s="476"/>
      <c r="N41" s="491">
        <v>0</v>
      </c>
    </row>
    <row r="42" spans="2:14" ht="15.75">
      <c r="B42" s="11" t="s">
        <v>708</v>
      </c>
      <c r="C42" s="150">
        <f>inputPrYr!D61</f>
        <v>0</v>
      </c>
      <c r="D42" s="48"/>
      <c r="E42" s="150">
        <f>inputPrYr!E61</f>
        <v>0</v>
      </c>
      <c r="F42" s="48"/>
      <c r="G42" s="150">
        <f>'debt-lease5'!G36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5" t="str">
        <f>inputBudSum!B4</f>
        <v>Dan Mock</v>
      </c>
      <c r="C46" s="865"/>
      <c r="D46" s="3"/>
      <c r="E46" s="3"/>
      <c r="F46" s="3"/>
      <c r="G46" s="3"/>
      <c r="H46" s="3"/>
      <c r="I46" s="3"/>
    </row>
    <row r="47" spans="2:9" ht="15.75">
      <c r="B47" s="863" t="str">
        <f>inputBudSum!B6</f>
        <v>Trustee</v>
      </c>
      <c r="C47" s="864"/>
      <c r="D47" s="3"/>
      <c r="E47" s="3"/>
      <c r="F47" s="3"/>
      <c r="G47" s="3"/>
      <c r="H47" s="3"/>
      <c r="I47" s="3"/>
    </row>
    <row r="48" spans="2:9" ht="15.75">
      <c r="B48" s="3"/>
      <c r="C48" s="3"/>
      <c r="D48" s="3"/>
      <c r="E48" s="3"/>
      <c r="F48" s="3"/>
      <c r="G48" s="3"/>
      <c r="H48" s="3"/>
      <c r="I48" s="3"/>
    </row>
    <row r="49" spans="2:9" ht="15.75">
      <c r="B49" s="3"/>
      <c r="C49" s="41" t="s">
        <v>9</v>
      </c>
      <c r="D49" s="70">
        <v>12</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SPRING CREEK TOWNSHIP</v>
      </c>
      <c r="B1" s="3"/>
      <c r="C1" s="3"/>
      <c r="D1" s="3"/>
      <c r="E1" s="3"/>
      <c r="F1" s="3">
        <f>inputPrYr!D5</f>
        <v>2015</v>
      </c>
    </row>
    <row r="2" spans="1:6" ht="15.75">
      <c r="A2" s="3"/>
      <c r="B2" s="3"/>
      <c r="C2" s="3"/>
      <c r="D2" s="3"/>
      <c r="E2" s="3"/>
      <c r="F2" s="3"/>
    </row>
    <row r="3" spans="1:6" ht="15.75">
      <c r="A3" s="3"/>
      <c r="B3" s="801" t="str">
        <f>CONCATENATE("",F1," Neighborhood Revitalization Rebate")</f>
        <v>2015 Neighborhood Revitalization Rebate</v>
      </c>
      <c r="C3" s="809"/>
      <c r="D3" s="809"/>
      <c r="E3" s="80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Noxious Weed</v>
      </c>
      <c r="C10" s="119"/>
      <c r="D10" s="120">
        <f t="shared" si="0"/>
      </c>
      <c r="E10" s="121">
        <f t="shared" si="1"/>
      </c>
      <c r="F10" s="118"/>
    </row>
    <row r="11" spans="1:6" ht="15.75">
      <c r="A11" s="3"/>
      <c r="B11" s="61" t="str">
        <f>inputPrYr!B21</f>
        <v>Cemetery</v>
      </c>
      <c r="C11" s="119"/>
      <c r="D11" s="120">
        <f t="shared" si="0"/>
      </c>
      <c r="E11" s="121">
        <f t="shared" si="1"/>
      </c>
      <c r="F11" s="118"/>
    </row>
    <row r="12" spans="1:6" ht="15.75">
      <c r="A12" s="3"/>
      <c r="B12" s="61" t="str">
        <f>inputPrYr!B22</f>
        <v>Hall</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1995830</v>
      </c>
      <c r="E19" s="3"/>
      <c r="F19" s="118"/>
    </row>
    <row r="20" spans="1:6" ht="15.75">
      <c r="A20" s="3"/>
      <c r="B20" s="3"/>
      <c r="C20" s="3"/>
      <c r="D20" s="3"/>
      <c r="E20" s="3"/>
      <c r="F20" s="118"/>
    </row>
    <row r="21" spans="1:6" ht="15.75">
      <c r="A21" s="3"/>
      <c r="B21" s="875" t="s">
        <v>338</v>
      </c>
      <c r="C21" s="875"/>
      <c r="D21" s="126">
        <f>IF(D19&gt;0,(D19*0.001),"")</f>
        <v>1995.8300000000002</v>
      </c>
      <c r="E21" s="3"/>
      <c r="F21" s="118"/>
    </row>
    <row r="22" spans="1:6" ht="15.75">
      <c r="A22" s="3"/>
      <c r="B22" s="37"/>
      <c r="C22" s="37"/>
      <c r="D22" s="127"/>
      <c r="E22" s="3"/>
      <c r="F22" s="118"/>
    </row>
    <row r="23" spans="1:6" ht="15.75">
      <c r="A23" s="873" t="s">
        <v>340</v>
      </c>
      <c r="B23" s="800"/>
      <c r="C23" s="800"/>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SPRING CREEK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SPRING CREEK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37472</v>
      </c>
      <c r="F9" s="767"/>
      <c r="G9" s="767"/>
      <c r="H9" s="768"/>
    </row>
    <row r="10" spans="3:8" ht="15.75">
      <c r="C10" s="769" t="str">
        <f>CONCATENATE(H2," Budget")</f>
        <v>2015 Budget</v>
      </c>
      <c r="D10" s="773" t="s">
        <v>2</v>
      </c>
      <c r="E10" s="776">
        <f>cert1!F35</f>
        <v>37949</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0" sqref="E4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SPRING CREEK TOWNSHIP</v>
      </c>
      <c r="B1" s="79"/>
      <c r="C1" s="79"/>
      <c r="D1" s="79"/>
      <c r="E1" s="79">
        <f>inputPrYr!D5</f>
        <v>2015</v>
      </c>
    </row>
    <row r="2" spans="1:5" ht="15.75">
      <c r="A2" s="77" t="str">
        <f>inputPrYr!D3</f>
        <v>GREENWOOD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1995830</v>
      </c>
    </row>
    <row r="8" spans="1:5" ht="15.75">
      <c r="A8" s="11" t="str">
        <f>CONCATENATE("New Improvements for ",E1-1,"")</f>
        <v>New Improvements for 2014</v>
      </c>
      <c r="B8" s="8"/>
      <c r="C8" s="8"/>
      <c r="D8" s="8"/>
      <c r="E8" s="721">
        <v>17311</v>
      </c>
    </row>
    <row r="9" spans="1:5" ht="15.75">
      <c r="A9" s="11" t="str">
        <f>CONCATENATE("Personal Property excluding oil, gas, and mobile homes - ",E1-1,"")</f>
        <v>Personal Property excluding oil, gas, and mobile homes - 2014</v>
      </c>
      <c r="B9" s="8"/>
      <c r="C9" s="8"/>
      <c r="D9" s="8"/>
      <c r="E9" s="721">
        <v>93375</v>
      </c>
    </row>
    <row r="10" spans="1:5" ht="15.75">
      <c r="A10" s="11" t="str">
        <f>CONCATENATE("Property that has changed in use for ",E1-1,"")</f>
        <v>Property that has changed in use for 2014</v>
      </c>
      <c r="B10" s="8"/>
      <c r="C10" s="8"/>
      <c r="D10" s="8"/>
      <c r="E10" s="721">
        <v>2255</v>
      </c>
    </row>
    <row r="11" spans="1:5" ht="15.75">
      <c r="A11" s="11" t="str">
        <f>CONCATENATE("Personal Property excluding oil, gas, and mobile homes- ",E1-2,"")</f>
        <v>Personal Property excluding oil, gas, and mobile homes- 2013</v>
      </c>
      <c r="B11" s="8"/>
      <c r="C11" s="8"/>
      <c r="D11" s="8"/>
      <c r="E11" s="721">
        <v>101905</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1.381</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14.858</v>
      </c>
      <c r="E20" s="271"/>
    </row>
    <row r="21" spans="1:5" ht="15.75">
      <c r="A21" s="60" t="str">
        <f>inputPrYr!B20</f>
        <v>Noxious Weed</v>
      </c>
      <c r="B21" s="255"/>
      <c r="C21" s="8"/>
      <c r="D21" s="722">
        <v>0.648</v>
      </c>
      <c r="E21" s="271"/>
    </row>
    <row r="22" spans="1:5" ht="15.75">
      <c r="A22" s="60" t="str">
        <f>inputPrYr!B21</f>
        <v>Cemetery</v>
      </c>
      <c r="B22" s="255"/>
      <c r="C22" s="8"/>
      <c r="D22" s="722">
        <v>2.283</v>
      </c>
      <c r="E22" s="271"/>
    </row>
    <row r="23" spans="1:5" ht="15.75">
      <c r="A23" s="60" t="str">
        <f>inputPrYr!B22</f>
        <v>Hall</v>
      </c>
      <c r="B23" s="255"/>
      <c r="C23" s="8"/>
      <c r="D23" s="723">
        <v>0.747</v>
      </c>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19.917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1881261</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2185</v>
      </c>
    </row>
    <row r="33" spans="1:5" ht="15.75">
      <c r="A33" s="278" t="s">
        <v>253</v>
      </c>
      <c r="B33" s="255"/>
      <c r="C33" s="255"/>
      <c r="D33" s="20"/>
      <c r="E33" s="23">
        <v>69</v>
      </c>
    </row>
    <row r="34" spans="1:5" ht="15.75">
      <c r="A34" s="278" t="s">
        <v>137</v>
      </c>
      <c r="B34" s="255"/>
      <c r="C34" s="255"/>
      <c r="D34" s="20"/>
      <c r="E34" s="23">
        <v>268</v>
      </c>
    </row>
    <row r="35" spans="1:5" ht="15.75">
      <c r="A35" s="278" t="s">
        <v>138</v>
      </c>
      <c r="B35" s="255"/>
      <c r="C35" s="255"/>
      <c r="D35" s="20"/>
      <c r="E35" s="23">
        <v>0</v>
      </c>
    </row>
    <row r="36" spans="1:5" ht="15.75">
      <c r="A36" s="278" t="s">
        <v>100</v>
      </c>
      <c r="B36" s="9"/>
      <c r="C36" s="9"/>
      <c r="D36" s="277"/>
      <c r="E36" s="23">
        <v>0</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0.00264762</v>
      </c>
    </row>
    <row r="40" spans="1:5" ht="15.75">
      <c r="A40" s="278" t="s">
        <v>816</v>
      </c>
      <c r="B40" s="261"/>
      <c r="C40" s="8"/>
      <c r="D40" s="8"/>
      <c r="E40" s="704">
        <v>0</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2697</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28979</v>
      </c>
      <c r="C49" s="129"/>
      <c r="D49" s="129"/>
      <c r="E49" s="129"/>
    </row>
    <row r="50" spans="1:5" ht="15.75">
      <c r="A50" s="286" t="str">
        <f>inputPrYr!B20</f>
        <v>Noxious Weed</v>
      </c>
      <c r="B50" s="25">
        <v>1872</v>
      </c>
      <c r="C50" s="129"/>
      <c r="D50" s="129"/>
      <c r="E50" s="129"/>
    </row>
    <row r="51" spans="1:5" ht="15.75">
      <c r="A51" s="286" t="str">
        <f>inputPrYr!B21</f>
        <v>Cemetery</v>
      </c>
      <c r="B51" s="25">
        <v>3148</v>
      </c>
      <c r="C51" s="129"/>
      <c r="D51" s="129"/>
      <c r="E51" s="129"/>
    </row>
    <row r="52" spans="1:5" ht="15.75">
      <c r="A52" s="286" t="str">
        <f>inputPrYr!B22</f>
        <v>Hall</v>
      </c>
      <c r="B52" s="25">
        <v>1508</v>
      </c>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4.25">
      <c r="A8" s="377"/>
      <c r="B8" s="917" t="s">
        <v>593</v>
      </c>
      <c r="C8" s="917"/>
      <c r="D8" s="917"/>
      <c r="E8" s="917"/>
      <c r="F8" s="917"/>
      <c r="G8" s="917"/>
      <c r="H8" s="917"/>
      <c r="I8" s="917"/>
      <c r="J8" s="917"/>
      <c r="K8" s="917"/>
      <c r="L8" s="377"/>
    </row>
    <row r="9" spans="1:12" ht="14.25">
      <c r="A9" s="377"/>
      <c r="L9" s="377"/>
    </row>
    <row r="10" spans="1:12" ht="14.25">
      <c r="A10" s="377"/>
      <c r="B10" s="917" t="s">
        <v>594</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903">
        <v>312000000</v>
      </c>
      <c r="G23" s="903"/>
      <c r="L23" s="377"/>
    </row>
    <row r="24" spans="1:12" ht="14.25">
      <c r="A24" s="377"/>
      <c r="L24" s="377"/>
    </row>
    <row r="25" spans="1:12" ht="14.25">
      <c r="A25" s="377"/>
      <c r="C25" s="918">
        <f>F23</f>
        <v>312000000</v>
      </c>
      <c r="D25" s="91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4.25">
      <c r="A31" s="377"/>
      <c r="B31" s="917" t="s">
        <v>604</v>
      </c>
      <c r="C31" s="917"/>
      <c r="D31" s="917"/>
      <c r="E31" s="917"/>
      <c r="F31" s="917"/>
      <c r="G31" s="917"/>
      <c r="H31" s="917"/>
      <c r="I31" s="917"/>
      <c r="J31" s="917"/>
      <c r="K31" s="917"/>
      <c r="L31" s="377"/>
    </row>
    <row r="32" spans="1:12" ht="14.25">
      <c r="A32" s="377"/>
      <c r="L32" s="377"/>
    </row>
    <row r="33" spans="1:12" ht="14.25">
      <c r="A33" s="377"/>
      <c r="B33" s="917" t="s">
        <v>605</v>
      </c>
      <c r="C33" s="917"/>
      <c r="D33" s="917"/>
      <c r="E33" s="917"/>
      <c r="F33" s="917"/>
      <c r="G33" s="917"/>
      <c r="H33" s="917"/>
      <c r="I33" s="917"/>
      <c r="J33" s="917"/>
      <c r="K33" s="917"/>
      <c r="L33" s="377"/>
    </row>
    <row r="34" spans="1:12" ht="14.25">
      <c r="A34" s="377"/>
      <c r="L34" s="377"/>
    </row>
    <row r="35" spans="1:12" ht="89.25" customHeight="1">
      <c r="A35" s="377"/>
      <c r="B35" s="901" t="s">
        <v>606</v>
      </c>
      <c r="C35" s="911"/>
      <c r="D35" s="911"/>
      <c r="E35" s="911"/>
      <c r="F35" s="911"/>
      <c r="G35" s="911"/>
      <c r="H35" s="911"/>
      <c r="I35" s="911"/>
      <c r="J35" s="911"/>
      <c r="K35" s="911"/>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19">
        <v>312000000</v>
      </c>
      <c r="D41" s="919"/>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12">
        <v>312000000</v>
      </c>
      <c r="C48" s="903"/>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13" t="s">
        <v>614</v>
      </c>
      <c r="H50" s="914"/>
      <c r="I50" s="521" t="s">
        <v>600</v>
      </c>
      <c r="J50" s="397">
        <f>B50/F50</f>
        <v>0.16025641025641027</v>
      </c>
      <c r="K50" s="389"/>
      <c r="L50" s="377"/>
    </row>
    <row r="51" spans="1:15" ht="1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4.25">
      <c r="A53" s="377"/>
      <c r="B53" s="917" t="s">
        <v>616</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903">
        <v>312000000</v>
      </c>
      <c r="D74" s="903"/>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903">
        <v>50000</v>
      </c>
      <c r="D77" s="903"/>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903">
        <v>100000</v>
      </c>
      <c r="D80" s="903"/>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4.25">
      <c r="A86" s="377"/>
      <c r="B86" s="900" t="s">
        <v>634</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635</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903">
        <v>312000000</v>
      </c>
      <c r="D114" s="903"/>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903">
        <v>2500000</v>
      </c>
      <c r="D120" s="903"/>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4.25">
      <c r="A126" s="377"/>
      <c r="B126" s="900" t="s">
        <v>641</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642</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02" t="s">
        <v>644</v>
      </c>
      <c r="D133" s="902"/>
      <c r="E133" s="387"/>
      <c r="F133" s="521" t="s">
        <v>645</v>
      </c>
      <c r="G133" s="387"/>
      <c r="H133" s="902" t="s">
        <v>630</v>
      </c>
      <c r="I133" s="902"/>
      <c r="J133" s="387"/>
      <c r="K133" s="389"/>
      <c r="L133" s="377"/>
    </row>
    <row r="134" spans="1:12" ht="14.25">
      <c r="A134" s="377"/>
      <c r="B134" s="395" t="s">
        <v>623</v>
      </c>
      <c r="C134" s="903">
        <v>100000</v>
      </c>
      <c r="D134" s="903"/>
      <c r="E134" s="521" t="s">
        <v>266</v>
      </c>
      <c r="F134" s="521">
        <v>0.115</v>
      </c>
      <c r="G134" s="521" t="s">
        <v>600</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630</v>
      </c>
      <c r="D136" s="891"/>
      <c r="E136" s="405"/>
      <c r="F136" s="523" t="s">
        <v>646</v>
      </c>
      <c r="G136" s="523"/>
      <c r="H136" s="405"/>
      <c r="I136" s="405"/>
      <c r="J136" s="405" t="s">
        <v>647</v>
      </c>
      <c r="K136" s="406"/>
      <c r="L136" s="377"/>
    </row>
    <row r="137" spans="1:12" ht="14.2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892" t="s">
        <v>651</v>
      </c>
      <c r="D147" s="892"/>
      <c r="E147" s="521"/>
      <c r="F147" s="441" t="s">
        <v>652</v>
      </c>
      <c r="G147" s="521"/>
      <c r="H147" s="521"/>
      <c r="I147" s="521"/>
      <c r="J147" s="896" t="s">
        <v>653</v>
      </c>
      <c r="K147" s="897"/>
      <c r="L147" s="377"/>
    </row>
    <row r="148" spans="1:12" ht="14.25">
      <c r="A148" s="377"/>
      <c r="B148" s="395"/>
      <c r="C148" s="898">
        <v>52.869</v>
      </c>
      <c r="D148" s="898"/>
      <c r="E148" s="521" t="s">
        <v>266</v>
      </c>
      <c r="F148" s="517">
        <v>312000000</v>
      </c>
      <c r="G148" s="446" t="s">
        <v>601</v>
      </c>
      <c r="H148" s="521">
        <v>1000</v>
      </c>
      <c r="I148" s="521" t="s">
        <v>600</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1" sqref="C11"/>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972</v>
      </c>
      <c r="C4" s="683"/>
      <c r="J4" s="684" t="s">
        <v>803</v>
      </c>
    </row>
    <row r="5" spans="1:10" ht="15.75">
      <c r="A5" s="449"/>
      <c r="B5" s="683"/>
      <c r="J5" s="684" t="s">
        <v>804</v>
      </c>
    </row>
    <row r="6" spans="1:10" ht="15.75">
      <c r="A6" s="449" t="s">
        <v>799</v>
      </c>
      <c r="B6" s="724" t="s">
        <v>973</v>
      </c>
      <c r="J6" s="684" t="s">
        <v>805</v>
      </c>
    </row>
    <row r="7" spans="1:10" ht="15.75">
      <c r="A7" s="335"/>
      <c r="B7" s="335"/>
      <c r="C7" s="335"/>
      <c r="D7" s="337"/>
      <c r="E7" s="335"/>
      <c r="F7" s="335"/>
      <c r="J7" s="684" t="s">
        <v>806</v>
      </c>
    </row>
    <row r="8" spans="1:10" ht="15.75">
      <c r="A8" s="336" t="s">
        <v>345</v>
      </c>
      <c r="B8" s="724" t="s">
        <v>971</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1, 2014</v>
      </c>
      <c r="E9" s="335"/>
      <c r="F9" s="335"/>
      <c r="J9" s="684" t="s">
        <v>808</v>
      </c>
    </row>
    <row r="10" spans="1:10" ht="15.75">
      <c r="A10" s="336" t="s">
        <v>346</v>
      </c>
      <c r="B10" s="724" t="s">
        <v>953</v>
      </c>
      <c r="C10" s="341"/>
      <c r="D10" s="336"/>
      <c r="E10" s="335"/>
      <c r="F10" s="335"/>
      <c r="J10" s="684" t="s">
        <v>809</v>
      </c>
    </row>
    <row r="11" spans="1:10" ht="15.75">
      <c r="A11" s="336"/>
      <c r="B11" s="336"/>
      <c r="C11" s="336"/>
      <c r="D11" s="336"/>
      <c r="E11" s="335"/>
      <c r="F11" s="335"/>
      <c r="J11" s="684" t="s">
        <v>810</v>
      </c>
    </row>
    <row r="12" spans="1:10" ht="15.75">
      <c r="A12" s="336" t="s">
        <v>347</v>
      </c>
      <c r="B12" s="725" t="s">
        <v>974</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954</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41852</v>
      </c>
    </row>
    <row r="22" spans="1:7" ht="15.75">
      <c r="A22" s="336" t="s">
        <v>346</v>
      </c>
      <c r="B22" s="336" t="s">
        <v>351</v>
      </c>
      <c r="C22" s="336"/>
      <c r="D22" s="336"/>
      <c r="E22" s="336"/>
      <c r="G22" s="687">
        <f>IF(B8="","",MONTH(G21))</f>
        <v>8</v>
      </c>
    </row>
    <row r="23" spans="1:7" ht="15.75">
      <c r="A23" s="336"/>
      <c r="B23" s="336"/>
      <c r="C23" s="336"/>
      <c r="D23" s="336"/>
      <c r="E23" s="336"/>
      <c r="G23" s="688">
        <f>IF(B8="","",DAY(G21))</f>
        <v>1</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4">
      <selection activeCell="B49" sqref="B4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1" t="s">
        <v>70</v>
      </c>
      <c r="C1" s="801"/>
      <c r="D1" s="801"/>
      <c r="E1" s="801"/>
      <c r="F1" s="801"/>
      <c r="G1" s="801"/>
      <c r="H1" s="3">
        <f>inputPrYr!D5</f>
        <v>2015</v>
      </c>
    </row>
    <row r="2" spans="3:7" s="3" customFormat="1" ht="15.75">
      <c r="C2" s="134"/>
      <c r="D2" s="134"/>
      <c r="E2" s="134"/>
      <c r="F2" s="134"/>
      <c r="G2" s="51"/>
    </row>
    <row r="3" spans="2:8" s="3" customFormat="1" ht="15.75">
      <c r="B3" s="796" t="str">
        <f>CONCATENATE("To the Clerk of ",inputPrYr!D3,", State of Kansas")</f>
        <v>To the Clerk of GREENWOOD COUNTY, State of Kansas</v>
      </c>
      <c r="C3" s="809"/>
      <c r="D3" s="809"/>
      <c r="E3" s="809"/>
      <c r="F3" s="809"/>
      <c r="G3" s="809"/>
      <c r="H3" s="809"/>
    </row>
    <row r="4" spans="2:7" s="3" customFormat="1" ht="15.75">
      <c r="B4" s="796" t="s">
        <v>131</v>
      </c>
      <c r="C4" s="797"/>
      <c r="D4" s="797"/>
      <c r="E4" s="797"/>
      <c r="F4" s="797"/>
      <c r="G4" s="797"/>
    </row>
    <row r="5" spans="2:7" s="3" customFormat="1" ht="15.75">
      <c r="B5" s="798" t="str">
        <f>inputPrYr!D2</f>
        <v>SPRING CREEK TOWNSHIP</v>
      </c>
      <c r="C5" s="797"/>
      <c r="D5" s="797"/>
      <c r="E5" s="797"/>
      <c r="F5" s="797"/>
      <c r="G5" s="797"/>
    </row>
    <row r="6" spans="2:7" s="3" customFormat="1" ht="15.75">
      <c r="B6" s="808" t="s">
        <v>129</v>
      </c>
      <c r="C6" s="809"/>
      <c r="D6" s="809"/>
      <c r="E6" s="809"/>
      <c r="F6" s="809"/>
      <c r="G6" s="809"/>
    </row>
    <row r="7" spans="2:7" s="3" customFormat="1" ht="15.75" customHeight="1">
      <c r="B7" s="796" t="s">
        <v>130</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75">
      <c r="D11" s="8"/>
      <c r="E11" s="805" t="str">
        <f>CONCATENATE("",H1," Adopted Budget")</f>
        <v>2015 Adopted Budget</v>
      </c>
      <c r="F11" s="806"/>
      <c r="G11" s="807"/>
    </row>
    <row r="12" spans="2:7" s="3" customFormat="1" ht="15.75">
      <c r="B12" s="11"/>
      <c r="D12" s="55"/>
      <c r="E12" s="243" t="s">
        <v>254</v>
      </c>
      <c r="F12" s="802" t="str">
        <f>CONCATENATE("Amount of ",H1-1," Ad Valorem Tax")</f>
        <v>Amount of 2014 Ad Valorem Tax</v>
      </c>
      <c r="G12" s="12" t="s">
        <v>255</v>
      </c>
    </row>
    <row r="13" spans="4:7" s="3" customFormat="1" ht="15.75">
      <c r="D13" s="12" t="s">
        <v>256</v>
      </c>
      <c r="E13" s="497" t="s">
        <v>185</v>
      </c>
      <c r="F13" s="803"/>
      <c r="G13" s="145" t="s">
        <v>257</v>
      </c>
    </row>
    <row r="14" spans="2:7" s="3" customFormat="1" ht="15.75">
      <c r="B14" s="60" t="s">
        <v>258</v>
      </c>
      <c r="C14" s="9"/>
      <c r="D14" s="15" t="s">
        <v>259</v>
      </c>
      <c r="E14" s="498" t="s">
        <v>684</v>
      </c>
      <c r="F14" s="804"/>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IF(gen6!C61&gt;0,gen6!C61,"  ")</f>
        <v>6</v>
      </c>
      <c r="E21" s="695">
        <f>IF(gen6!$E$50&lt;&gt;0,gen6!$E$50,"  ")</f>
        <v>3750</v>
      </c>
      <c r="F21" s="695">
        <f>IF(gen6!$E$57&lt;&gt;0,gen6!$E$57,0)</f>
        <v>2792</v>
      </c>
      <c r="G21" s="696" t="str">
        <f>IF(AND(gen6!E57=0,$C$40&gt;=0),"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IF(road7!C67&gt;0,road7!C67,"  ")</f>
        <v>7</v>
      </c>
      <c r="E24" s="695">
        <f>IF(road7!$E$43&lt;&gt;0,road7!$E$43,"  ")</f>
        <v>38000</v>
      </c>
      <c r="F24" s="695">
        <f>IF(road7!$E$50&lt;&gt;0,road7!$E$50,"  ")</f>
        <v>27869</v>
      </c>
      <c r="G24" s="696" t="str">
        <f>IF(AND(road7!E50=0,$C$40&gt;=0)," ",IF(AND(F24&gt;0,$C$40=0)," ",IF(AND(F24&gt;0,$C$40&gt;0),ROUND(F24/$C$40*1000,3))))</f>
        <v> </v>
      </c>
    </row>
    <row r="25" spans="2:7" s="3" customFormat="1" ht="15.75">
      <c r="B25" s="74" t="str">
        <f>IF(inputPrYr!$B20&gt;"  ",inputPrYr!$B20,"  ")</f>
        <v>Noxious Weed</v>
      </c>
      <c r="C25" s="248" t="str">
        <f>IF(inputPrYr!C20&gt;0,inputPrYr!C20,"  ")</f>
        <v>2-1318</v>
      </c>
      <c r="D25" s="249">
        <f>IF('Nox Wd-Ceme 8'!C81&gt;0,'Nox Wd-Ceme 8'!C81,"  ")</f>
        <v>8</v>
      </c>
      <c r="E25" s="695">
        <f>IF('Nox Wd-Ceme 8'!$E$33&lt;&gt;0,'Nox Wd-Ceme 8'!$E$33,"  ")</f>
        <v>2200</v>
      </c>
      <c r="F25" s="695">
        <f>IF('Nox Wd-Ceme 8'!$E$40&lt;&gt;0,'Nox Wd-Ceme 8'!$E$40,"  ")</f>
        <v>1228</v>
      </c>
      <c r="G25" s="696" t="str">
        <f>IF(AND('Nox Wd-Ceme 8'!E40=0,$C$40&gt;=0)," ",IF(AND(F25&gt;0,$C$40=0)," ",IF(AND(F25&gt;0,$C$40&gt;0),ROUND(F25/$C$40*1000,3))))</f>
        <v> </v>
      </c>
    </row>
    <row r="26" spans="2:7" s="3" customFormat="1" ht="15.75">
      <c r="B26" s="74" t="str">
        <f>IF(inputPrYr!$B21&gt;"  ",inputPrYr!$B21,"  ")</f>
        <v>Cemetery</v>
      </c>
      <c r="C26" s="248" t="str">
        <f>IF(inputPrYr!C21&gt;0,inputPrYr!C21,"  ")</f>
        <v>79-1962</v>
      </c>
      <c r="D26" s="249">
        <f>IF('Nox Wd-Ceme 8'!C81&gt;0,'Nox Wd-Ceme 8'!C81,"  ")</f>
        <v>8</v>
      </c>
      <c r="E26" s="695">
        <f>IF('Nox Wd-Ceme 8'!$E$73&lt;&gt;0,'Nox Wd-Ceme 8'!$E$73,"  ")</f>
        <v>6000</v>
      </c>
      <c r="F26" s="695">
        <f>IF('Nox Wd-Ceme 8'!$E$80&lt;&gt;0,'Nox Wd-Ceme 8'!$E$80,"  ")</f>
        <v>4555</v>
      </c>
      <c r="G26" s="696" t="str">
        <f>IF(AND('Nox Wd-Ceme 8'!E80=0,$C$40&gt;=0)," ",IF(AND(F26&gt;0,$C$40=0)," ",IF(AND(F26&gt;0,$C$40&gt;0),ROUND(F26/$C$40*1000,3))))</f>
        <v> </v>
      </c>
    </row>
    <row r="27" spans="2:7" s="3" customFormat="1" ht="15.75">
      <c r="B27" s="74" t="str">
        <f>IF(inputPrYr!$B22&gt;"  ",inputPrYr!$B22,"  ")</f>
        <v>Hall</v>
      </c>
      <c r="C27" s="248" t="str">
        <f>IF(inputPrYr!C22&gt;0,inputPrYr!C22,"  ")</f>
        <v>79-1962</v>
      </c>
      <c r="D27" s="249" t="str">
        <f>IF('Hall 9'!C81&gt;0,'Hall 9'!C81,"  ")</f>
        <v>  </v>
      </c>
      <c r="E27" s="695">
        <f>IF('Hall 9'!$E$33&lt;&gt;0,'Hall 9'!$E$33,"  ")</f>
        <v>2200</v>
      </c>
      <c r="F27" s="695">
        <f>IF('Hall 9'!$E$40&lt;&gt;0,'Hall 9'!$E$40,"  ")</f>
        <v>1505</v>
      </c>
      <c r="G27" s="696" t="str">
        <f>IF(AND('Hall 9'!$E$40=0,$C$40&gt;=0)," ",IF(AND(F27&gt;0,$C$40=0)," ",IF(AND(F27&gt;0,$C$40&gt;0),ROUND(F27/$C$40*1000,3))))</f>
        <v> </v>
      </c>
    </row>
    <row r="28" spans="2:7" s="3" customFormat="1" ht="15.75">
      <c r="B28" s="74" t="str">
        <f>IF(inputPrYr!$B23&gt;"  ",inputPrYr!$B23,"  ")</f>
        <v>  </v>
      </c>
      <c r="C28" s="248" t="str">
        <f>IF(inputPrYr!C23&gt;0,inputPrYr!C23,"  ")</f>
        <v>  </v>
      </c>
      <c r="D28" s="249" t="str">
        <f>IF('Hall 9'!C81&gt;0,'Hall 9'!C81,"  ")</f>
        <v>  </v>
      </c>
      <c r="E28" s="695" t="str">
        <f>IF('Hall 9'!$E$73&lt;&gt;0,'Hall 9'!$E$73,"  ")</f>
        <v>  </v>
      </c>
      <c r="F28" s="695" t="str">
        <f>IF('Hall 9'!$E$80&lt;&gt;0,'Hall 9'!$E$80,"  ")</f>
        <v>  </v>
      </c>
      <c r="G28" s="696" t="str">
        <f>IF(AND('Hall 9'!$E$80=0,$C$40&gt;=0)," ",IF(AND(F28&gt;0,$C$40=0)," ",IF(AND(F28&gt;0,$C$40&gt;0),ROUND(F28/$C$40*1000,3))))</f>
        <v> </v>
      </c>
    </row>
    <row r="29" spans="2:7" s="3" customFormat="1" ht="15.75">
      <c r="B29" s="74" t="str">
        <f>IF(inputPrYr!$B24&gt;"  ",inputPrYr!$B24,"  ")</f>
        <v>  </v>
      </c>
      <c r="C29" s="248" t="str">
        <f>IF(inputPrYr!C24&gt;0,inputPrYr!C24,"  ")</f>
        <v>  </v>
      </c>
      <c r="D29" s="249">
        <f>IF(levypage10!C81&gt;0,levypage10!C81,"  ")</f>
        <v>10</v>
      </c>
      <c r="E29" s="695" t="str">
        <f>IF(levypage10!$E$33&lt;&gt;0,levypage10!$E$33,"  ")</f>
        <v>  </v>
      </c>
      <c r="F29" s="695" t="str">
        <f>IF(levypage10!$E$40&lt;&gt;0,levypage10!$E$40,"  ")</f>
        <v>  </v>
      </c>
      <c r="G29" s="696" t="str">
        <f>IF(AND(levypage10!$E$40=0,$C$40&gt;=0)," ",IF(AND(F29&gt;0,$C$40=0)," ",IF(AND(F29&gt;0,$C$40&gt;0),ROUND(F29/$C$40*1000,3))))</f>
        <v> </v>
      </c>
    </row>
    <row r="30" spans="2:7" s="3" customFormat="1" ht="15.75">
      <c r="B30" s="74" t="str">
        <f>IF(inputPrYr!$B25&gt;"  ",inputPrYr!$B25,"  ")</f>
        <v>  </v>
      </c>
      <c r="C30" s="248" t="str">
        <f>IF(inputPrYr!C25&gt;0,inputPrYr!C25,"  ")</f>
        <v>  </v>
      </c>
      <c r="D30" s="249">
        <f>IF(levypage10!C81&gt;0,levypage10!C81,"  ")</f>
        <v>10</v>
      </c>
      <c r="E30" s="695" t="str">
        <f>IF(levypage10!$E$73&lt;&gt;0,levypage10!$E$73,"  ")</f>
        <v>  </v>
      </c>
      <c r="F30" s="695" t="str">
        <f>IF(levypage10!$E$80&lt;&gt;0,levypage10!$E$80,"  ")</f>
        <v>  </v>
      </c>
      <c r="G30" s="696" t="str">
        <f>IF(AND(levypage10!$E$80=0,$C$40&gt;=0)," ",IF(AND(F30&gt;0,$C$40=0)," ",IF(AND(F30&gt;0,$C$40&gt;0),ROUND(F30/$C$40*1000,3))))</f>
        <v> </v>
      </c>
    </row>
    <row r="31" spans="2:7" s="3" customFormat="1" ht="15.75">
      <c r="B31" s="250" t="str">
        <f>IF(inputPrYr!$B29&gt;"  ",inputPrYr!$B29,"  ")</f>
        <v>  </v>
      </c>
      <c r="C31" s="251"/>
      <c r="D31" s="252">
        <f>IF(nolevypage11!$C$65&gt;0,nolevypage11!$C$65,"  ")</f>
        <v>11</v>
      </c>
      <c r="E31" s="695" t="str">
        <f>IF(nolevypage11!$E$28&lt;&gt;0,nolevypage11!$E$28,"  ")</f>
        <v>  </v>
      </c>
      <c r="F31" s="695"/>
      <c r="G31" s="696"/>
    </row>
    <row r="32" spans="2:7" s="3" customFormat="1" ht="15.75">
      <c r="B32" s="253" t="str">
        <f>IF(inputPrYr!$B30&gt;"  ",inputPrYr!$B30,"  ")</f>
        <v>  </v>
      </c>
      <c r="C32" s="14"/>
      <c r="D32" s="252">
        <f>IF(nolevypage11!$C$65&gt;0,nolevypage11!$C$65,"  ")</f>
        <v>11</v>
      </c>
      <c r="E32" s="695" t="str">
        <f>IF(nolevypage11!$E$59&lt;&gt;0,nolevypage11!$E$59,"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f>IF(road7!C67&gt;0,road7!C67,"  ")</f>
        <v>7</v>
      </c>
      <c r="E34" s="225"/>
      <c r="F34" s="225"/>
      <c r="G34" s="696"/>
    </row>
    <row r="35" spans="2:7" s="3" customFormat="1" ht="16.5" thickBot="1">
      <c r="B35" s="254" t="s">
        <v>265</v>
      </c>
      <c r="C35" s="255"/>
      <c r="D35" s="148" t="s">
        <v>266</v>
      </c>
      <c r="E35" s="697">
        <f>SUM(E21:E30)</f>
        <v>52150</v>
      </c>
      <c r="F35" s="697">
        <f>SUM(F21:F30)</f>
        <v>37949</v>
      </c>
      <c r="G35" s="698">
        <f>IF(SUM(G21:G30)&gt;0,SUM(G21:G30),"")</f>
      </c>
    </row>
    <row r="36" spans="2:4" s="3" customFormat="1" ht="16.5" thickTop="1">
      <c r="B36" s="16" t="s">
        <v>145</v>
      </c>
      <c r="C36" s="247"/>
      <c r="D36" s="252">
        <f>'summ 12'!D49</f>
        <v>12</v>
      </c>
    </row>
    <row r="37" spans="2:6" s="3" customFormat="1" ht="15.75">
      <c r="B37" s="737" t="s">
        <v>191</v>
      </c>
      <c r="C37" s="244"/>
      <c r="D37" s="736">
        <f>IF(nhood!C38&gt;0,nhood!C38,"")</f>
      </c>
      <c r="E37" s="738" t="s">
        <v>898</v>
      </c>
      <c r="F37" s="256" t="str">
        <f>IF(F35&gt;1000,IF(F35&gt;computation2!J41,"Yes","No"),"No")</f>
        <v>No</v>
      </c>
    </row>
    <row r="38" spans="2:6" s="3" customFormat="1" ht="15.75">
      <c r="B38" s="278"/>
      <c r="C38" s="255"/>
      <c r="D38" s="735"/>
      <c r="E38" s="257"/>
      <c r="F38" s="258"/>
    </row>
    <row r="39" spans="2:7" s="3" customFormat="1" ht="15.75">
      <c r="B39" s="53" t="s">
        <v>97</v>
      </c>
      <c r="C39" s="811" t="s">
        <v>115</v>
      </c>
      <c r="D39" s="812"/>
      <c r="E39" s="259"/>
      <c r="G39" s="11" t="s">
        <v>267</v>
      </c>
    </row>
    <row r="40" spans="2:7" s="3" customFormat="1" ht="15.75">
      <c r="B40" s="16" t="s">
        <v>98</v>
      </c>
      <c r="C40" s="813"/>
      <c r="D40" s="814"/>
      <c r="E40" s="260"/>
      <c r="G40" s="11"/>
    </row>
    <row r="41" spans="2:7" s="3" customFormat="1" ht="15.75">
      <c r="B41" s="261"/>
      <c r="C41" s="815" t="str">
        <f>CONCATENATE("Nov. 1, ",H1-1," Valuation")</f>
        <v>Nov. 1, 2014 Valuation</v>
      </c>
      <c r="D41" s="816"/>
      <c r="E41" s="259"/>
      <c r="G41" s="11"/>
    </row>
    <row r="42" spans="2:7" s="3" customFormat="1" ht="15.75">
      <c r="B42" s="261" t="s">
        <v>268</v>
      </c>
      <c r="E42" s="8"/>
      <c r="G42" s="11"/>
    </row>
    <row r="43" spans="2:7" s="3" customFormat="1" ht="15.75">
      <c r="B43" s="262" t="s">
        <v>942</v>
      </c>
      <c r="C43" s="262"/>
      <c r="E43" s="699" t="s">
        <v>812</v>
      </c>
      <c r="F43" s="699"/>
      <c r="G43" s="699"/>
    </row>
    <row r="44" spans="2:7" s="3" customFormat="1" ht="15.75">
      <c r="B44" s="263" t="s">
        <v>943</v>
      </c>
      <c r="C44" s="263"/>
      <c r="E44" s="700"/>
      <c r="F44" s="700"/>
      <c r="G44" s="700"/>
    </row>
    <row r="45" spans="2:7" s="3" customFormat="1" ht="15.75">
      <c r="B45" s="261" t="s">
        <v>124</v>
      </c>
      <c r="E45" s="699" t="s">
        <v>812</v>
      </c>
      <c r="F45" s="699"/>
      <c r="G45" s="699"/>
    </row>
    <row r="46" spans="2:7" s="3" customFormat="1" ht="15.75">
      <c r="B46" s="262" t="s">
        <v>944</v>
      </c>
      <c r="C46" s="262"/>
      <c r="D46" s="11"/>
      <c r="E46" s="699"/>
      <c r="F46" s="699"/>
      <c r="G46" s="699"/>
    </row>
    <row r="47" spans="2:7" s="3" customFormat="1" ht="15.75">
      <c r="B47" s="263" t="s">
        <v>945</v>
      </c>
      <c r="C47" s="263"/>
      <c r="D47" s="11"/>
      <c r="E47" s="699" t="s">
        <v>812</v>
      </c>
      <c r="F47" s="701"/>
      <c r="G47" s="701"/>
    </row>
    <row r="48" spans="2:8" ht="15.75">
      <c r="B48" s="261" t="s">
        <v>796</v>
      </c>
      <c r="C48" s="3"/>
      <c r="D48" s="11"/>
      <c r="E48" s="702"/>
      <c r="F48" s="699"/>
      <c r="G48" s="699"/>
      <c r="H48" s="79"/>
    </row>
    <row r="49" spans="2:8" ht="15.75">
      <c r="B49" s="262" t="s">
        <v>946</v>
      </c>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799" t="s">
        <v>269</v>
      </c>
      <c r="F54" s="800"/>
      <c r="G54" s="800"/>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SPRING CREEK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1"/>
      <c r="C3" s="801"/>
      <c r="D3" s="801"/>
      <c r="E3" s="801"/>
      <c r="F3" s="801"/>
      <c r="G3" s="801"/>
      <c r="H3" s="801"/>
      <c r="I3" s="801"/>
      <c r="J3" s="801"/>
    </row>
    <row r="4" spans="1:10" ht="15.75">
      <c r="A4" s="3"/>
      <c r="B4" s="3"/>
      <c r="C4" s="3"/>
      <c r="D4" s="3"/>
      <c r="E4" s="801"/>
      <c r="F4" s="801"/>
      <c r="G4" s="801"/>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37472</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37472</v>
      </c>
    </row>
    <row r="8" spans="1:10" ht="15.75">
      <c r="A8" s="3"/>
      <c r="B8" s="3"/>
      <c r="C8" s="3"/>
      <c r="D8" s="3"/>
      <c r="E8" s="44"/>
      <c r="F8" s="44"/>
      <c r="G8" s="44"/>
      <c r="H8" s="44"/>
      <c r="I8" s="44"/>
      <c r="J8" s="44"/>
    </row>
    <row r="9" spans="1:10" ht="15.75">
      <c r="A9" s="801" t="str">
        <f>CONCATENATE("",J1-1," Valuation Information for Valuation Adjustments")</f>
        <v>2014 Valuation Information for Valuation Adjustments</v>
      </c>
      <c r="B9" s="797"/>
      <c r="C9" s="797"/>
      <c r="D9" s="797"/>
      <c r="E9" s="797"/>
      <c r="F9" s="797"/>
      <c r="G9" s="797"/>
      <c r="H9" s="797"/>
      <c r="I9" s="797"/>
      <c r="J9" s="797"/>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17311</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93375</v>
      </c>
      <c r="F14" s="235"/>
      <c r="G14" s="44"/>
      <c r="H14" s="44"/>
      <c r="I14" s="42"/>
      <c r="J14" s="44"/>
    </row>
    <row r="15" spans="1:10" ht="15.75">
      <c r="A15" s="234"/>
      <c r="B15" s="3" t="s">
        <v>87</v>
      </c>
      <c r="C15" s="3" t="str">
        <f>CONCATENATE("Personal property ",J1-2,"")</f>
        <v>Personal property 2013</v>
      </c>
      <c r="D15" s="234" t="s">
        <v>82</v>
      </c>
      <c r="E15" s="238">
        <f>inputOth!E11</f>
        <v>101905</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2255</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19566</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1995830</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1976264</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0.00990049912359887</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371</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37843</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37843</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562.0799999999999</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38405.08</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SPRING CREEK TOWNSHIP</v>
      </c>
      <c r="C1" s="3"/>
      <c r="D1" s="3"/>
      <c r="E1" s="3"/>
      <c r="F1" s="3"/>
      <c r="G1" s="3"/>
      <c r="H1" s="3"/>
      <c r="I1" s="3"/>
      <c r="J1" s="4">
        <f>inputPrYr!D5</f>
        <v>2015</v>
      </c>
      <c r="K1" s="4"/>
      <c r="L1" s="79"/>
    </row>
    <row r="2" spans="2:12" ht="15.75">
      <c r="B2" s="2" t="str">
        <f>inputPrYr!D3</f>
        <v>GREENWOOD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0"/>
      <c r="D6" s="800"/>
      <c r="E6" s="800"/>
      <c r="F6" s="800"/>
      <c r="G6" s="800"/>
      <c r="H6" s="800"/>
      <c r="I6" s="800"/>
      <c r="J6" s="800"/>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2599</v>
      </c>
      <c r="E11" s="120">
        <f>IF(inputOth!D17&gt;0,inputOth!D17,"  ")</f>
        <v>1.381</v>
      </c>
      <c r="F11" s="690"/>
      <c r="G11" s="150">
        <f>IF(inputPrYr!E16=0,0,G23-SUM(G12:G20))</f>
        <v>152</v>
      </c>
      <c r="H11" s="691"/>
      <c r="I11" s="150">
        <f>IF(inputPrYr!E16=0,0,I25-SUM(I12:I20))</f>
        <v>5</v>
      </c>
      <c r="J11" s="150">
        <f>IF(inputPrYr!E16=0,0,J27-SUM(J12:J20))</f>
        <v>18</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27954</v>
      </c>
      <c r="E14" s="120">
        <f>IF(inputOth!D20&gt;0,inputOth!D20,"  ")</f>
        <v>14.858</v>
      </c>
      <c r="F14" s="690"/>
      <c r="G14" s="150">
        <f>IF(inputPrYr!E19=0,0,ROUND(D14*$G$30,0))</f>
        <v>1630</v>
      </c>
      <c r="H14" s="691"/>
      <c r="I14" s="150">
        <f>IF(inputPrYr!$E$19=0,0,ROUND($D$14*$I$32,0))</f>
        <v>51</v>
      </c>
      <c r="J14" s="150">
        <f>IF(inputPrYr!E19=0,0,ROUND($D14*$J$34,0))</f>
        <v>200</v>
      </c>
      <c r="K14" s="79"/>
      <c r="L14" s="79"/>
      <c r="M14" s="525"/>
    </row>
    <row r="15" spans="2:13" ht="15.75">
      <c r="B15" s="74" t="str">
        <f>IF(inputPrYr!$B20&gt;"  ",inputPrYr!$B20,"  ")</f>
        <v>Noxious Weed</v>
      </c>
      <c r="C15" s="223"/>
      <c r="D15" s="150">
        <f>IF(inputPrYr!E20&gt;=0,inputPrYr!E20,"  ")</f>
        <v>1219</v>
      </c>
      <c r="E15" s="120">
        <f>IF(inputOth!D21&gt;0,inputOth!D21,"  ")</f>
        <v>0.648</v>
      </c>
      <c r="F15" s="690"/>
      <c r="G15" s="150">
        <f>IF(inputPrYr!E20=0,0,ROUND(D15*$G$30,0))</f>
        <v>71</v>
      </c>
      <c r="H15" s="691"/>
      <c r="I15" s="150">
        <f>IF(inputPrYr!$E$20=0,0,ROUND($D$15*$I$32,0))</f>
        <v>2</v>
      </c>
      <c r="J15" s="150">
        <f>IF(inputPrYr!E20=0,0,ROUND($D15*$J$34,0))</f>
        <v>9</v>
      </c>
      <c r="K15" s="79"/>
      <c r="L15" s="79"/>
      <c r="M15" s="525"/>
    </row>
    <row r="16" spans="2:13" ht="15.75">
      <c r="B16" s="74" t="str">
        <f>IF(inputPrYr!$B21&gt;"  ",inputPrYr!$B21,"  ")</f>
        <v>Cemetery</v>
      </c>
      <c r="C16" s="223"/>
      <c r="D16" s="150">
        <f>IF(inputPrYr!E21&gt;=0,inputPrYr!E21,"  ")</f>
        <v>4295</v>
      </c>
      <c r="E16" s="120">
        <f>IF(inputOth!D22&gt;0,inputOth!D22,"  ")</f>
        <v>2.283</v>
      </c>
      <c r="F16" s="690"/>
      <c r="G16" s="150">
        <f>IF(inputPrYr!E21=0,0,ROUND(D16*$G$30,0))</f>
        <v>250</v>
      </c>
      <c r="H16" s="691"/>
      <c r="I16" s="150">
        <f>IF(inputPrYr!$E$21=0,0,ROUND($D$16*$I$32,0))</f>
        <v>8</v>
      </c>
      <c r="J16" s="150">
        <f>IF(inputPrYr!E21=0,0,ROUND($D16*$J$34,0))</f>
        <v>31</v>
      </c>
      <c r="K16" s="79"/>
      <c r="L16" s="79"/>
      <c r="M16" s="525"/>
    </row>
    <row r="17" spans="2:13" ht="15.75">
      <c r="B17" s="74" t="str">
        <f>IF(inputPrYr!$B22&gt;"  ",inputPrYr!$B22,"  ")</f>
        <v>Hall</v>
      </c>
      <c r="C17" s="223"/>
      <c r="D17" s="150">
        <f>IF(inputPrYr!E22&gt;=0,inputPrYr!E22,"  ")</f>
        <v>1405</v>
      </c>
      <c r="E17" s="120">
        <f>IF(inputOth!D23&gt;0,inputOth!D23,"  ")</f>
        <v>0.747</v>
      </c>
      <c r="F17" s="690"/>
      <c r="G17" s="150">
        <f>IF(inputPrYr!E22=0,0,ROUND(D17*$G$30,0))</f>
        <v>82</v>
      </c>
      <c r="H17" s="691"/>
      <c r="I17" s="150">
        <f>IF(inputPrYr!$E$22=0,0,ROUND($D$17*$I$32,0))</f>
        <v>3</v>
      </c>
      <c r="J17" s="150">
        <f>IF(inputPrYr!E22=0,0,ROUND($D17*$J$34,0))</f>
        <v>10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37472</v>
      </c>
      <c r="E21" s="693">
        <f>SUM(E11:E20)</f>
        <v>19.917</v>
      </c>
      <c r="F21" s="694"/>
      <c r="G21" s="692">
        <f>SUM(G11:G20)</f>
        <v>2185</v>
      </c>
      <c r="H21" s="692"/>
      <c r="I21" s="692">
        <f>SUM(I11:I20)</f>
        <v>69</v>
      </c>
      <c r="J21" s="692">
        <f>SUM(J11:J20)</f>
        <v>268</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2185</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69</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268</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0.058310204953031596</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0.0018413748932536293</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0.00715200683176772</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2">
      <selection activeCell="F17" sqref="F17"/>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SPRING CREEK TOWNSHIP</v>
      </c>
      <c r="B2" s="77"/>
      <c r="C2" s="3"/>
      <c r="D2" s="3"/>
      <c r="E2" s="41"/>
      <c r="F2" s="3"/>
    </row>
    <row r="3" spans="1:6" ht="15.75">
      <c r="A3" s="2"/>
      <c r="B3" s="77"/>
      <c r="C3" s="3"/>
      <c r="D3" s="3"/>
      <c r="E3" s="41"/>
      <c r="F3" s="3"/>
    </row>
    <row r="4" spans="1:6" ht="15.75">
      <c r="A4" s="2"/>
      <c r="B4" s="3"/>
      <c r="C4" s="3"/>
      <c r="D4" s="3"/>
      <c r="E4" s="41"/>
      <c r="F4" s="3"/>
    </row>
    <row r="5" spans="1:6" ht="15" customHeight="1">
      <c r="A5" s="801" t="s">
        <v>146</v>
      </c>
      <c r="B5" s="801"/>
      <c r="C5" s="801"/>
      <c r="D5" s="801"/>
      <c r="E5" s="801"/>
      <c r="F5" s="801"/>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gen6!$C$43</f>
        <v>0</v>
      </c>
      <c r="D11" s="212">
        <f>gen6!$D$43</f>
        <v>0</v>
      </c>
      <c r="E11" s="212">
        <f>gen6!$E$43</f>
        <v>0</v>
      </c>
      <c r="F11" s="62">
        <f>IF(C11+D11+E11&gt;0,"80-1406b","")</f>
      </c>
    </row>
    <row r="12" spans="1:6" ht="15" customHeight="1">
      <c r="A12" s="62" t="s">
        <v>225</v>
      </c>
      <c r="B12" s="62" t="s">
        <v>264</v>
      </c>
      <c r="C12" s="212">
        <f>gen6!$C$45</f>
        <v>0</v>
      </c>
      <c r="D12" s="212">
        <f>gen6!$D$45</f>
        <v>0</v>
      </c>
      <c r="E12" s="212">
        <f>gen6!$E$45</f>
        <v>0</v>
      </c>
      <c r="F12" s="62">
        <f>IF(C12+D12+E12&gt;0,"80-122","")</f>
      </c>
    </row>
    <row r="13" spans="1:6" ht="15" customHeight="1">
      <c r="A13" s="62" t="s">
        <v>251</v>
      </c>
      <c r="B13" s="62" t="s">
        <v>264</v>
      </c>
      <c r="C13" s="212">
        <f>road7!$C$38</f>
        <v>6725</v>
      </c>
      <c r="D13" s="212">
        <f>road7!$D$38</f>
        <v>0</v>
      </c>
      <c r="E13" s="212">
        <f>road7!$E$38</f>
        <v>0</v>
      </c>
      <c r="F13" s="62" t="str">
        <f>IF(C13+D13+E13&gt;0,"68-141g","")</f>
        <v>68-141g</v>
      </c>
    </row>
    <row r="14" spans="1:6" ht="15" customHeight="1">
      <c r="A14" s="213" t="s">
        <v>951</v>
      </c>
      <c r="B14" s="213" t="s">
        <v>264</v>
      </c>
      <c r="C14" s="214">
        <v>700</v>
      </c>
      <c r="D14" s="214"/>
      <c r="E14" s="214"/>
      <c r="F14" s="213" t="s">
        <v>970</v>
      </c>
    </row>
    <row r="15" spans="1:6" ht="15" customHeight="1">
      <c r="A15" s="213" t="s">
        <v>949</v>
      </c>
      <c r="B15" s="213" t="s">
        <v>264</v>
      </c>
      <c r="C15" s="214">
        <v>468</v>
      </c>
      <c r="D15" s="214"/>
      <c r="E15" s="214"/>
      <c r="F15" s="213" t="s">
        <v>970</v>
      </c>
    </row>
    <row r="16" spans="1:6" ht="15" customHeight="1">
      <c r="A16" s="213" t="s">
        <v>952</v>
      </c>
      <c r="B16" s="213" t="s">
        <v>264</v>
      </c>
      <c r="C16" s="214">
        <v>320</v>
      </c>
      <c r="D16" s="214"/>
      <c r="E16" s="214"/>
      <c r="F16" s="213" t="s">
        <v>970</v>
      </c>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8213</v>
      </c>
      <c r="D27" s="217">
        <f>SUM(D10:D26)</f>
        <v>0</v>
      </c>
      <c r="E27" s="217">
        <f>SUM(E10:E26)</f>
        <v>0</v>
      </c>
      <c r="F27" s="118"/>
    </row>
    <row r="28" spans="1:6" ht="15.75">
      <c r="A28" s="118"/>
      <c r="B28" s="216" t="s">
        <v>576</v>
      </c>
      <c r="C28" s="118"/>
      <c r="D28" s="213"/>
      <c r="E28" s="213"/>
      <c r="F28" s="118"/>
    </row>
    <row r="29" spans="1:6" ht="15.75">
      <c r="A29" s="118"/>
      <c r="B29" s="168" t="s">
        <v>154</v>
      </c>
      <c r="C29" s="218">
        <f>C27</f>
        <v>8213</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3">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2014-07-24T15:43:08Z</cp:lastPrinted>
  <dcterms:created xsi:type="dcterms:W3CDTF">1998-08-26T16:30:41Z</dcterms:created>
  <dcterms:modified xsi:type="dcterms:W3CDTF">2014-07-24T15:48:49Z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