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<sst xmlns="http://schemas.openxmlformats.org/spreadsheetml/2006/main" count="1575" uniqueCount="952">
  <si>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</si>
  <si>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</si>
  <si>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</si>
  <si>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</si>
  <si>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</si>
  <si>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</si>
  <si>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</si>
  <si>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</si>
  <si>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</si>
  <si>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</si>
  <si>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</si>
  <si>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</si>
  <si>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</si>
  <si>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</si>
  <si>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</si>
  <si>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</si>
  <si>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</si>
  <si>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</si>
  <si>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</si>
  <si>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</si>
  <si>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</si>
  <si>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</si>
  <si>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</si>
  <si>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</si>
  <si>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</si>
  <si>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</si>
  <si>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</si>
  <si>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</si>
  <si>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</si>
  <si>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</si>
  <si>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</si>
  <si>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</si>
  <si>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</si>
  <si>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</si>
  <si>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</si>
  <si>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</si>
  <si>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</si>
  <si>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</si>
  <si>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</si>
  <si>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</si>
  <si>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</si>
  <si>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</si>
  <si>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</si>
  <si>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</si>
  <si>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</si>
  <si>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</si>
  <si>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</si>
  <si>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</si>
  <si>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</si>
  <si>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</si>
  <si>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</si>
  <si>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</si>
  <si>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</si>
  <si>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</si>
  <si>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</si>
  <si>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</si>
  <si>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</si>
  <si>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</si>
  <si>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</si>
  <si>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</si>
  <si>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</si>
  <si>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</si>
  <si>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</si>
  <si>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</si>
  <si>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</si>
  <si>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</si>
  <si>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</si>
  <si>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</si>
  <si>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</si>
  <si>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</si>
  <si>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</si>
  <si>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</si>
  <si>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</si>
  <si>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</si>
  <si>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</si>
  <si>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</si>
  <si>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</si>
  <si>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</si>
  <si>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</si>
  <si>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</si>
  <si>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</si>
  <si>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</si>
  <si>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</si>
  <si>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</si>
  <si>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</si>
  <si>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</si>
  <si>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</si>
  <si>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</si>
  <si>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</si>
  <si>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</si>
  <si>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</si>
  <si>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</si>
  <si>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</si>
  <si>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</si>
  <si>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</si>
  <si>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</si>
  <si>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</si>
  <si>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</si>
  <si>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</si>
  <si>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</si>
  <si>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</si>
  <si>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</si>
  <si>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</si>
  <si>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</si>
  <si>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</si>
  <si>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</si>
  <si>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</si>
  <si>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</si>
  <si>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</si>
  <si>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</si>
  <si>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</si>
  <si>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</si>
  <si>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</si>
  <si>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</si>
  <si>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</si>
  <si>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</si>
  <si>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</si>
  <si>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</si>
  <si>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</si>
  <si>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</si>
  <si>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</si>
  <si>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</si>
  <si>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</si>
  <si>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</si>
  <si>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</si>
  <si>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</si>
  <si>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</si>
  <si>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</si>
  <si>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</si>
  <si>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</si>
  <si>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</si>
  <si>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</si>
  <si>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</si>
  <si>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</si>
  <si>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</si>
  <si>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</si>
  <si>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</si>
  <si>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</si>
  <si>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</si>
  <si>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</si>
  <si>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</si>
  <si>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</si>
  <si>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</si>
  <si>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</si>
  <si>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</si>
  <si>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</si>
  <si>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</si>
  <si>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</si>
  <si>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</si>
  <si>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</si>
  <si>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</si>
  <si>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</si>
  <si>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</si>
  <si>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</si>
  <si>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</si>
  <si>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</si>
  <si>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</si>
  <si>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</si>
  <si>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</si>
  <si>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</si>
  <si>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</si>
  <si>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</si>
  <si>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</si>
  <si>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</si>
  <si>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</si>
  <si>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</si>
  <si>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</si>
  <si>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</si>
  <si>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</si>
  <si>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</si>
  <si>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</si>
  <si>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</si>
  <si>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</si>
  <si>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</si>
  <si>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</si>
  <si>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</si>
  <si>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</si>
  <si>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</si>
  <si>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</si>
  <si>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</si>
  <si>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</si>
  <si>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</si>
  <si>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</si>
  <si>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</si>
  <si>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</si>
  <si>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</si>
  <si>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</si>
  <si>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</si>
  <si>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</si>
  <si>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</si>
  <si>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</si>
  <si>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</si>
  <si>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</si>
  <si>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</si>
  <si>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</si>
  <si>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</si>
  <si>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</si>
  <si>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</si>
  <si>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</si>
  <si>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</si>
  <si>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</si>
  <si>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</si>
  <si>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</si>
  <si>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</si>
  <si>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</si>
  <si>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</si>
  <si>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</si>
  <si>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</si>
  <si>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</si>
  <si>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</si>
  <si>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</si>
  <si>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</si>
  <si>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</si>
  <si>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</si>
  <si>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</si>
  <si>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</si>
  <si>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</si>
  <si>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</si>
  <si>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</si>
  <si>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</si>
  <si>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</si>
  <si>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</si>
  <si>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</si>
  <si>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</si>
  <si>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</si>
  <si>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</si>
  <si>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</si>
  <si>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</si>
  <si>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</si>
  <si>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</si>
  <si>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</si>
  <si>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</si>
  <si>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</si>
  <si>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</si>
  <si>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</si>
  <si>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</si>
  <si>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</si>
  <si>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</si>
  <si>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</si>
  <si>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</si>
  <si>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</si>
  <si>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</si>
  <si>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</si>
  <si>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</si>
  <si>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</si>
  <si>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</si>
  <si>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</si>
  <si>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</si>
  <si>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</si>
  <si>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</si>
  <si>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</si>
  <si>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</si>
  <si>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</si>
  <si>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</si>
  <si>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</si>
  <si>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</si>
  <si>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</si>
  <si>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</si>
  <si>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</si>
  <si>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</si>
  <si>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</si>
  <si>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</si>
  <si>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</si>
  <si>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</si>
  <si>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</si>
  <si>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</si>
  <si>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</si>
  <si>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</si>
  <si>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</si>
  <si>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</si>
  <si>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</si>
  <si>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</si>
  <si>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</si>
  <si>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</si>
  <si>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</si>
  <si>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</si>
  <si>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</si>
  <si>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</si>
  <si>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</si>
  <si>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</si>
  <si>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</si>
  <si>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</si>
  <si>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</si>
  <si>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</si>
  <si>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</si>
  <si>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</si>
  <si>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</si>
  <si>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</si>
  <si>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</si>
  <si>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</si>
  <si>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</si>
  <si>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</si>
  <si>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</si>
  <si>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</si>
  <si>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</si>
  <si>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</si>
  <si>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</si>
  <si>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</si>
  <si>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</si>
  <si>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</si>
  <si>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</si>
  <si>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</si>
  <si>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</si>
  <si>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</si>
  <si>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</si>
  <si>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</si>
  <si>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</si>
  <si>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</si>
  <si>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</si>
  <si>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</si>
  <si>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</si>
  <si>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</si>
  <si>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</si>
  <si>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</si>
  <si>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</si>
  <si>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</si>
  <si>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</si>
  <si>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</si>
  <si>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</si>
  <si>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</si>
  <si>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</si>
  <si>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</si>
  <si>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</si>
  <si>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</si>
  <si>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</si>
  <si>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</si>
  <si>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</si>
  <si>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</si>
  <si>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</si>
  <si>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</si>
  <si>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</si>
  <si>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</si>
  <si>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</si>
  <si>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</si>
  <si>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</si>
  <si>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</si>
  <si>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</si>
  <si>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</si>
  <si>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</si>
  <si>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</si>
  <si>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</si>
  <si>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</si>
  <si>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</si>
  <si>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</si>
  <si>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</si>
  <si>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</si>
  <si>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</si>
  <si>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</si>
  <si>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</si>
  <si>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</si>
  <si>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</si>
  <si>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</si>
  <si>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</si>
  <si>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</si>
  <si>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</si>
  <si>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</si>
  <si>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</si>
  <si>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</si>
  <si>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</si>
  <si>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</si>
  <si>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</si>
  <si>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</si>
  <si>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</si>
  <si>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</si>
  <si>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</si>
  <si>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</si>
  <si>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</si>
  <si>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</si>
  <si>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</si>
  <si>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</si>
  <si>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</si>
  <si>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</si>
  <si>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</si>
  <si>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</si>
  <si>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</si>
  <si>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</si>
  <si>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</si>
  <si>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</si>
  <si>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</si>
  <si>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</si>
  <si>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</si>
  <si>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</si>
  <si>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</si>
  <si>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</si>
  <si>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</si>
  <si>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</si>
  <si>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</si>
  <si>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</si>
  <si>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</si>
  <si>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</si>
  <si>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</si>
  <si>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</si>
  <si>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</si>
  <si>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</si>
  <si>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</si>
  <si>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</si>
  <si>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</si>
  <si>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</si>
  <si>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</si>
  <si>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</si>
  <si>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</si>
  <si>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</si>
  <si>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</si>
  <si>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</si>
  <si>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</si>
  <si>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</si>
  <si>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</si>
  <si>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</si>
  <si>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</si>
  <si>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</si>
  <si>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</si>
  <si>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</si>
  <si>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</si>
  <si>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</si>
  <si>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</si>
  <si>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</si>
  <si>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</si>
  <si>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</si>
  <si>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</si>
  <si>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</si>
  <si>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</si>
  <si>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</si>
  <si>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</si>
  <si>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</si>
  <si>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</si>
  <si>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</si>
  <si>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</si>
  <si>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</si>
  <si>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</si>
  <si>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</si>
  <si>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</si>
  <si>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</si>
  <si>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</si>
  <si>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</si>
  <si>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</si>
  <si>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</si>
  <si>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</si>
  <si>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</si>
  <si>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</si>
  <si>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</si>
  <si>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</si>
  <si>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</si>
  <si>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</si>
  <si>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</si>
  <si>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</si>
  <si>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</si>
  <si>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</si>
  <si>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</si>
  <si>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</si>
  <si>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</si>
  <si>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</si>
  <si>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</si>
  <si>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</si>
  <si>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</si>
  <si>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</si>
  <si>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</si>
  <si>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</si>
  <si>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</si>
  <si>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</si>
  <si>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</si>
  <si>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</si>
  <si>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</si>
  <si>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</si>
  <si>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</si>
  <si>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</si>
  <si>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</si>
  <si>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</si>
  <si>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</si>
  <si>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</si>
  <si>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</si>
  <si>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</si>
  <si>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</si>
  <si>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</si>
  <si>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</si>
  <si>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</si>
  <si>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</si>
  <si>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</si>
  <si>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</si>
  <si>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</si>
  <si>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</si>
  <si>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</si>
  <si>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</si>
  <si>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</si>
  <si>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</si>
  <si>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</si>
  <si>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</si>
  <si>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</si>
  <si>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</si>
  <si>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</si>
  <si>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</si>
  <si>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</si>
  <si>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</si>
  <si>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</si>
  <si>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</si>
  <si>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</si>
  <si>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</si>
  <si>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</si>
  <si>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</si>
  <si>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</si>
  <si>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</si>
  <si>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</si>
  <si>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</si>
  <si>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</si>
  <si>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</si>
  <si>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</si>
  <si>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</si>
  <si>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</si>
  <si>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</si>
  <si>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</si>
  <si>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</si>
  <si>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</si>
  <si>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</si>
  <si>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</si>
  <si>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</si>
  <si>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</si>
  <si>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</si>
  <si>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</si>
  <si>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</si>
  <si>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</si>
  <si>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</si>
  <si>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</si>
  <si>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</si>
  <si>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</si>
  <si>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</si>
  <si>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</si>
  <si>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</si>
  <si>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</si>
  <si>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</si>
  <si>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</si>
  <si>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</si>
  <si>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</si>
  <si>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</si>
  <si>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</si>
  <si>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</si>
  <si>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</si>
  <si>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</si>
  <si>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</si>
  <si>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</si>
  <si>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</si>
  <si>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</si>
  <si>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</si>
  <si>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</si>
  <si>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</si>
  <si>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</si>
  <si>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</si>
  <si>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</si>
  <si>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</si>
  <si>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</si>
  <si>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</si>
  <si>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</si>
  <si>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</si>
  <si>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</si>
  <si>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</si>
  <si>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</si>
  <si>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</si>
  <si>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</si>
  <si>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</si>
  <si>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</si>
  <si>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</si>
  <si>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</si>
  <si>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</si>
  <si>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</si>
  <si>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</si>
  <si>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</si>
  <si>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</si>
  <si>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</si>
  <si>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</si>
  <si>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</si>
  <si>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</si>
  <si>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</si>
  <si>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</si>
  <si>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</si>
  <si>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</si>
  <si>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</si>
  <si>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</si>
  <si>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</si>
  <si>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</si>
  <si>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</si>
  <si>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</si>
  <si>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</si>
  <si>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</si>
  <si>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</si>
  <si>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</si>
  <si>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</si>
  <si>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</si>
  <si>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</si>
  <si>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</si>
  <si>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</si>
  <si>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</si>
  <si>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</si>
  <si>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</si>
  <si>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</si>
  <si>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</si>
  <si>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</si>
  <si>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</si>
  <si>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</si>
  <si>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</si>
  <si>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</si>
  <si>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</si>
  <si>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</si>
  <si>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</si>
  <si>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</si>
  <si>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</si>
  <si>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</si>
  <si>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</si>
  <si>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</si>
  <si>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</si>
  <si>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</si>
  <si>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</si>
  <si>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</si>
  <si>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</si>
  <si>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</si>
  <si>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</si>
  <si>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</si>
  <si>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</si>
  <si>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</si>
  <si>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</si>
  <si>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</si>
  <si>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</si>
  <si>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</si>
  <si>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</si>
  <si>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</si>
  <si>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</si>
  <si>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</si>
  <si>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</si>
  <si>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</si>
  <si>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</si>
  <si>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</si>
  <si>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</si>
  <si>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</si>
  <si>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</si>
  <si>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</si>
  <si>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</si>
  <si>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</si>
  <si>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</si>
  <si>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</si>
  <si>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</si>
  <si>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</si>
  <si>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</si>
  <si>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</si>
  <si>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</si>
  <si>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</si>
  <si>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</si>
  <si>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</si>
  <si>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</si>
  <si>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</si>
  <si>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</si>
  <si>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</si>
  <si>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</si>
  <si>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</si>
  <si>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</si>
  <si>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</si>
  <si>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</si>
  <si>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</si>
  <si>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</si>
  <si>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</si>
  <si>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</si>
  <si>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</si>
  <si>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</si>
  <si>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</si>
  <si>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</si>
  <si>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</si>
  <si>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</si>
  <si>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</si>
  <si>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</si>
  <si>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</si>
  <si>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</si>
  <si>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</si>
  <si>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</si>
  <si>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</si>
  <si>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</si>
  <si>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</si>
  <si>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</si>
  <si>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</si>
  <si>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</si>
  <si>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</si>
  <si>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</si>
  <si>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</si>
  <si>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</si>
  <si>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</si>
  <si>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</si>
  <si>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</si>
  <si>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</si>
  <si>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</si>
  <si>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</si>
  <si>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</si>
  <si>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</si>
  <si>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</si>
  <si>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</si>
  <si>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</si>
  <si>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</si>
  <si>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</si>
  <si>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</si>
  <si>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</si>
  <si>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</si>
  <si>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</si>
  <si>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</si>
  <si>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</si>
  <si>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</si>
  <si>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</si>
  <si>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</si>
  <si>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</si>
  <si>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</si>
  <si>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</si>
  <si>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</si>
  <si>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</si>
  <si>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</si>
  <si>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</si>
  <si>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</si>
  <si>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</si>
  <si>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</si>
  <si>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</si>
  <si>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</si>
  <si>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</si>
  <si>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</si>
  <si>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</si>
  <si>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</si>
  <si>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</si>
  <si>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</si>
  <si>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</si>
  <si>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</si>
  <si>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</si>
  <si>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</si>
  <si>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</si>
  <si>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</si>
  <si>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</si>
  <si>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</si>
  <si>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</si>
  <si>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</si>
  <si>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</si>
  <si>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</si>
  <si>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</si>
  <si>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</si>
  <si>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</si>
  <si>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</si>
  <si>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</si>
  <si>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</si>
  <si>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</si>
  <si>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</si>
  <si>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</si>
  <si>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</si>
  <si>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</si>
  <si>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</si>
  <si>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</si>
  <si>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</si>
  <si>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</si>
  <si>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</si>
  <si>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</si>
  <si>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</si>
  <si>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</si>
  <si>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</si>
  <si>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</si>
  <si>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</si>
  <si>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</si>
  <si>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</si>
  <si>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</si>
  <si>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</si>
  <si>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</si>
  <si>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</si>
  <si>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</si>
  <si>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</si>
  <si>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</si>
  <si>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</si>
  <si>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</si>
  <si>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</si>
  <si>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</si>
  <si>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</si>
  <si>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</si>
  <si>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</si>
  <si>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</si>
  <si>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</si>
  <si>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</si>
  <si>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</si>
  <si>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</si>
  <si>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</si>
  <si>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</si>
  <si>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</si>
  <si>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</si>
  <si>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</si>
  <si>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</si>
  <si>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</si>
  <si>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</si>
  <si>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</si>
  <si>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</si>
  <si>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</si>
  <si>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</si>
  <si>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</si>
  <si>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</si>
  <si>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</si>
  <si>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</si>
  <si>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</si>
  <si>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</si>
  <si>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</si>
  <si>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</si>
  <si>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</si>
  <si>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</si>
  <si>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</si>
  <si>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</si>
  <si>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</si>
  <si>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</si>
  <si>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</si>
  <si>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</si>
  <si>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</si>
  <si>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</si>
  <si>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</si>
  <si>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</si>
  <si>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</si>
  <si>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</si>
  <si>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</si>
  <si>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</si>
  <si>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</si>
  <si>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</si>
  <si>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</si>
  <si>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</si>
  <si>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</si>
  <si>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</si>
  <si>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</si>
  <si>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</si>
  <si>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</si>
  <si>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</si>
  <si>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</si>
  <si>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</si>
  <si>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</si>
  <si>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</si>
  <si>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</si>
  <si>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</si>
  <si>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</si>
  <si>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</si>
  <si>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</si>
  <si>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</si>
  <si>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</si>
  <si>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</si>
  <si>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</si>
  <si>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</si>
  <si>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</si>
  <si>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</si>
  <si>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</si>
  <si>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</si>
  <si>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</si>
  <si>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</si>
  <si>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</si>
  <si>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</si>
  <si>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</si>
  <si>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</si>
  <si>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</si>
  <si>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</si>
  <si>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</si>
  <si>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</si>
  <si>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</si>
  <si>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</si>
  <si>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</si>
  <si>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</si>
  <si>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</si>
  <si>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</si>
  <si>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</si>
  <si>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</si>
  <si>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</si>
  <si>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</si>
  <si>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</si>
  <si>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</si>
  <si>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</si>
  <si>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</si>
  <si>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</si>
  <si>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</si>
  <si>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</si>
  <si>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</si>
  <si>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</si>
  <si>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</si>
  <si>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</si>
  <si>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</si>
  <si>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</si>
  <si>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</si>
  <si>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</si>
  <si>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</si>
  <si>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</si>
  <si>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</si>
  <si>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</si>
  <si>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</si>
  <si>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</si>
  <si>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</si>
  <si>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</si>
  <si>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</si>
  <si>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</si>
  <si>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</si>
  <si>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</si>
  <si>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</si>
  <si>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</si>
  <si>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</si>
  <si>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</si>
  <si>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</si>
  <si>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</si>
  <si>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</si>
  <si>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</si>
  <si>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</si>
  <si>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</si>
  <si>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</si>
  <si>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</si>
  <si>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</si>
  <si>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</si>
  <si>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</si>
  <si>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</si>
  <si>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</si>
  <si>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</si>
  <si>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</si>
  <si>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</si>
  <si>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</si>
  <si>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</si>
  <si>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</si>
  <si>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</si>
  <si>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</si>
  <si>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</si>
  <si>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</si>
  <si>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</si>
  <si>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</si>
  <si>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</si>
  <si>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</si>
  <si>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</si>
  <si>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</si>
  <si>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</si>
  <si>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</si>
  <si>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</si>
  <si>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</si>
  <si>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</si>
  <si>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</si>
  <si>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</si>
  <si>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</si>
  <si>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</si>
  <si>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</si>
  <si>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</si>
  <si>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</si>
  <si>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</si>
  <si>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</si>
  <si>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</si>
  <si>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</si>
  <si>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</si>
  <si>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</si>
  <si>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</si>
  <si>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</si>
  <si>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</si>
  <si>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</si>
  <si>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</si>
  <si>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Rice County</t>
  </si>
  <si>
    <t>Rockville Township</t>
  </si>
  <si>
    <t>none</t>
  </si>
  <si>
    <t>CAT Grader</t>
  </si>
  <si>
    <t>Nathan Olander</t>
  </si>
  <si>
    <t>Treasurer</t>
  </si>
  <si>
    <t>the Rice County Clerk's Office</t>
  </si>
  <si>
    <t>August 11, 2014</t>
  </si>
  <si>
    <t>8:00 a.m.</t>
  </si>
  <si>
    <t>Nathan Olander Residence</t>
  </si>
  <si>
    <t xml:space="preserve">Notice of Vote Publication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</si>
</sst>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940</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I25" sqref="I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Rockville Township</v>
      </c>
      <c r="C1" s="156"/>
      <c r="D1" s="156"/>
      <c r="E1" s="156"/>
      <c r="F1" s="156"/>
      <c r="G1" s="156"/>
      <c r="H1" s="156"/>
      <c r="I1" s="156"/>
      <c r="J1" s="3"/>
      <c r="K1" s="3"/>
      <c r="L1" s="4">
        <f>inputPrYr!D5</f>
        <v>2015</v>
      </c>
    </row>
    <row r="2" spans="2:12" ht="15.75">
      <c r="B2" s="155" t="str">
        <f>inputPrYr!$D$3</f>
        <v>Rice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943</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943</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797"/>
      <c r="D18" s="797"/>
      <c r="E18" s="797"/>
      <c r="F18" s="797"/>
      <c r="G18" s="797"/>
      <c r="H18" s="797"/>
      <c r="I18" s="797"/>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t="s">
        <v>944</v>
      </c>
      <c r="C24" s="174">
        <v>39832</v>
      </c>
      <c r="D24" s="193">
        <v>60</v>
      </c>
      <c r="E24" s="175">
        <v>4.75</v>
      </c>
      <c r="F24" s="23">
        <v>119138</v>
      </c>
      <c r="G24" s="23">
        <v>44857</v>
      </c>
      <c r="H24" s="23">
        <v>10000</v>
      </c>
      <c r="I24" s="23">
        <v>12273</v>
      </c>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44857</v>
      </c>
      <c r="H36" s="183">
        <f>SUM(H24:H35)</f>
        <v>10000</v>
      </c>
      <c r="I36" s="183">
        <f>SUM(I24:I35)</f>
        <v>12273</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729</v>
      </c>
      <c r="C2" s="827"/>
      <c r="D2" s="827"/>
      <c r="E2" s="827"/>
      <c r="F2" s="827"/>
      <c r="G2" s="827"/>
      <c r="H2" s="827"/>
      <c r="I2" s="827"/>
    </row>
    <row r="3" spans="2:9" ht="15.75">
      <c r="B3" s="827" t="s">
        <v>730</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Rockville Township</v>
      </c>
      <c r="C7" s="531"/>
      <c r="D7" s="531"/>
      <c r="E7" s="531"/>
      <c r="F7" s="531"/>
      <c r="G7" s="531"/>
      <c r="H7" s="531"/>
      <c r="I7" s="531"/>
    </row>
    <row r="8" spans="2:9" ht="15.75">
      <c r="B8" s="532" t="str">
        <f>inputPrYr!D3</f>
        <v>Rice County</v>
      </c>
      <c r="C8" s="531"/>
      <c r="D8" s="531"/>
      <c r="E8" s="531"/>
      <c r="F8" s="531"/>
      <c r="G8" s="531"/>
      <c r="H8" s="531"/>
      <c r="I8" s="531"/>
    </row>
    <row r="9" spans="2:9" ht="15.75">
      <c r="B9" s="531"/>
      <c r="C9" s="531"/>
      <c r="D9" s="531"/>
      <c r="E9" s="531"/>
      <c r="F9" s="531"/>
      <c r="G9" s="531"/>
      <c r="H9" s="531"/>
      <c r="I9" s="531"/>
    </row>
    <row r="10" spans="2:9" ht="39" customHeight="1">
      <c r="B10" s="829" t="s">
        <v>731</v>
      </c>
      <c r="C10" s="829"/>
      <c r="D10" s="829"/>
      <c r="E10" s="829"/>
      <c r="F10" s="829"/>
      <c r="G10" s="829"/>
      <c r="H10" s="829"/>
      <c r="I10" s="829"/>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2342973</v>
      </c>
      <c r="F27" s="531"/>
      <c r="G27" s="536">
        <f>summ!G37</f>
        <v>2386383</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743</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745</v>
      </c>
      <c r="C43" s="831"/>
      <c r="D43" s="831"/>
      <c r="E43" s="831"/>
      <c r="F43" s="831"/>
      <c r="G43" s="831"/>
      <c r="H43" s="831"/>
      <c r="I43" s="831"/>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B1" sqref="B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Rockville 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760</v>
      </c>
      <c r="D6" s="364">
        <f>C51</f>
        <v>184</v>
      </c>
      <c r="E6" s="21">
        <f>D51</f>
        <v>131</v>
      </c>
    </row>
    <row r="7" spans="2:5" ht="15.75">
      <c r="B7" s="16" t="s">
        <v>111</v>
      </c>
      <c r="C7" s="364"/>
      <c r="D7" s="364"/>
      <c r="E7" s="22"/>
    </row>
    <row r="8" spans="2:5" ht="15.75">
      <c r="B8" s="16" t="s">
        <v>16</v>
      </c>
      <c r="C8" s="18">
        <v>4899</v>
      </c>
      <c r="D8" s="364">
        <f>IF(inputPrYr!H15&gt;0,inputPrYr!G16,inputPrYr!E16)</f>
        <v>5541</v>
      </c>
      <c r="E8" s="22" t="s">
        <v>266</v>
      </c>
    </row>
    <row r="9" spans="2:5" ht="15.75">
      <c r="B9" s="16" t="s">
        <v>17</v>
      </c>
      <c r="C9" s="18">
        <v>31</v>
      </c>
      <c r="D9" s="18"/>
      <c r="E9" s="23"/>
    </row>
    <row r="10" spans="2:5" ht="15.75">
      <c r="B10" s="16" t="s">
        <v>18</v>
      </c>
      <c r="C10" s="18">
        <v>376</v>
      </c>
      <c r="D10" s="18">
        <v>351</v>
      </c>
      <c r="E10" s="21">
        <f>mvalloc!G11</f>
        <v>430</v>
      </c>
    </row>
    <row r="11" spans="2:5" ht="15.75">
      <c r="B11" s="16" t="s">
        <v>19</v>
      </c>
      <c r="C11" s="18">
        <v>8</v>
      </c>
      <c r="D11" s="18">
        <v>6</v>
      </c>
      <c r="E11" s="21">
        <f>mvalloc!I11</f>
        <v>11</v>
      </c>
    </row>
    <row r="12" spans="2:5" ht="15.75">
      <c r="B12" s="24" t="s">
        <v>69</v>
      </c>
      <c r="C12" s="18">
        <v>20</v>
      </c>
      <c r="D12" s="18">
        <v>24</v>
      </c>
      <c r="E12" s="21">
        <f>mvalloc!J11</f>
        <v>15</v>
      </c>
    </row>
    <row r="13" spans="2:5" ht="15.75">
      <c r="B13" s="24" t="s">
        <v>138</v>
      </c>
      <c r="C13" s="18">
        <v>0</v>
      </c>
      <c r="D13" s="18">
        <v>0</v>
      </c>
      <c r="E13" s="21">
        <f>inputOth!E35</f>
        <v>0</v>
      </c>
    </row>
    <row r="14" spans="2:5" ht="15.75">
      <c r="B14" s="16" t="s">
        <v>20</v>
      </c>
      <c r="C14" s="18">
        <v>790</v>
      </c>
      <c r="D14" s="18">
        <v>725</v>
      </c>
      <c r="E14" s="21">
        <f>inputOth!E12</f>
        <v>83</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6124</v>
      </c>
      <c r="D26" s="366">
        <f>SUM(D8:D24)</f>
        <v>6647</v>
      </c>
      <c r="E26" s="31">
        <f>SUM(E8:E24)</f>
        <v>539</v>
      </c>
    </row>
    <row r="27" spans="2:5" ht="15.75">
      <c r="B27" s="32" t="s">
        <v>24</v>
      </c>
      <c r="C27" s="366">
        <f>C26+C6</f>
        <v>6884</v>
      </c>
      <c r="D27" s="366">
        <f>D26+D6</f>
        <v>6831</v>
      </c>
      <c r="E27" s="31">
        <f>E26+E6</f>
        <v>670</v>
      </c>
    </row>
    <row r="28" spans="2:5" ht="15.75">
      <c r="B28" s="16" t="s">
        <v>25</v>
      </c>
      <c r="C28" s="364"/>
      <c r="D28" s="364"/>
      <c r="E28" s="21"/>
    </row>
    <row r="29" spans="2:5" ht="15.75">
      <c r="B29" s="26"/>
      <c r="C29" s="18"/>
      <c r="D29" s="18"/>
      <c r="E29" s="23"/>
    </row>
    <row r="30" spans="2:5" ht="15.75">
      <c r="B30" s="27" t="s">
        <v>101</v>
      </c>
      <c r="C30" s="18">
        <v>914</v>
      </c>
      <c r="D30" s="18">
        <v>1000</v>
      </c>
      <c r="E30" s="23">
        <v>1000</v>
      </c>
    </row>
    <row r="31" spans="2:5" ht="15.75">
      <c r="B31" s="27" t="s">
        <v>116</v>
      </c>
      <c r="C31" s="18">
        <v>0</v>
      </c>
      <c r="D31" s="18">
        <v>0</v>
      </c>
      <c r="E31" s="23">
        <v>0</v>
      </c>
    </row>
    <row r="32" spans="2:5" ht="15.75">
      <c r="B32" s="27" t="s">
        <v>102</v>
      </c>
      <c r="C32" s="18">
        <v>899</v>
      </c>
      <c r="D32" s="18">
        <v>1000</v>
      </c>
      <c r="E32" s="23">
        <v>1000</v>
      </c>
    </row>
    <row r="33" spans="2:5" ht="15.75">
      <c r="B33" s="27" t="s">
        <v>36</v>
      </c>
      <c r="C33" s="18">
        <v>81</v>
      </c>
      <c r="D33" s="18">
        <v>100</v>
      </c>
      <c r="E33" s="23">
        <v>100</v>
      </c>
    </row>
    <row r="34" spans="2:5" ht="15.75">
      <c r="B34" s="26" t="s">
        <v>103</v>
      </c>
      <c r="C34" s="18">
        <v>0</v>
      </c>
      <c r="D34" s="18">
        <v>700</v>
      </c>
      <c r="E34" s="23">
        <v>700</v>
      </c>
    </row>
    <row r="35" spans="2:5" ht="15.75">
      <c r="B35" s="26" t="s">
        <v>117</v>
      </c>
      <c r="C35" s="18">
        <v>0</v>
      </c>
      <c r="D35" s="18">
        <v>400</v>
      </c>
      <c r="E35" s="23">
        <v>400</v>
      </c>
    </row>
    <row r="36" spans="2:5" ht="15.75">
      <c r="B36" s="27" t="s">
        <v>119</v>
      </c>
      <c r="C36" s="18">
        <v>3712</v>
      </c>
      <c r="D36" s="18">
        <v>3300</v>
      </c>
      <c r="E36" s="23">
        <v>3300</v>
      </c>
    </row>
    <row r="37" spans="2:5" ht="15.75">
      <c r="B37" s="27" t="s">
        <v>65</v>
      </c>
      <c r="C37" s="18">
        <v>770</v>
      </c>
      <c r="D37" s="18">
        <v>200</v>
      </c>
      <c r="E37" s="23">
        <v>200</v>
      </c>
    </row>
    <row r="38" spans="2:5" ht="15.75">
      <c r="B38" s="26" t="s">
        <v>788</v>
      </c>
      <c r="C38" s="18">
        <v>324</v>
      </c>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6700</v>
      </c>
      <c r="D50" s="358">
        <f>SUM(D29:D48)</f>
        <v>6700</v>
      </c>
      <c r="E50" s="36">
        <f>SUM(E29:E43,E45,E47:E48)</f>
        <v>6700</v>
      </c>
      <c r="G50" s="459">
        <f>D51</f>
        <v>131</v>
      </c>
      <c r="H50" s="460" t="str">
        <f>CONCATENATE("",E1-1," Ending Cash Balance (est.)")</f>
        <v>2014 Ending Cash Balance (est.)</v>
      </c>
      <c r="I50" s="461"/>
      <c r="J50" s="245"/>
    </row>
    <row r="51" spans="2:10" ht="15.75">
      <c r="B51" s="16" t="s">
        <v>110</v>
      </c>
      <c r="C51" s="359">
        <f>C27-C50</f>
        <v>184</v>
      </c>
      <c r="D51" s="359">
        <f>SUM(D27-D50)</f>
        <v>131</v>
      </c>
      <c r="E51" s="22" t="s">
        <v>266</v>
      </c>
      <c r="G51" s="459">
        <f>E26</f>
        <v>539</v>
      </c>
      <c r="H51" s="462" t="str">
        <f>CONCATENATE("",E1," Non-AV Receipts (est.)")</f>
        <v>2015 Non-AV Receipts (est.)</v>
      </c>
      <c r="I51" s="461"/>
      <c r="J51" s="245"/>
    </row>
    <row r="52" spans="2:11" ht="15.75">
      <c r="B52" s="266" t="str">
        <f>CONCATENATE("",E1-2,"/",E1-1,"/",E1," Budget Authority Amount:")</f>
        <v>2013/2014/2015 Budget Authority Amount:</v>
      </c>
      <c r="C52" s="52">
        <f>inputOth!B46</f>
        <v>6700</v>
      </c>
      <c r="D52" s="52">
        <f>inputPrYr!D16</f>
        <v>6700</v>
      </c>
      <c r="E52" s="21">
        <f>E50</f>
        <v>6700</v>
      </c>
      <c r="F52" s="39"/>
      <c r="G52" s="463">
        <f>IF(D56&gt;0,E55,E57)</f>
        <v>6030</v>
      </c>
      <c r="H52" s="462" t="str">
        <f>CONCATENATE("",E1," Ad Valorem Tax (est.)")</f>
        <v>2015 Ad Valorem Tax (est.)</v>
      </c>
      <c r="I52" s="461"/>
      <c r="J52" s="245"/>
      <c r="K52" s="674" t="str">
        <f>IF(G52=E57,"","Note: Does not include Delinquent Taxes")</f>
        <v>Note: Does not include Delinquent Taxes</v>
      </c>
    </row>
    <row r="53" spans="2:10" ht="15.75">
      <c r="B53" s="37"/>
      <c r="C53" s="834" t="s">
        <v>587</v>
      </c>
      <c r="D53" s="835"/>
      <c r="E53" s="23"/>
      <c r="F53" s="457">
        <f>IF(E50/0.95-E50&lt;E53,"Exceeds 5%","")</f>
      </c>
      <c r="G53" s="459">
        <f>SUM(G50:G52)</f>
        <v>6700</v>
      </c>
      <c r="H53" s="462" t="str">
        <f>CONCATENATE("Total ",E1," Resources Available")</f>
        <v>Total 2015 Resources Available</v>
      </c>
      <c r="I53" s="461"/>
      <c r="J53" s="245"/>
    </row>
    <row r="54" spans="2:10" ht="15.75">
      <c r="B54" s="370" t="str">
        <f>CONCATENATE(C72,"     ",D72)</f>
        <v>     </v>
      </c>
      <c r="C54" s="836" t="s">
        <v>588</v>
      </c>
      <c r="D54" s="837"/>
      <c r="E54" s="21">
        <f>E50+E53</f>
        <v>6700</v>
      </c>
      <c r="G54" s="464"/>
      <c r="H54" s="462"/>
      <c r="I54" s="462"/>
      <c r="J54" s="245"/>
    </row>
    <row r="55" spans="2:10" ht="15.75">
      <c r="B55" s="370" t="str">
        <f>CONCATENATE(C73,"     ",D73)</f>
        <v>     </v>
      </c>
      <c r="C55" s="49"/>
      <c r="D55" s="41" t="s">
        <v>28</v>
      </c>
      <c r="E55" s="35">
        <f>IF(E54-E27&gt;0,E54-E27,0)</f>
        <v>6030</v>
      </c>
      <c r="G55" s="463">
        <f>ROUND(C50*0.05+C50,0)</f>
        <v>7035</v>
      </c>
      <c r="H55" s="462" t="str">
        <f>CONCATENATE("Less ",E1-2," Expenditures + 5%")</f>
        <v>Less 2013 Expenditures + 5%</v>
      </c>
      <c r="I55" s="461"/>
      <c r="J55" s="245"/>
    </row>
    <row r="56" spans="2:10" ht="15.75">
      <c r="B56" s="41"/>
      <c r="C56" s="374" t="s">
        <v>589</v>
      </c>
      <c r="D56" s="662">
        <f>inputOth!$E$40</f>
        <v>0.014</v>
      </c>
      <c r="E56" s="21">
        <f>ROUND(IF(D56&gt;0,(E55*D56),0),0)</f>
        <v>84</v>
      </c>
      <c r="G56" s="465">
        <f>G53-G55</f>
        <v>-335</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6114</v>
      </c>
    </row>
    <row r="58" spans="2:10" ht="15.7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2.562</v>
      </c>
      <c r="H60" s="460" t="str">
        <f>CONCATENATE("",E1," Fund Mill Rate")</f>
        <v>2015 Fund Mill Rate</v>
      </c>
      <c r="I60" s="664"/>
      <c r="J60" s="676"/>
      <c r="K60" s="5"/>
    </row>
    <row r="61" spans="2:10" ht="15.75">
      <c r="B61" s="41" t="s">
        <v>9</v>
      </c>
      <c r="C61" s="376">
        <f>IF(inputPrYr!D18&gt;0,7,6)</f>
        <v>6</v>
      </c>
      <c r="D61" s="3"/>
      <c r="E61" s="44"/>
      <c r="G61" s="678">
        <f>summ!F18</f>
        <v>2.365</v>
      </c>
      <c r="H61" s="460" t="str">
        <f>CONCATENATE("",E1-1," Fund Mill Rate")</f>
        <v>2014 Fund Mill Rate</v>
      </c>
      <c r="I61" s="664"/>
      <c r="J61" s="676"/>
    </row>
    <row r="62" spans="7:10" ht="15.75">
      <c r="G62" s="679">
        <f>summ!I32</f>
        <v>23.298000000000002</v>
      </c>
      <c r="H62" s="460" t="str">
        <f>CONCATENATE("Total ",E1," Mill Rate")</f>
        <v>Total 2015 Mill Rate</v>
      </c>
      <c r="I62" s="664"/>
      <c r="J62" s="676"/>
    </row>
    <row r="63" spans="2:10" ht="15.75">
      <c r="B63" s="1"/>
      <c r="G63" s="678">
        <f>summ!F32</f>
        <v>23.235999999999997</v>
      </c>
      <c r="H63" s="680" t="str">
        <f>CONCATENATE("Total ",E1-1," Mill Rate")</f>
        <v>Total 2014 Mill Rate</v>
      </c>
      <c r="I63" s="681"/>
      <c r="J63" s="682"/>
    </row>
    <row r="64" spans="7:10" ht="15.75">
      <c r="G64" s="665"/>
      <c r="H64" s="469"/>
      <c r="I64" s="469"/>
      <c r="J64" s="667"/>
    </row>
    <row r="65" spans="7:10" ht="15.75">
      <c r="G65" s="751" t="s">
        <v>898</v>
      </c>
      <c r="H65" s="716"/>
      <c r="I65" s="715" t="str">
        <f>cert!F37</f>
        <v>Yes</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Rockville 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44" t="str">
        <f>CONCATENATE("Projected Carryover Into ",E1+1,"")</f>
        <v>Projected Carryover Into 2016</v>
      </c>
      <c r="H31" s="847"/>
      <c r="I31" s="847"/>
      <c r="J31" s="848"/>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587</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588</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0.014</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785</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23.298000000000002</v>
      </c>
      <c r="H45" s="607" t="str">
        <f>CONCATENATE("Total ",E1," Mill Rate")</f>
        <v>Total 2015 Mill Rate</v>
      </c>
      <c r="I45" s="629"/>
      <c r="J45" s="630"/>
    </row>
    <row r="46" spans="2:10" ht="15.75">
      <c r="B46" s="569" t="s">
        <v>123</v>
      </c>
      <c r="C46" s="574">
        <v>0</v>
      </c>
      <c r="D46" s="571">
        <f>C74</f>
        <v>0</v>
      </c>
      <c r="E46" s="572">
        <f>D74</f>
        <v>0</v>
      </c>
      <c r="F46" s="610"/>
      <c r="G46" s="632">
        <f>summ!F32</f>
        <v>23.235999999999997</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Yes</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4" t="str">
        <f>CONCATENATE("Projected Carryover Into ",E1+1,"")</f>
        <v>Projected Carryover Into 2016</v>
      </c>
      <c r="H71" s="854"/>
      <c r="I71" s="854"/>
      <c r="J71" s="848"/>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587</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588</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0.014</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785</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23.298000000000002</v>
      </c>
      <c r="H85" s="607" t="str">
        <f>CONCATENATE("Total ",E1," Mill Rate")</f>
        <v>Total 2015 Mill Rate</v>
      </c>
      <c r="I85" s="629"/>
      <c r="J85" s="630"/>
    </row>
    <row r="86" spans="7:10" ht="15.75">
      <c r="G86" s="632">
        <f>summ!F32</f>
        <v>23.235999999999997</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cert!F37</f>
        <v>Yes</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Rockville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109</v>
      </c>
      <c r="C6" s="18">
        <v>1162</v>
      </c>
      <c r="D6" s="364">
        <f>C44</f>
        <v>1163</v>
      </c>
      <c r="E6" s="21">
        <f>D44</f>
        <v>485</v>
      </c>
    </row>
    <row r="7" spans="2:5" ht="15.75">
      <c r="B7" s="16" t="s">
        <v>111</v>
      </c>
      <c r="C7" s="364"/>
      <c r="D7" s="364"/>
      <c r="E7" s="22"/>
    </row>
    <row r="8" spans="2:5" ht="15.75">
      <c r="B8" s="16" t="s">
        <v>16</v>
      </c>
      <c r="C8" s="18">
        <v>47452</v>
      </c>
      <c r="D8" s="364">
        <f>IF(inputPrYr!H15&gt;0,inputPrYr!G19,inputPrYr!E19)</f>
        <v>48900</v>
      </c>
      <c r="E8" s="22" t="s">
        <v>266</v>
      </c>
    </row>
    <row r="9" spans="2:5" ht="15.75">
      <c r="B9" s="16" t="s">
        <v>17</v>
      </c>
      <c r="C9" s="18">
        <v>283</v>
      </c>
      <c r="D9" s="18"/>
      <c r="E9" s="23"/>
    </row>
    <row r="10" spans="2:5" ht="15.75">
      <c r="B10" s="16" t="s">
        <v>18</v>
      </c>
      <c r="C10" s="18">
        <v>3119</v>
      </c>
      <c r="D10" s="18">
        <v>3398</v>
      </c>
      <c r="E10" s="21">
        <f>mvalloc!G14</f>
        <v>3794</v>
      </c>
    </row>
    <row r="11" spans="2:5" ht="15.75">
      <c r="B11" s="16" t="s">
        <v>19</v>
      </c>
      <c r="C11" s="18">
        <v>67</v>
      </c>
      <c r="D11" s="18">
        <v>58</v>
      </c>
      <c r="E11" s="21">
        <f>mvalloc!I14</f>
        <v>94</v>
      </c>
    </row>
    <row r="12" spans="2:5" ht="15.75">
      <c r="B12" s="16" t="s">
        <v>99</v>
      </c>
      <c r="C12" s="18">
        <v>269</v>
      </c>
      <c r="D12" s="18">
        <v>230</v>
      </c>
      <c r="E12" s="21">
        <f>mvalloc!J14</f>
        <v>134</v>
      </c>
    </row>
    <row r="13" spans="2:5" ht="15.75">
      <c r="B13" s="16" t="s">
        <v>100</v>
      </c>
      <c r="C13" s="18">
        <v>2099</v>
      </c>
      <c r="D13" s="18">
        <v>2036</v>
      </c>
      <c r="E13" s="21">
        <f>inputOth!E36</f>
        <v>1992</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53289</v>
      </c>
      <c r="D23" s="366">
        <f>SUM(D8:D21)</f>
        <v>54622</v>
      </c>
      <c r="E23" s="31">
        <f>SUM(E8:E21)</f>
        <v>6014</v>
      </c>
    </row>
    <row r="24" spans="2:5" ht="15.75">
      <c r="B24" s="32" t="s">
        <v>24</v>
      </c>
      <c r="C24" s="366">
        <f>C23+C6</f>
        <v>54451</v>
      </c>
      <c r="D24" s="366">
        <f>D23+D6</f>
        <v>55785</v>
      </c>
      <c r="E24" s="31">
        <f>E23+E6</f>
        <v>6499</v>
      </c>
    </row>
    <row r="25" spans="2:5" ht="15.75">
      <c r="B25" s="16" t="s">
        <v>25</v>
      </c>
      <c r="C25" s="364"/>
      <c r="D25" s="364"/>
      <c r="E25" s="21"/>
    </row>
    <row r="26" spans="2:5" ht="15.75">
      <c r="B26" s="27" t="s">
        <v>116</v>
      </c>
      <c r="C26" s="18">
        <v>4511</v>
      </c>
      <c r="D26" s="18">
        <v>1800</v>
      </c>
      <c r="E26" s="23">
        <v>1800</v>
      </c>
    </row>
    <row r="27" spans="2:5" ht="15.75">
      <c r="B27" s="26" t="s">
        <v>102</v>
      </c>
      <c r="C27" s="18">
        <v>0</v>
      </c>
      <c r="D27" s="18">
        <v>7500</v>
      </c>
      <c r="E27" s="23">
        <v>7500</v>
      </c>
    </row>
    <row r="28" spans="2:5" ht="15.75">
      <c r="B28" s="27" t="s">
        <v>118</v>
      </c>
      <c r="C28" s="18">
        <v>0</v>
      </c>
      <c r="D28" s="18">
        <v>0</v>
      </c>
      <c r="E28" s="23">
        <v>0</v>
      </c>
    </row>
    <row r="29" spans="2:5" ht="15.75">
      <c r="B29" s="27" t="s">
        <v>105</v>
      </c>
      <c r="C29" s="18">
        <v>25069</v>
      </c>
      <c r="D29" s="18">
        <v>30000</v>
      </c>
      <c r="E29" s="23">
        <v>30000</v>
      </c>
    </row>
    <row r="30" spans="2:5" ht="15.75">
      <c r="B30" s="27" t="s">
        <v>103</v>
      </c>
      <c r="C30" s="18">
        <v>1236</v>
      </c>
      <c r="D30" s="18">
        <v>3000</v>
      </c>
      <c r="E30" s="23">
        <v>3000</v>
      </c>
    </row>
    <row r="31" spans="2:5" ht="15.75">
      <c r="B31" s="27" t="s">
        <v>65</v>
      </c>
      <c r="C31" s="18">
        <v>9147</v>
      </c>
      <c r="D31" s="18">
        <v>7000</v>
      </c>
      <c r="E31" s="23">
        <v>7000</v>
      </c>
    </row>
    <row r="32" spans="2:5" ht="15.75">
      <c r="B32" s="27" t="s">
        <v>36</v>
      </c>
      <c r="C32" s="18">
        <v>0</v>
      </c>
      <c r="D32" s="18">
        <v>6000</v>
      </c>
      <c r="E32" s="23">
        <v>6000</v>
      </c>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v>13325</v>
      </c>
      <c r="D38" s="18"/>
      <c r="E38" s="23"/>
      <c r="G38" s="669" t="str">
        <f>CONCATENATE("",E1," Tot Exp/Non-Appr Must Be:")</f>
        <v>2015 Tot Exp/Non-Appr Must Be:</v>
      </c>
      <c r="H38" s="553"/>
      <c r="I38" s="663"/>
      <c r="J38" s="670">
        <f>IF(J36&gt;0,IF(E47&lt;E16,IF(J36=G49,E47,((J36-G49)*(1-D49))+E16),E47+(J36-G49)),0)</f>
        <v>0</v>
      </c>
    </row>
    <row r="39" spans="2:10" ht="15.75">
      <c r="B39" s="16" t="s">
        <v>590</v>
      </c>
      <c r="C39" s="367">
        <f>IF(C24*0.25&lt;C38,"Not Authorized","")</f>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53288</v>
      </c>
      <c r="D43" s="366">
        <f>SUM(D26:D38,D40:D41)</f>
        <v>55300</v>
      </c>
      <c r="E43" s="31">
        <f>SUM(E26:E38,E40:E41)</f>
        <v>55300</v>
      </c>
      <c r="G43" s="459">
        <f>D44</f>
        <v>485</v>
      </c>
      <c r="H43" s="460" t="str">
        <f>CONCATENATE("",E1-1," Ending Cash Balance (est.)")</f>
        <v>2014 Ending Cash Balance (est.)</v>
      </c>
      <c r="I43" s="461"/>
      <c r="J43" s="245"/>
    </row>
    <row r="44" spans="2:10" ht="15.75">
      <c r="B44" s="16" t="s">
        <v>110</v>
      </c>
      <c r="C44" s="359">
        <f>C24-C43</f>
        <v>1163</v>
      </c>
      <c r="D44" s="359">
        <f>D24-D43</f>
        <v>485</v>
      </c>
      <c r="E44" s="22" t="s">
        <v>266</v>
      </c>
      <c r="G44" s="459">
        <f>E23</f>
        <v>6014</v>
      </c>
      <c r="H44" s="462" t="str">
        <f>CONCATENATE("",E1," Non-AV Receipts (est.)")</f>
        <v>2015 Non-AV Receipts (est.)</v>
      </c>
      <c r="I44" s="461"/>
      <c r="J44" s="245"/>
    </row>
    <row r="45" spans="2:11" ht="15.75">
      <c r="B45" s="266" t="str">
        <f>CONCATENATE("",E1-2,"/",E1-1,"/",E1," Budget Authority Amount:")</f>
        <v>2013/2014/2015 Budget Authority Amount:</v>
      </c>
      <c r="C45" s="52">
        <f>inputOth!B49</f>
        <v>53300</v>
      </c>
      <c r="D45" s="52">
        <f>inputPrYr!D19</f>
        <v>55300</v>
      </c>
      <c r="E45" s="21">
        <f>E43</f>
        <v>55300</v>
      </c>
      <c r="F45" s="39"/>
      <c r="G45" s="463">
        <f>IF(D49&gt;0,E48,E50)</f>
        <v>48801</v>
      </c>
      <c r="H45" s="462" t="str">
        <f>CONCATENATE("",E1," Ad Valorem Tax (est.)")</f>
        <v>2015 Ad Valorem Tax (est.)</v>
      </c>
      <c r="I45" s="461"/>
      <c r="J45" s="245"/>
      <c r="K45" s="674" t="str">
        <f>IF(G45=E50,"","Note: Does not include Delinquent Taxes")</f>
        <v>Note: Does not include Delinquent Taxes</v>
      </c>
    </row>
    <row r="46" spans="2:10" ht="15.75">
      <c r="B46" s="37"/>
      <c r="C46" s="834" t="s">
        <v>587</v>
      </c>
      <c r="D46" s="835"/>
      <c r="E46" s="23"/>
      <c r="F46" s="457">
        <f>IF(E43/0.95-E43&lt;E46,"Exceeds 5%","")</f>
      </c>
      <c r="G46" s="459">
        <f>SUM(G43:G45)</f>
        <v>55300</v>
      </c>
      <c r="H46" s="462" t="str">
        <f>CONCATENATE("Total ",E1," Resources Available")</f>
        <v>Total 2015 Resources Available</v>
      </c>
      <c r="I46" s="461"/>
      <c r="J46" s="245"/>
    </row>
    <row r="47" spans="2:10" ht="15.75">
      <c r="B47" s="370" t="str">
        <f>CONCATENATE(C74,"     ",D74)</f>
        <v>     </v>
      </c>
      <c r="C47" s="836" t="s">
        <v>588</v>
      </c>
      <c r="D47" s="837"/>
      <c r="E47" s="21">
        <f>E43+E46</f>
        <v>55300</v>
      </c>
      <c r="G47" s="464"/>
      <c r="H47" s="462"/>
      <c r="I47" s="462"/>
      <c r="J47" s="245"/>
    </row>
    <row r="48" spans="2:10" ht="15.75">
      <c r="B48" s="370" t="str">
        <f>CONCATENATE(C75,"     ",D75)</f>
        <v>     </v>
      </c>
      <c r="C48" s="49"/>
      <c r="D48" s="41" t="s">
        <v>28</v>
      </c>
      <c r="E48" s="35">
        <f>IF(E47-E24&gt;0,E47-E24,0)</f>
        <v>48801</v>
      </c>
      <c r="G48" s="463">
        <f>ROUND(C43*0.05+C43,0)</f>
        <v>55952</v>
      </c>
      <c r="H48" s="462" t="str">
        <f>CONCATENATE("Less ",E1-2," Expenditures + 5%")</f>
        <v>Less 2013 Expenditures + 5%</v>
      </c>
      <c r="I48" s="461"/>
      <c r="J48" s="245"/>
    </row>
    <row r="49" spans="2:10" ht="15.75">
      <c r="B49" s="41"/>
      <c r="C49" s="374" t="s">
        <v>589</v>
      </c>
      <c r="D49" s="662">
        <f>inputOth!$E$40</f>
        <v>0.014</v>
      </c>
      <c r="E49" s="21">
        <f>ROUND(IF(D49&gt;0,(E48*D49),0),0)</f>
        <v>683</v>
      </c>
      <c r="G49" s="465">
        <f>G46-G48</f>
        <v>-652</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49484</v>
      </c>
    </row>
    <row r="51" spans="2:10" ht="15.7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summ!I21</f>
        <v>20.736</v>
      </c>
      <c r="H53" s="460" t="str">
        <f>CONCATENATE("",E1," Fund Mill Rate")</f>
        <v>2015 Fund Mill Rate</v>
      </c>
      <c r="I53" s="664"/>
      <c r="J53" s="676"/>
    </row>
    <row r="54" spans="2:10" ht="15.75">
      <c r="B54" s="60" t="s">
        <v>31</v>
      </c>
      <c r="C54" s="375" t="str">
        <f>CONCATENATE("",E1-2," Actual Year")</f>
        <v>2013 Actual Year</v>
      </c>
      <c r="D54" s="3"/>
      <c r="E54" s="3"/>
      <c r="G54" s="678">
        <f>summ!F21</f>
        <v>20.871</v>
      </c>
      <c r="H54" s="460" t="str">
        <f>CONCATENATE("",E1-1," Fund Mill Rate")</f>
        <v>2014 Fund Mill Rate</v>
      </c>
      <c r="I54" s="664"/>
      <c r="J54" s="676"/>
    </row>
    <row r="55" spans="2:10" ht="15.75">
      <c r="B55" s="61" t="s">
        <v>14</v>
      </c>
      <c r="C55" s="119"/>
      <c r="D55" s="3"/>
      <c r="E55" s="3"/>
      <c r="G55" s="679">
        <f>summ!I32</f>
        <v>23.298000000000002</v>
      </c>
      <c r="H55" s="460" t="str">
        <f>CONCATENATE("Total ",E1," Mill Rate")</f>
        <v>Total 2015 Mill Rate</v>
      </c>
      <c r="I55" s="664"/>
      <c r="J55" s="676"/>
    </row>
    <row r="56" spans="2:10" ht="15.75">
      <c r="B56" s="61" t="s">
        <v>33</v>
      </c>
      <c r="C56" s="121"/>
      <c r="D56" s="3"/>
      <c r="E56" s="3"/>
      <c r="G56" s="678">
        <f>summ!F32</f>
        <v>23.235999999999997</v>
      </c>
      <c r="H56" s="680" t="str">
        <f>CONCATENATE("Total ",E1-1," Mill Rate")</f>
        <v>Total 2014 Mill Rate</v>
      </c>
      <c r="I56" s="681"/>
      <c r="J56" s="682"/>
    </row>
    <row r="57" spans="2:5" ht="15.75">
      <c r="B57" s="61" t="s">
        <v>34</v>
      </c>
      <c r="C57" s="373">
        <f>C38</f>
        <v>13325</v>
      </c>
      <c r="D57" s="63"/>
      <c r="E57" s="3"/>
    </row>
    <row r="58" spans="2:9" ht="15.75">
      <c r="B58" s="61" t="s">
        <v>223</v>
      </c>
      <c r="C58" s="373">
        <f>gen!C43</f>
        <v>0</v>
      </c>
      <c r="D58" s="855">
        <f>IF(AND(C58&gt;0,C59&gt;0),"Not Auth. Two General Transfers - Only One","")</f>
      </c>
      <c r="E58" s="856"/>
      <c r="G58" s="754" t="s">
        <v>898</v>
      </c>
      <c r="H58" s="716"/>
      <c r="I58" s="715" t="str">
        <f>cert!F37</f>
        <v>Yes</v>
      </c>
    </row>
    <row r="59" spans="2:5" ht="15.75">
      <c r="B59" s="64" t="s">
        <v>224</v>
      </c>
      <c r="C59" s="373">
        <f>gen!C45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13325</v>
      </c>
      <c r="D63" s="3"/>
      <c r="E63" s="3"/>
    </row>
    <row r="64" spans="2:5" ht="15.75">
      <c r="B64" s="66" t="s">
        <v>26</v>
      </c>
      <c r="C64" s="119"/>
      <c r="D64" s="3"/>
      <c r="E64" s="3"/>
    </row>
    <row r="65" spans="2:5" ht="15.75">
      <c r="B65" s="66" t="s">
        <v>27</v>
      </c>
      <c r="C65" s="372">
        <f>SUM(C63-C64)</f>
        <v>13325</v>
      </c>
      <c r="D65" s="3"/>
      <c r="E65" s="3"/>
    </row>
    <row r="66" spans="2:5" ht="15.75">
      <c r="B66" s="3"/>
      <c r="C66" s="3"/>
      <c r="D66" s="3"/>
      <c r="E66" s="3"/>
    </row>
    <row r="67" spans="2:5" ht="15.75">
      <c r="B67" s="41" t="s">
        <v>9</v>
      </c>
      <c r="C67" s="54">
        <v>7</v>
      </c>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Rockville 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266</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23.298000000000002</v>
      </c>
      <c r="H45" s="607" t="str">
        <f>CONCATENATE("Total ",E1," Mill Rate")</f>
        <v>Total 2015 Mill Rate</v>
      </c>
      <c r="I45" s="629"/>
      <c r="J45" s="630"/>
      <c r="K45" s="557"/>
    </row>
    <row r="46" spans="2:11" ht="15.75">
      <c r="B46" s="16" t="s">
        <v>109</v>
      </c>
      <c r="C46" s="18"/>
      <c r="D46" s="364">
        <f>C74</f>
        <v>0</v>
      </c>
      <c r="E46" s="21">
        <f>D74</f>
        <v>0</v>
      </c>
      <c r="G46" s="632">
        <f>summ!F32</f>
        <v>23.235999999999997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266</v>
      </c>
      <c r="G48" s="755"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23.298000000000002</v>
      </c>
      <c r="H85" s="607" t="str">
        <f>CONCATENATE("Total ",E1," Mill Rate")</f>
        <v>Total 2015 Mill Rate</v>
      </c>
      <c r="I85" s="629"/>
      <c r="J85" s="630"/>
      <c r="K85" s="557"/>
    </row>
    <row r="86" spans="7:11" ht="15.75">
      <c r="G86" s="632">
        <f>summ!F32</f>
        <v>23.235999999999997</v>
      </c>
      <c r="H86" s="635" t="str">
        <f>CONCATENATE("Total ",E1-1," Mill Rate")</f>
        <v>Total 2014 Mill Rate</v>
      </c>
      <c r="I86" s="636"/>
      <c r="J86" s="637"/>
      <c r="K86" s="557"/>
    </row>
    <row r="88" spans="7:9" ht="15.75">
      <c r="G88" s="756"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Rockville 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266</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23.298000000000002</v>
      </c>
      <c r="H45" s="607" t="str">
        <f>CONCATENATE("Total ",E1," Mill Rate")</f>
        <v>Total 2015 Mill Rate</v>
      </c>
      <c r="I45" s="629"/>
      <c r="J45" s="630"/>
      <c r="K45" s="557"/>
    </row>
    <row r="46" spans="2:11" ht="15.75">
      <c r="B46" s="16" t="s">
        <v>109</v>
      </c>
      <c r="C46" s="18"/>
      <c r="D46" s="364">
        <f>C74</f>
        <v>0</v>
      </c>
      <c r="E46" s="21">
        <f>D74</f>
        <v>0</v>
      </c>
      <c r="G46" s="632">
        <f>summ!F32</f>
        <v>23.235999999999997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23.298000000000002</v>
      </c>
      <c r="H85" s="607" t="str">
        <f>CONCATENATE("Total ",E1," Mill Rate")</f>
        <v>Total 2015 Mill Rate</v>
      </c>
      <c r="I85" s="629"/>
      <c r="J85" s="630"/>
      <c r="K85" s="557"/>
    </row>
    <row r="86" spans="7:11" ht="15.75">
      <c r="G86" s="632">
        <f>summ!F32</f>
        <v>23.235999999999997</v>
      </c>
      <c r="H86" s="635" t="str">
        <f>CONCATENATE("Total ",E1-1," Mill Rate")</f>
        <v>Total 2014 Mill Rate</v>
      </c>
      <c r="I86" s="636"/>
      <c r="J86" s="637"/>
      <c r="K86" s="557"/>
    </row>
    <row r="88" spans="7:9" ht="15.75">
      <c r="G88" s="758"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Rockville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23.298000000000002</v>
      </c>
      <c r="H45" s="607" t="str">
        <f>CONCATENATE("Total ",E1," Mill Rate")</f>
        <v>Total 2015 Mill Rate</v>
      </c>
      <c r="I45" s="629"/>
      <c r="J45" s="630"/>
      <c r="K45" s="557"/>
    </row>
    <row r="46" spans="2:11" ht="15.75">
      <c r="B46" s="16" t="s">
        <v>109</v>
      </c>
      <c r="C46" s="18"/>
      <c r="D46" s="364">
        <f>C74</f>
        <v>0</v>
      </c>
      <c r="E46" s="21">
        <f>D74</f>
        <v>0</v>
      </c>
      <c r="G46" s="632">
        <f>summ!F32</f>
        <v>23.235999999999997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588</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23.298000000000002</v>
      </c>
      <c r="H85" s="607" t="str">
        <f>CONCATENATE("Total ",E1," Mill Rate")</f>
        <v>Total 2015 Mill Rate</v>
      </c>
      <c r="I85" s="629"/>
      <c r="J85" s="630"/>
      <c r="K85" s="557"/>
    </row>
    <row r="86" spans="7:11" ht="15.75">
      <c r="G86" s="632">
        <f>summ!F32</f>
        <v>23.235999999999997</v>
      </c>
      <c r="H86" s="635" t="str">
        <f>CONCATENATE("Total ",E1-1," Mill Rate")</f>
        <v>Total 2014 Mill Rate</v>
      </c>
      <c r="I86" s="636"/>
      <c r="J86" s="637"/>
      <c r="K86" s="557"/>
    </row>
    <row r="88" spans="7:9" ht="15.75">
      <c r="G88" s="760"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Rockville 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Rockville 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305</v>
      </c>
      <c r="B6" s="85"/>
      <c r="C6" s="86" t="s">
        <v>305</v>
      </c>
      <c r="D6" s="87"/>
      <c r="E6" s="86" t="s">
        <v>305</v>
      </c>
      <c r="F6" s="88"/>
      <c r="G6" s="86" t="s">
        <v>305</v>
      </c>
      <c r="H6" s="82"/>
      <c r="I6" s="86" t="s">
        <v>305</v>
      </c>
      <c r="J6" s="79"/>
      <c r="K6" s="89" t="s">
        <v>252</v>
      </c>
    </row>
    <row r="7" spans="1:11" ht="15.75">
      <c r="A7" s="90" t="s">
        <v>306</v>
      </c>
      <c r="B7" s="91"/>
      <c r="C7" s="92" t="s">
        <v>306</v>
      </c>
      <c r="D7" s="91"/>
      <c r="E7" s="92" t="s">
        <v>306</v>
      </c>
      <c r="F7" s="91"/>
      <c r="G7" s="92" t="s">
        <v>306</v>
      </c>
      <c r="H7" s="91"/>
      <c r="I7" s="92" t="s">
        <v>306</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942</v>
      </c>
      <c r="E2" s="8"/>
    </row>
    <row r="3" spans="1:5" ht="15.75">
      <c r="A3" s="57" t="s">
        <v>202</v>
      </c>
      <c r="B3" s="3"/>
      <c r="C3" s="3"/>
      <c r="D3" s="720" t="s">
        <v>941</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4" t="s">
        <v>717</v>
      </c>
      <c r="H7" s="785"/>
    </row>
    <row r="8" spans="1:8" ht="15.75">
      <c r="A8" s="133" t="s">
        <v>177</v>
      </c>
      <c r="B8" s="137"/>
      <c r="C8" s="137"/>
      <c r="D8" s="137"/>
      <c r="E8" s="137"/>
      <c r="F8" s="3"/>
      <c r="G8" s="786"/>
      <c r="H8" s="785"/>
    </row>
    <row r="9" spans="1:8" ht="15.75">
      <c r="A9" s="3"/>
      <c r="B9" s="3"/>
      <c r="C9" s="3"/>
      <c r="D9" s="3"/>
      <c r="E9" s="3"/>
      <c r="F9" s="3"/>
      <c r="G9" s="786"/>
      <c r="H9" s="785"/>
    </row>
    <row r="10" spans="1:8" ht="15.75">
      <c r="A10" s="782" t="s">
        <v>135</v>
      </c>
      <c r="B10" s="783"/>
      <c r="C10" s="783"/>
      <c r="D10" s="783"/>
      <c r="E10" s="783"/>
      <c r="F10" s="3"/>
      <c r="G10" s="786"/>
      <c r="H10" s="785"/>
    </row>
    <row r="11" spans="1:8" ht="15.75">
      <c r="A11" s="57"/>
      <c r="B11" s="3"/>
      <c r="C11" s="3"/>
      <c r="D11" s="3"/>
      <c r="E11" s="3"/>
      <c r="F11" s="3"/>
      <c r="G11" s="786"/>
      <c r="H11" s="785"/>
    </row>
    <row r="12" spans="1:8" ht="15.75">
      <c r="A12" s="289" t="s">
        <v>126</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6700</v>
      </c>
      <c r="E16" s="176">
        <v>5541</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v>55300</v>
      </c>
      <c r="E19" s="176">
        <v>48900</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54441</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62000</v>
      </c>
      <c r="E31" s="3"/>
    </row>
    <row r="32" spans="1:5" ht="15.75">
      <c r="A32" s="3"/>
      <c r="B32" s="3"/>
      <c r="C32" s="3"/>
      <c r="D32" s="3"/>
      <c r="E32" s="3"/>
    </row>
    <row r="33" spans="1:5" ht="15.75">
      <c r="A33" s="261" t="s">
        <v>310</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2.159</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20.912</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23.070999999999998</v>
      </c>
      <c r="E52" s="3"/>
    </row>
    <row r="53" spans="1:5" ht="16.5" thickTop="1">
      <c r="A53" s="3"/>
      <c r="B53" s="3"/>
      <c r="C53" s="3"/>
      <c r="D53" s="3"/>
      <c r="E53" s="3"/>
    </row>
    <row r="54" spans="1:5" ht="15.75">
      <c r="A54" s="307" t="str">
        <f>CONCATENATE("Total Tax Levied (",D5-2," budget column)")</f>
        <v>Total Tax Levied (2013 budget column)</v>
      </c>
      <c r="B54" s="308"/>
      <c r="C54" s="9"/>
      <c r="D54" s="247"/>
      <c r="E54" s="176">
        <v>52958</v>
      </c>
    </row>
    <row r="55" spans="1:5" ht="15.75">
      <c r="A55" s="309" t="str">
        <f>CONCATENATE("Assessed Valuation (",D5-2," budget column)")</f>
        <v>Assessed Valuation (2013 budget column)</v>
      </c>
      <c r="B55" s="310"/>
      <c r="C55" s="255"/>
      <c r="D55" s="17"/>
      <c r="E55" s="176">
        <v>2295691</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v>0</v>
      </c>
      <c r="E59" s="25">
        <v>0</v>
      </c>
    </row>
    <row r="60" spans="1:5" ht="15.75">
      <c r="A60" s="310" t="s">
        <v>143</v>
      </c>
      <c r="B60" s="310"/>
      <c r="C60" s="313"/>
      <c r="D60" s="25">
        <v>0</v>
      </c>
      <c r="E60" s="25">
        <v>0</v>
      </c>
    </row>
    <row r="61" spans="1:5" ht="15.75">
      <c r="A61" s="310" t="s">
        <v>144</v>
      </c>
      <c r="B61" s="310"/>
      <c r="C61" s="313"/>
      <c r="D61" s="25">
        <v>87548</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1" sqref="B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0"/>
      <c r="D2" s="800"/>
      <c r="E2" s="800"/>
      <c r="F2" s="800"/>
      <c r="G2" s="800"/>
      <c r="H2" s="800"/>
      <c r="I2" s="800"/>
    </row>
    <row r="3" spans="2:9" ht="15.75">
      <c r="B3" s="3"/>
      <c r="C3" s="3"/>
      <c r="D3" s="3"/>
      <c r="E3" s="3"/>
      <c r="F3" s="3"/>
      <c r="G3" s="11" t="s">
        <v>37</v>
      </c>
      <c r="H3" s="11" t="s">
        <v>38</v>
      </c>
      <c r="I3" s="3"/>
    </row>
    <row r="4" spans="2:9" ht="15.75">
      <c r="B4" s="796" t="s">
        <v>39</v>
      </c>
      <c r="C4" s="796"/>
      <c r="D4" s="796"/>
      <c r="E4" s="796"/>
      <c r="F4" s="796"/>
      <c r="G4" s="796"/>
      <c r="H4" s="796"/>
      <c r="I4" s="796"/>
    </row>
    <row r="5" spans="2:9" ht="15.75">
      <c r="B5" s="798" t="str">
        <f>inputPrYr!D2</f>
        <v>Rockville Township</v>
      </c>
      <c r="C5" s="798"/>
      <c r="D5" s="798"/>
      <c r="E5" s="798"/>
      <c r="F5" s="798"/>
      <c r="G5" s="798"/>
      <c r="H5" s="798"/>
      <c r="I5" s="798"/>
    </row>
    <row r="6" spans="2:9" ht="15.75">
      <c r="B6" s="798" t="str">
        <f>inputPrYr!D3</f>
        <v>Rice County</v>
      </c>
      <c r="C6" s="798"/>
      <c r="D6" s="798"/>
      <c r="E6" s="798"/>
      <c r="F6" s="798"/>
      <c r="G6" s="798"/>
      <c r="H6" s="798"/>
      <c r="I6" s="798"/>
    </row>
    <row r="7" spans="2:9" ht="15.75">
      <c r="B7" s="796" t="str">
        <f>CONCATENATE("will meet on ",inputBudSum!B8," at ",inputBudSum!B10," at ",inputBudSum!B12," for the purpose of hearing and")</f>
        <v>will meet on August 11, 2014 at 8:00 a.m. at Nathan Olander Residence for the purpose of hearing and</v>
      </c>
      <c r="C7" s="796"/>
      <c r="D7" s="796"/>
      <c r="E7" s="796"/>
      <c r="F7" s="796"/>
      <c r="G7" s="796"/>
      <c r="H7" s="796"/>
      <c r="I7" s="796"/>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the Rice County Clerk's Office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2" t="str">
        <f>CONCATENATE("Amount of ",I1-1," Ad Valorem Tax")</f>
        <v>Amount of 2014 Ad Valorem Tax</v>
      </c>
      <c r="I15" s="12" t="s">
        <v>40</v>
      </c>
      <c r="J15" s="138"/>
    </row>
    <row r="16" spans="2:10" ht="15.75">
      <c r="B16" s="3"/>
      <c r="C16" s="145"/>
      <c r="D16" s="145" t="s">
        <v>41</v>
      </c>
      <c r="E16" s="145"/>
      <c r="F16" s="145" t="s">
        <v>41</v>
      </c>
      <c r="G16" s="145" t="s">
        <v>185</v>
      </c>
      <c r="H16" s="861"/>
      <c r="I16" s="145" t="s">
        <v>41</v>
      </c>
      <c r="J16" s="138"/>
    </row>
    <row r="17" spans="2:10" ht="15.75">
      <c r="B17" s="14" t="s">
        <v>262</v>
      </c>
      <c r="C17" s="15" t="s">
        <v>42</v>
      </c>
      <c r="D17" s="15" t="s">
        <v>43</v>
      </c>
      <c r="E17" s="15" t="s">
        <v>42</v>
      </c>
      <c r="F17" s="15" t="s">
        <v>43</v>
      </c>
      <c r="G17" s="15" t="s">
        <v>684</v>
      </c>
      <c r="H17" s="862"/>
      <c r="I17" s="15" t="s">
        <v>43</v>
      </c>
      <c r="J17" s="138"/>
    </row>
    <row r="18" spans="2:10" ht="15.75">
      <c r="B18" s="74" t="str">
        <f>inputPrYr!B16</f>
        <v>General</v>
      </c>
      <c r="C18" s="52">
        <f>IF(gen!$C$50&lt;&gt;0,gen!$C$50,"  ")</f>
        <v>6700</v>
      </c>
      <c r="D18" s="499">
        <f>IF(inputPrYr!D42&gt;0,inputPrYr!D42,"  ")</f>
        <v>2.159</v>
      </c>
      <c r="E18" s="21">
        <f>IF(gen!$D$50&lt;&gt;0,gen!$D$50,"  ")</f>
        <v>6700</v>
      </c>
      <c r="F18" s="224">
        <f>IF(inputOth!D17&gt;0,inputOth!D17,"  ")</f>
        <v>2.365</v>
      </c>
      <c r="G18" s="21">
        <f>IF(gen!$E$50&lt;&gt;0,gen!$E$50,"  ")</f>
        <v>6700</v>
      </c>
      <c r="H18" s="21">
        <f>IF(gen!$E$57&lt;&gt;0,gen!$E$57," ")</f>
        <v>6114</v>
      </c>
      <c r="I18" s="501">
        <f>IF(gen!E57&gt;0,ROUND(H18/$G$37*1000,3)," ")</f>
        <v>2.562</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53288</v>
      </c>
      <c r="D21" s="499">
        <f>IF(inputPrYr!D45&gt;0,inputPrYr!D45,"  ")</f>
        <v>20.912</v>
      </c>
      <c r="E21" s="21">
        <f>IF(road!$D$43&lt;&gt;0,road!$D$43,"  ")</f>
        <v>55300</v>
      </c>
      <c r="F21" s="224">
        <f>IF(inputOth!D20&gt;0,inputOth!D20,"  ")</f>
        <v>20.871</v>
      </c>
      <c r="G21" s="21">
        <f>IF(road!$E$43&lt;&gt;0,road!$E$43,"  ")</f>
        <v>55300</v>
      </c>
      <c r="H21" s="21">
        <f>IF(road!$E$50&lt;&gt;0,road!$E$50,"  ")</f>
        <v>49484</v>
      </c>
      <c r="I21" s="501">
        <f>IF(road!E50&gt;0,ROUND(H21/$G$37*1000,3)," ")</f>
        <v>20.736</v>
      </c>
      <c r="K21" s="866" t="str">
        <f>CONCATENATE("Estimated Value Of One Mill For ",I1,"")</f>
        <v>Estimated Value Of One Mill For 2015</v>
      </c>
      <c r="L21" s="871"/>
      <c r="M21" s="871"/>
      <c r="N21" s="872"/>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2386</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23.235999999999997</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t="str">
        <f>IF($N$30&lt;0,"Reduced By:","")</f>
        <v>Reduced By:</v>
      </c>
      <c r="L30" s="474"/>
      <c r="M30" s="474"/>
      <c r="N30" s="494">
        <f>IF(N36&gt;0,N36*-1,0)</f>
        <v>-148</v>
      </c>
    </row>
    <row r="31" spans="2:14" ht="16.5" thickBot="1">
      <c r="B31" s="61" t="s">
        <v>264</v>
      </c>
      <c r="C31" s="454" t="str">
        <f>IF(road!C64&lt;&gt;0,road!C64,"  ")</f>
        <v>  </v>
      </c>
      <c r="D31" s="455"/>
      <c r="E31" s="500"/>
      <c r="F31" s="455"/>
      <c r="G31" s="500"/>
      <c r="H31" s="500"/>
      <c r="I31" s="455"/>
      <c r="K31" s="489"/>
      <c r="L31" s="489"/>
      <c r="M31" s="489"/>
      <c r="N31" s="489"/>
    </row>
    <row r="32" spans="2:14" ht="15.75">
      <c r="B32" s="61" t="s">
        <v>265</v>
      </c>
      <c r="C32" s="502">
        <f aca="true" t="shared" si="0" ref="C32:I32">SUM(C18:C31)</f>
        <v>59988</v>
      </c>
      <c r="D32" s="453">
        <f t="shared" si="0"/>
        <v>23.070999999999998</v>
      </c>
      <c r="E32" s="502">
        <f t="shared" si="0"/>
        <v>62000</v>
      </c>
      <c r="F32" s="453">
        <f t="shared" si="0"/>
        <v>23.235999999999997</v>
      </c>
      <c r="G32" s="502">
        <f t="shared" si="0"/>
        <v>62000</v>
      </c>
      <c r="H32" s="502">
        <f t="shared" si="0"/>
        <v>55598</v>
      </c>
      <c r="I32" s="505">
        <f t="shared" si="0"/>
        <v>23.298000000000002</v>
      </c>
      <c r="K32" s="866" t="str">
        <f>CONCATENATE("Impact On Keeping The Same Mill Rate As For ",I1-1,"")</f>
        <v>Impact On Keeping The Same Mill Rate As For 2014</v>
      </c>
      <c r="L32" s="867"/>
      <c r="M32" s="867"/>
      <c r="N32" s="868"/>
    </row>
    <row r="33" spans="2:14" ht="15.75">
      <c r="B33" s="261" t="s">
        <v>44</v>
      </c>
      <c r="C33" s="21">
        <f>transfer!C29</f>
        <v>13325</v>
      </c>
      <c r="D33" s="3"/>
      <c r="E33" s="21">
        <f>transfer!D29</f>
        <v>0</v>
      </c>
      <c r="F33" s="50"/>
      <c r="G33" s="21">
        <f>transfer!E29</f>
        <v>0</v>
      </c>
      <c r="H33" s="3"/>
      <c r="I33" s="3"/>
      <c r="K33" s="482"/>
      <c r="L33" s="476"/>
      <c r="M33" s="476"/>
      <c r="N33" s="483"/>
    </row>
    <row r="34" spans="2:14" ht="16.5" thickBot="1">
      <c r="B34" s="261" t="s">
        <v>45</v>
      </c>
      <c r="C34" s="503">
        <f>C32-C33</f>
        <v>46663</v>
      </c>
      <c r="D34" s="3"/>
      <c r="E34" s="503">
        <f>E32-E33</f>
        <v>62000</v>
      </c>
      <c r="F34" s="3"/>
      <c r="G34" s="503">
        <f>G32-G33</f>
        <v>62000</v>
      </c>
      <c r="H34" s="3"/>
      <c r="I34" s="3"/>
      <c r="K34" s="482" t="str">
        <f>CONCATENATE("",I1," Ad Valorem Tax Revenue:")</f>
        <v>2015 Ad Valorem Tax Revenue:</v>
      </c>
      <c r="L34" s="476"/>
      <c r="M34" s="476"/>
      <c r="N34" s="477">
        <f>H32</f>
        <v>55598</v>
      </c>
    </row>
    <row r="35" spans="2:14" ht="16.5" thickTop="1">
      <c r="B35" s="261" t="s">
        <v>46</v>
      </c>
      <c r="C35" s="504">
        <f>inputPrYr!E54</f>
        <v>52958</v>
      </c>
      <c r="D35" s="50"/>
      <c r="E35" s="504">
        <f>inputPrYr!E26</f>
        <v>54441</v>
      </c>
      <c r="F35" s="3"/>
      <c r="G35" s="495" t="s">
        <v>266</v>
      </c>
      <c r="H35" s="3"/>
      <c r="I35" s="3"/>
      <c r="K35" s="482" t="str">
        <f>CONCATENATE("",I1-1," Ad Valorem Tax Revenue:")</f>
        <v>2014 Ad Valorem Tax Revenue:</v>
      </c>
      <c r="L35" s="476"/>
      <c r="M35" s="476"/>
      <c r="N35" s="490">
        <f>ROUND(G37*N27/1000,0)</f>
        <v>55450</v>
      </c>
    </row>
    <row r="36" spans="2:14" ht="15.75">
      <c r="B36" s="261" t="s">
        <v>47</v>
      </c>
      <c r="C36" s="44"/>
      <c r="D36" s="50"/>
      <c r="E36" s="44"/>
      <c r="F36" s="50"/>
      <c r="G36" s="3"/>
      <c r="H36" s="3"/>
      <c r="I36" s="3"/>
      <c r="K36" s="487" t="s">
        <v>682</v>
      </c>
      <c r="L36" s="488"/>
      <c r="M36" s="488"/>
      <c r="N36" s="480">
        <f>N34-N35</f>
        <v>148</v>
      </c>
    </row>
    <row r="37" spans="2:14" ht="15.75">
      <c r="B37" s="261" t="s">
        <v>48</v>
      </c>
      <c r="C37" s="21">
        <f>inputPrYr!E55</f>
        <v>2295691</v>
      </c>
      <c r="D37" s="3"/>
      <c r="E37" s="21">
        <f>inputOth!E29</f>
        <v>2342973</v>
      </c>
      <c r="F37" s="3"/>
      <c r="G37" s="21">
        <f>inputOth!E7</f>
        <v>2386383</v>
      </c>
      <c r="H37" s="3"/>
      <c r="I37" s="3"/>
      <c r="K37" s="481"/>
      <c r="L37" s="481"/>
      <c r="M37" s="481"/>
      <c r="N37" s="489"/>
    </row>
    <row r="38" spans="2:14" ht="15.75">
      <c r="B38" s="11" t="s">
        <v>49</v>
      </c>
      <c r="C38" s="3"/>
      <c r="D38" s="3"/>
      <c r="E38" s="3"/>
      <c r="F38" s="3"/>
      <c r="G38" s="3"/>
      <c r="H38" s="3"/>
      <c r="I38" s="3"/>
      <c r="K38" s="866" t="s">
        <v>683</v>
      </c>
      <c r="L38" s="869"/>
      <c r="M38" s="869"/>
      <c r="N38" s="870"/>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23.298000000000002</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708</v>
      </c>
      <c r="C42" s="150">
        <f>inputPrYr!D61</f>
        <v>87548</v>
      </c>
      <c r="D42" s="48"/>
      <c r="E42" s="150">
        <f>inputPrYr!E61</f>
        <v>0</v>
      </c>
      <c r="F42" s="48"/>
      <c r="G42" s="150">
        <f>'debt-lease'!G36</f>
        <v>44857</v>
      </c>
      <c r="H42" s="3"/>
      <c r="I42" s="3"/>
      <c r="K42" s="482" t="str">
        <f>CONCATENATE("",I1," Ad Valorem Tax:")</f>
        <v>2015 Ad Valorem Tax:</v>
      </c>
      <c r="L42" s="476"/>
      <c r="M42" s="476"/>
      <c r="N42" s="490">
        <f>ROUND(G37*N41/1000,0)</f>
        <v>0</v>
      </c>
    </row>
    <row r="43" spans="2:14" ht="16.5" thickBot="1">
      <c r="B43" s="11" t="s">
        <v>52</v>
      </c>
      <c r="C43" s="151">
        <f>SUM(C40:C42)</f>
        <v>87548</v>
      </c>
      <c r="D43" s="48"/>
      <c r="E43" s="151">
        <f>SUM(E40:E42)</f>
        <v>0</v>
      </c>
      <c r="F43" s="48"/>
      <c r="G43" s="151">
        <f>SUM(G40:G42)</f>
        <v>44857</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5" t="str">
        <f>inputBudSum!B4</f>
        <v>Nathan Olander</v>
      </c>
      <c r="C46" s="865"/>
      <c r="D46" s="3"/>
      <c r="E46" s="3"/>
      <c r="F46" s="3"/>
      <c r="G46" s="3"/>
      <c r="H46" s="3"/>
      <c r="I46" s="3"/>
    </row>
    <row r="47" spans="2:9" ht="15.75">
      <c r="B47" s="863" t="str">
        <f>inputBudSum!B6</f>
        <v>Treasurer</v>
      </c>
      <c r="C47" s="864"/>
      <c r="D47" s="3"/>
      <c r="E47" s="3"/>
      <c r="F47" s="3"/>
      <c r="G47" s="3"/>
      <c r="H47" s="3"/>
      <c r="I47" s="3"/>
    </row>
    <row r="48" spans="2:9" ht="15.75">
      <c r="B48" s="3"/>
      <c r="C48" s="3"/>
      <c r="D48" s="3"/>
      <c r="E48" s="3"/>
      <c r="F48" s="3"/>
      <c r="G48" s="3"/>
      <c r="H48" s="3"/>
      <c r="I48" s="3"/>
    </row>
    <row r="49" spans="2:9" ht="15.75">
      <c r="B49" s="3"/>
      <c r="C49" s="41" t="s">
        <v>9</v>
      </c>
      <c r="D49" s="70">
        <v>8</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Rockville Township</v>
      </c>
      <c r="B1" s="3"/>
      <c r="C1" s="3"/>
      <c r="D1" s="3"/>
      <c r="E1" s="3"/>
      <c r="F1" s="3">
        <f>inputPrYr!D5</f>
        <v>2015</v>
      </c>
    </row>
    <row r="2" spans="1:6" ht="15.75">
      <c r="A2" s="3"/>
      <c r="B2" s="3"/>
      <c r="C2" s="3"/>
      <c r="D2" s="3"/>
      <c r="E2" s="3"/>
      <c r="F2" s="3"/>
    </row>
    <row r="3" spans="1:6" ht="15.75">
      <c r="A3" s="3"/>
      <c r="B3" s="801" t="str">
        <f>CONCATENATE("",F1," Neighborhood Revitalization Rebate")</f>
        <v>2015 Neighborhood Revitalization Rebate</v>
      </c>
      <c r="C3" s="809"/>
      <c r="D3" s="809"/>
      <c r="E3" s="809"/>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2386383</v>
      </c>
      <c r="E19" s="3"/>
      <c r="F19" s="118"/>
    </row>
    <row r="20" spans="1:6" ht="15.75">
      <c r="A20" s="3"/>
      <c r="B20" s="3"/>
      <c r="C20" s="3"/>
      <c r="D20" s="3"/>
      <c r="E20" s="3"/>
      <c r="F20" s="118"/>
    </row>
    <row r="21" spans="1:6" ht="15.75">
      <c r="A21" s="3"/>
      <c r="B21" s="875" t="s">
        <v>338</v>
      </c>
      <c r="C21" s="875"/>
      <c r="D21" s="126">
        <f>IF(D19&gt;0,(D19*0.001),"")</f>
        <v>2386.3830000000003</v>
      </c>
      <c r="E21" s="3"/>
      <c r="F21" s="118"/>
    </row>
    <row r="22" spans="1:6" ht="15.75">
      <c r="A22" s="3"/>
      <c r="B22" s="37"/>
      <c r="C22" s="37"/>
      <c r="D22" s="127"/>
      <c r="E22" s="3"/>
      <c r="F22" s="118"/>
    </row>
    <row r="23" spans="1:6" ht="15.75">
      <c r="A23" s="873" t="s">
        <v>340</v>
      </c>
      <c r="B23" s="800"/>
      <c r="C23" s="800"/>
      <c r="D23" s="128">
        <f>inputOth!E13</f>
        <v>5139</v>
      </c>
      <c r="E23" s="129"/>
      <c r="F23" s="129"/>
    </row>
    <row r="24" spans="1:6" ht="15.75">
      <c r="A24" s="129"/>
      <c r="B24" s="129"/>
      <c r="C24" s="129"/>
      <c r="D24" s="130"/>
      <c r="E24" s="129"/>
      <c r="F24" s="129"/>
    </row>
    <row r="25" spans="1:6" ht="15.75">
      <c r="A25" s="129"/>
      <c r="B25" s="873" t="s">
        <v>341</v>
      </c>
      <c r="C25" s="874"/>
      <c r="D25" s="131">
        <f>IF(D23&gt;0,(D23*0.001),"")</f>
        <v>5.139</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C8" sqref="C8"/>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951</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Rockville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3  members voted in favor of the budget and   0  members voted against the budget.")</f>
        <v>In adopting the 2015 budget the governing body voted to increase property taxes in an amount greater than the amount levied for the 2014 budget, adjusted by the 2013 CPI for all urban consumers.   3  members voted in favor of the budget and   0  members voted against the budget.</v>
      </c>
      <c r="D7" s="877"/>
      <c r="E7" s="877"/>
      <c r="F7" s="877"/>
      <c r="G7" s="877"/>
      <c r="H7" s="877"/>
      <c r="I7" s="878"/>
    </row>
  </sheetData>
  <sheetProtection/>
  <mergeCells count="3">
    <mergeCell ref="C7:I7"/>
    <mergeCell ref="C4:I4"/>
    <mergeCell ref="C6:I6"/>
  </mergeCells>
  <printOptions/>
  <pageMargins left="0.7" right="0.7"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913</v>
      </c>
      <c r="D4" s="886"/>
      <c r="E4" s="886"/>
      <c r="F4" s="886"/>
      <c r="G4" s="886"/>
      <c r="H4" s="887"/>
    </row>
    <row r="5" spans="3:8" ht="16.5" thickBot="1">
      <c r="C5" s="766"/>
      <c r="D5" s="766"/>
      <c r="E5" s="766"/>
      <c r="F5" s="766"/>
      <c r="G5" s="766"/>
      <c r="H5" s="766"/>
    </row>
    <row r="6" spans="3:8" ht="15.75">
      <c r="C6" s="882" t="str">
        <f>CONCATENATE("Notice of Vote - ",inputPrYr!D2)</f>
        <v>Notice of Vote - Rockville Township</v>
      </c>
      <c r="D6" s="883"/>
      <c r="E6" s="883"/>
      <c r="F6" s="883"/>
      <c r="G6" s="883"/>
      <c r="H6" s="884"/>
    </row>
    <row r="7" spans="3:8" ht="15.75">
      <c r="C7" s="888" t="s">
        <v>914</v>
      </c>
      <c r="D7" s="889"/>
      <c r="E7" s="889"/>
      <c r="F7" s="889"/>
      <c r="G7" s="889"/>
      <c r="H7" s="890"/>
    </row>
    <row r="8" spans="3:8" ht="15.75">
      <c r="C8" s="888" t="s">
        <v>915</v>
      </c>
      <c r="D8" s="889"/>
      <c r="E8" s="889"/>
      <c r="F8" s="889"/>
      <c r="G8" s="889"/>
      <c r="H8" s="890"/>
    </row>
    <row r="9" spans="3:8" ht="15.75">
      <c r="C9" s="769" t="str">
        <f>CONCATENATE(H2-1," Budget")</f>
        <v>2014 Budget</v>
      </c>
      <c r="D9" s="773" t="s">
        <v>2</v>
      </c>
      <c r="E9" s="775">
        <f>inputPrYr!E26</f>
        <v>54441</v>
      </c>
      <c r="F9" s="767"/>
      <c r="G9" s="767"/>
      <c r="H9" s="768"/>
    </row>
    <row r="10" spans="3:8" ht="15.75">
      <c r="C10" s="769" t="str">
        <f>CONCATENATE(H2," Budget")</f>
        <v>2015 Budget</v>
      </c>
      <c r="D10" s="773" t="s">
        <v>2</v>
      </c>
      <c r="E10" s="776">
        <f>cert!F35</f>
        <v>55598</v>
      </c>
      <c r="F10" s="767"/>
      <c r="G10" s="767"/>
      <c r="H10" s="768"/>
    </row>
    <row r="11" spans="3:8" ht="15.75">
      <c r="C11" s="769"/>
      <c r="D11" s="767"/>
      <c r="E11" s="767" t="s">
        <v>916</v>
      </c>
      <c r="F11" s="777"/>
      <c r="G11" s="772" t="s">
        <v>917</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Rockville Township</v>
      </c>
      <c r="B1" s="79"/>
      <c r="C1" s="79"/>
      <c r="D1" s="79"/>
      <c r="E1" s="79">
        <f>inputPrYr!D5</f>
        <v>2015</v>
      </c>
    </row>
    <row r="2" spans="1:5" ht="15.75">
      <c r="A2" s="77" t="str">
        <f>inputPrYr!D3</f>
        <v>Rice County</v>
      </c>
      <c r="B2" s="79"/>
      <c r="C2" s="79"/>
      <c r="D2" s="79"/>
      <c r="E2" s="79"/>
    </row>
    <row r="3" spans="1:5" ht="15.75">
      <c r="A3" s="79"/>
      <c r="B3" s="79"/>
      <c r="C3" s="79"/>
      <c r="D3" s="79"/>
      <c r="E3" s="79"/>
    </row>
    <row r="4" spans="1:5" ht="15.75">
      <c r="A4" s="782" t="s">
        <v>135</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2386383</v>
      </c>
    </row>
    <row r="8" spans="1:5" ht="15.75">
      <c r="A8" s="11" t="str">
        <f>CONCATENATE("New Improvements for ",E1-1,"")</f>
        <v>New Improvements for 2014</v>
      </c>
      <c r="B8" s="8"/>
      <c r="C8" s="8"/>
      <c r="D8" s="8"/>
      <c r="E8" s="721">
        <v>7229</v>
      </c>
    </row>
    <row r="9" spans="1:5" ht="15.75">
      <c r="A9" s="11" t="str">
        <f>CONCATENATE("Personal Property excluding oil, gas, and mobile homes - ",E1-1,"")</f>
        <v>Personal Property excluding oil, gas, and mobile homes - 2014</v>
      </c>
      <c r="B9" s="8"/>
      <c r="C9" s="8"/>
      <c r="D9" s="8"/>
      <c r="E9" s="721">
        <v>49777</v>
      </c>
    </row>
    <row r="10" spans="1:5" ht="15.75">
      <c r="A10" s="11" t="str">
        <f>CONCATENATE("Property that has changed in use for ",E1-1,"")</f>
        <v>Property that has changed in use for 2014</v>
      </c>
      <c r="B10" s="8"/>
      <c r="C10" s="8"/>
      <c r="D10" s="8"/>
      <c r="E10" s="721">
        <v>0</v>
      </c>
    </row>
    <row r="11" spans="1:5" ht="15.75">
      <c r="A11" s="11" t="str">
        <f>CONCATENATE("Personal Property excluding oil, gas, and mobile homes- ",E1-2,"")</f>
        <v>Personal Property excluding oil, gas, and mobile homes- 2013</v>
      </c>
      <c r="B11" s="8"/>
      <c r="C11" s="8"/>
      <c r="D11" s="8"/>
      <c r="E11" s="721">
        <v>82285</v>
      </c>
    </row>
    <row r="12" spans="1:5" ht="15.75">
      <c r="A12" s="11" t="str">
        <f>CONCATENATE("Gross earnings (intangible) tax estimate for ",E1,"")</f>
        <v>Gross earnings (intangible) tax estimate for 2015</v>
      </c>
      <c r="B12" s="8"/>
      <c r="C12" s="8"/>
      <c r="D12" s="8"/>
      <c r="E12" s="721">
        <v>83</v>
      </c>
    </row>
    <row r="13" spans="1:5" ht="15.75">
      <c r="A13" s="11" t="str">
        <f>CONCATENATE("Neighborhood Revitalization - ",E1,"")</f>
        <v>Neighborhood Revitalization - 2015</v>
      </c>
      <c r="B13" s="8"/>
      <c r="C13" s="8"/>
      <c r="D13" s="8"/>
      <c r="E13" s="721">
        <v>5139</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262</v>
      </c>
      <c r="B16" s="788"/>
      <c r="C16" s="79"/>
      <c r="D16" s="272" t="s">
        <v>3</v>
      </c>
      <c r="E16" s="271"/>
    </row>
    <row r="17" spans="1:5" ht="15.75">
      <c r="A17" s="60" t="str">
        <f>inputPrYr!B16</f>
        <v>General</v>
      </c>
      <c r="B17" s="9"/>
      <c r="C17" s="8"/>
      <c r="D17" s="722">
        <v>2.365</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20.871</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23.235999999999997</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2342973</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4224</v>
      </c>
    </row>
    <row r="33" spans="1:5" ht="15.75">
      <c r="A33" s="278" t="s">
        <v>253</v>
      </c>
      <c r="B33" s="255"/>
      <c r="C33" s="255"/>
      <c r="D33" s="20"/>
      <c r="E33" s="23">
        <v>105</v>
      </c>
    </row>
    <row r="34" spans="1:5" ht="15.75">
      <c r="A34" s="278" t="s">
        <v>137</v>
      </c>
      <c r="B34" s="255"/>
      <c r="C34" s="255"/>
      <c r="D34" s="20"/>
      <c r="E34" s="23">
        <v>149</v>
      </c>
    </row>
    <row r="35" spans="1:5" ht="15.75">
      <c r="A35" s="278" t="s">
        <v>138</v>
      </c>
      <c r="B35" s="255"/>
      <c r="C35" s="255"/>
      <c r="D35" s="20"/>
      <c r="E35" s="23">
        <v>0</v>
      </c>
    </row>
    <row r="36" spans="1:5" ht="15.75">
      <c r="A36" s="278" t="s">
        <v>100</v>
      </c>
      <c r="B36" s="9"/>
      <c r="C36" s="9"/>
      <c r="D36" s="277"/>
      <c r="E36" s="23">
        <v>1992</v>
      </c>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0.0092</v>
      </c>
    </row>
    <row r="40" spans="1:5" ht="15.75">
      <c r="A40" s="278" t="s">
        <v>816</v>
      </c>
      <c r="B40" s="261"/>
      <c r="C40" s="8"/>
      <c r="D40" s="8"/>
      <c r="E40" s="704">
        <v>0.014</v>
      </c>
    </row>
    <row r="41" spans="1:5" ht="15.7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184</v>
      </c>
      <c r="B45" s="283" t="s">
        <v>185</v>
      </c>
      <c r="C45" s="284" t="s">
        <v>186</v>
      </c>
      <c r="D45" s="285"/>
      <c r="E45" s="285"/>
    </row>
    <row r="46" spans="1:5" ht="15.75">
      <c r="A46" s="286" t="str">
        <f>inputPrYr!B16</f>
        <v>General</v>
      </c>
      <c r="B46" s="25">
        <v>6700</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53300</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591</v>
      </c>
      <c r="C6" s="908"/>
      <c r="D6" s="908"/>
      <c r="E6" s="908"/>
      <c r="F6" s="908"/>
      <c r="G6" s="908"/>
      <c r="H6" s="908"/>
      <c r="I6" s="908"/>
      <c r="J6" s="908"/>
      <c r="K6" s="908"/>
      <c r="L6" s="380"/>
    </row>
    <row r="7" spans="1:12" ht="40.5" customHeight="1">
      <c r="A7" s="377"/>
      <c r="B7" s="920" t="s">
        <v>592</v>
      </c>
      <c r="C7" s="921"/>
      <c r="D7" s="921"/>
      <c r="E7" s="921"/>
      <c r="F7" s="921"/>
      <c r="G7" s="921"/>
      <c r="H7" s="921"/>
      <c r="I7" s="921"/>
      <c r="J7" s="921"/>
      <c r="K7" s="921"/>
      <c r="L7" s="377"/>
    </row>
    <row r="8" spans="1:12" ht="14.25">
      <c r="A8" s="377"/>
      <c r="B8" s="917" t="s">
        <v>593</v>
      </c>
      <c r="C8" s="917"/>
      <c r="D8" s="917"/>
      <c r="E8" s="917"/>
      <c r="F8" s="917"/>
      <c r="G8" s="917"/>
      <c r="H8" s="917"/>
      <c r="I8" s="917"/>
      <c r="J8" s="917"/>
      <c r="K8" s="917"/>
      <c r="L8" s="377"/>
    </row>
    <row r="9" spans="1:12" ht="14.25">
      <c r="A9" s="377"/>
      <c r="L9" s="377"/>
    </row>
    <row r="10" spans="1:12" ht="14.25">
      <c r="A10" s="377"/>
      <c r="B10" s="917" t="s">
        <v>594</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595</v>
      </c>
      <c r="C12" s="901"/>
      <c r="D12" s="901"/>
      <c r="E12" s="901"/>
      <c r="F12" s="901"/>
      <c r="G12" s="901"/>
      <c r="H12" s="901"/>
      <c r="I12" s="901"/>
      <c r="J12" s="901"/>
      <c r="K12" s="901"/>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903">
        <v>312000000</v>
      </c>
      <c r="G23" s="903"/>
      <c r="L23" s="377"/>
    </row>
    <row r="24" spans="1:12" ht="14.25">
      <c r="A24" s="377"/>
      <c r="L24" s="377"/>
    </row>
    <row r="25" spans="1:12" ht="14.25">
      <c r="A25" s="377"/>
      <c r="C25" s="918">
        <f>F23</f>
        <v>312000000</v>
      </c>
      <c r="D25" s="918"/>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592</v>
      </c>
      <c r="C30" s="905"/>
      <c r="D30" s="905"/>
      <c r="E30" s="905"/>
      <c r="F30" s="905"/>
      <c r="G30" s="905"/>
      <c r="H30" s="905"/>
      <c r="I30" s="905"/>
      <c r="J30" s="905"/>
      <c r="K30" s="905"/>
      <c r="L30" s="377"/>
    </row>
    <row r="31" spans="1:12" ht="14.25">
      <c r="A31" s="377"/>
      <c r="B31" s="917" t="s">
        <v>604</v>
      </c>
      <c r="C31" s="917"/>
      <c r="D31" s="917"/>
      <c r="E31" s="917"/>
      <c r="F31" s="917"/>
      <c r="G31" s="917"/>
      <c r="H31" s="917"/>
      <c r="I31" s="917"/>
      <c r="J31" s="917"/>
      <c r="K31" s="917"/>
      <c r="L31" s="377"/>
    </row>
    <row r="32" spans="1:12" ht="14.25">
      <c r="A32" s="377"/>
      <c r="L32" s="377"/>
    </row>
    <row r="33" spans="1:12" ht="14.25">
      <c r="A33" s="377"/>
      <c r="B33" s="917" t="s">
        <v>605</v>
      </c>
      <c r="C33" s="917"/>
      <c r="D33" s="917"/>
      <c r="E33" s="917"/>
      <c r="F33" s="917"/>
      <c r="G33" s="917"/>
      <c r="H33" s="917"/>
      <c r="I33" s="917"/>
      <c r="J33" s="917"/>
      <c r="K33" s="917"/>
      <c r="L33" s="377"/>
    </row>
    <row r="34" spans="1:12" ht="14.25">
      <c r="A34" s="377"/>
      <c r="L34" s="377"/>
    </row>
    <row r="35" spans="1:12" ht="89.25" customHeight="1">
      <c r="A35" s="377"/>
      <c r="B35" s="901" t="s">
        <v>606</v>
      </c>
      <c r="C35" s="911"/>
      <c r="D35" s="911"/>
      <c r="E35" s="911"/>
      <c r="F35" s="911"/>
      <c r="G35" s="911"/>
      <c r="H35" s="911"/>
      <c r="I35" s="911"/>
      <c r="J35" s="911"/>
      <c r="K35" s="911"/>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19">
        <v>312000000</v>
      </c>
      <c r="D41" s="919"/>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12">
        <v>312000000</v>
      </c>
      <c r="C48" s="903"/>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13" t="s">
        <v>614</v>
      </c>
      <c r="H50" s="914"/>
      <c r="I50" s="521" t="s">
        <v>600</v>
      </c>
      <c r="J50" s="397">
        <f>B50/F50</f>
        <v>0.16025641025641027</v>
      </c>
      <c r="K50" s="389"/>
      <c r="L50" s="377"/>
    </row>
    <row r="51" spans="1:15" ht="15" thickBot="1">
      <c r="A51" s="377"/>
      <c r="B51" s="390"/>
      <c r="C51" s="391"/>
      <c r="D51" s="391"/>
      <c r="E51" s="391"/>
      <c r="F51" s="391"/>
      <c r="G51" s="391"/>
      <c r="H51" s="391"/>
      <c r="I51" s="915" t="s">
        <v>615</v>
      </c>
      <c r="J51" s="915"/>
      <c r="K51" s="916"/>
      <c r="L51" s="377"/>
      <c r="O51" s="398"/>
    </row>
    <row r="52" spans="1:12" ht="40.5" customHeight="1">
      <c r="A52" s="377"/>
      <c r="B52" s="905" t="s">
        <v>592</v>
      </c>
      <c r="C52" s="905"/>
      <c r="D52" s="905"/>
      <c r="E52" s="905"/>
      <c r="F52" s="905"/>
      <c r="G52" s="905"/>
      <c r="H52" s="905"/>
      <c r="I52" s="905"/>
      <c r="J52" s="905"/>
      <c r="K52" s="905"/>
      <c r="L52" s="377"/>
    </row>
    <row r="53" spans="1:12" ht="14.25">
      <c r="A53" s="377"/>
      <c r="B53" s="917" t="s">
        <v>616</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617</v>
      </c>
      <c r="C55" s="900"/>
      <c r="D55" s="900"/>
      <c r="E55" s="900"/>
      <c r="F55" s="900"/>
      <c r="G55" s="900"/>
      <c r="H55" s="900"/>
      <c r="I55" s="900"/>
      <c r="J55" s="900"/>
      <c r="K55" s="900"/>
      <c r="L55" s="377"/>
    </row>
    <row r="56" spans="1:12" ht="15" customHeight="1">
      <c r="A56" s="377"/>
      <c r="L56" s="377"/>
    </row>
    <row r="57" spans="1:24" ht="74.25" customHeight="1">
      <c r="A57" s="377"/>
      <c r="B57" s="901" t="s">
        <v>618</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903">
        <v>312000000</v>
      </c>
      <c r="D74" s="903"/>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903">
        <v>50000</v>
      </c>
      <c r="D77" s="903"/>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903">
        <v>100000</v>
      </c>
      <c r="D80" s="903"/>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4">
        <f>H80</f>
        <v>11500</v>
      </c>
      <c r="D83" s="904"/>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592</v>
      </c>
      <c r="C85" s="905"/>
      <c r="D85" s="905"/>
      <c r="E85" s="905"/>
      <c r="F85" s="905"/>
      <c r="G85" s="905"/>
      <c r="H85" s="905"/>
      <c r="I85" s="905"/>
      <c r="J85" s="905"/>
      <c r="K85" s="905"/>
      <c r="L85" s="377"/>
    </row>
    <row r="86" spans="1:12" ht="14.25">
      <c r="A86" s="377"/>
      <c r="B86" s="900" t="s">
        <v>634</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635</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636</v>
      </c>
      <c r="C90" s="901"/>
      <c r="D90" s="901"/>
      <c r="E90" s="901"/>
      <c r="F90" s="901"/>
      <c r="G90" s="901"/>
      <c r="H90" s="901"/>
      <c r="I90" s="901"/>
      <c r="J90" s="901"/>
      <c r="K90" s="901"/>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3">
        <v>312000000</v>
      </c>
      <c r="D94" s="903"/>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3">
        <v>50000</v>
      </c>
      <c r="D97" s="903"/>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3">
        <v>2500000</v>
      </c>
      <c r="D100" s="903"/>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4">
        <f>H100</f>
        <v>750000</v>
      </c>
      <c r="D103" s="904"/>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592</v>
      </c>
      <c r="C105" s="906"/>
      <c r="D105" s="906"/>
      <c r="E105" s="906"/>
      <c r="F105" s="906"/>
      <c r="G105" s="906"/>
      <c r="H105" s="906"/>
      <c r="I105" s="906"/>
      <c r="J105" s="906"/>
      <c r="K105" s="906"/>
      <c r="L105" s="377"/>
    </row>
    <row r="106" spans="1:12" ht="15" customHeight="1">
      <c r="A106" s="377"/>
      <c r="B106" s="907" t="s">
        <v>638</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639</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640</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903">
        <v>312000000</v>
      </c>
      <c r="D114" s="903"/>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903">
        <v>50000</v>
      </c>
      <c r="D117" s="903"/>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903">
        <v>2500000</v>
      </c>
      <c r="D120" s="903"/>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4">
        <f>H120</f>
        <v>625000</v>
      </c>
      <c r="D123" s="904"/>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592</v>
      </c>
      <c r="C125" s="905"/>
      <c r="D125" s="905"/>
      <c r="E125" s="905"/>
      <c r="F125" s="905"/>
      <c r="G125" s="905"/>
      <c r="H125" s="905"/>
      <c r="I125" s="905"/>
      <c r="J125" s="905"/>
      <c r="K125" s="905"/>
      <c r="L125" s="423"/>
    </row>
    <row r="126" spans="1:12" ht="14.25">
      <c r="A126" s="377"/>
      <c r="B126" s="900" t="s">
        <v>641</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642</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643</v>
      </c>
      <c r="C130" s="901"/>
      <c r="D130" s="901"/>
      <c r="E130" s="901"/>
      <c r="F130" s="901"/>
      <c r="G130" s="901"/>
      <c r="H130" s="901"/>
      <c r="I130" s="901"/>
      <c r="J130" s="901"/>
      <c r="K130" s="901"/>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02" t="s">
        <v>644</v>
      </c>
      <c r="D133" s="902"/>
      <c r="E133" s="387"/>
      <c r="F133" s="521" t="s">
        <v>645</v>
      </c>
      <c r="G133" s="387"/>
      <c r="H133" s="902" t="s">
        <v>630</v>
      </c>
      <c r="I133" s="902"/>
      <c r="J133" s="387"/>
      <c r="K133" s="389"/>
      <c r="L133" s="377"/>
    </row>
    <row r="134" spans="1:12" ht="14.25">
      <c r="A134" s="377"/>
      <c r="B134" s="395" t="s">
        <v>623</v>
      </c>
      <c r="C134" s="903">
        <v>100000</v>
      </c>
      <c r="D134" s="903"/>
      <c r="E134" s="521" t="s">
        <v>266</v>
      </c>
      <c r="F134" s="521">
        <v>0.115</v>
      </c>
      <c r="G134" s="521" t="s">
        <v>600</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630</v>
      </c>
      <c r="D136" s="891"/>
      <c r="E136" s="405"/>
      <c r="F136" s="523" t="s">
        <v>646</v>
      </c>
      <c r="G136" s="523"/>
      <c r="H136" s="405"/>
      <c r="I136" s="405"/>
      <c r="J136" s="405" t="s">
        <v>647</v>
      </c>
      <c r="K136" s="406"/>
      <c r="L136" s="377"/>
    </row>
    <row r="137" spans="1:12" ht="14.25">
      <c r="A137" s="377"/>
      <c r="B137" s="395" t="s">
        <v>626</v>
      </c>
      <c r="C137" s="892">
        <f>H134</f>
        <v>11500</v>
      </c>
      <c r="D137" s="892"/>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650</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892" t="s">
        <v>651</v>
      </c>
      <c r="D147" s="892"/>
      <c r="E147" s="521"/>
      <c r="F147" s="441" t="s">
        <v>652</v>
      </c>
      <c r="G147" s="521"/>
      <c r="H147" s="521"/>
      <c r="I147" s="521"/>
      <c r="J147" s="896" t="s">
        <v>653</v>
      </c>
      <c r="K147" s="897"/>
      <c r="L147" s="377"/>
    </row>
    <row r="148" spans="1:12" ht="14.25">
      <c r="A148" s="377"/>
      <c r="B148" s="395"/>
      <c r="C148" s="898">
        <v>52.869</v>
      </c>
      <c r="D148" s="898"/>
      <c r="E148" s="521" t="s">
        <v>266</v>
      </c>
      <c r="F148" s="517">
        <v>312000000</v>
      </c>
      <c r="G148" s="446" t="s">
        <v>601</v>
      </c>
      <c r="H148" s="521">
        <v>1000</v>
      </c>
      <c r="I148" s="521" t="s">
        <v>600</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919</v>
      </c>
    </row>
    <row r="2" ht="15.75">
      <c r="A2" s="779" t="s">
        <v>918</v>
      </c>
    </row>
    <row r="4" ht="15.75">
      <c r="A4" s="349" t="s">
        <v>920</v>
      </c>
    </row>
    <row r="5" ht="15.75">
      <c r="A5" s="734" t="s">
        <v>893</v>
      </c>
    </row>
    <row r="7" ht="15.75">
      <c r="A7" s="349" t="s">
        <v>921</v>
      </c>
    </row>
    <row r="8" ht="15.75">
      <c r="A8" s="719" t="s">
        <v>892</v>
      </c>
    </row>
    <row r="10" ht="15.75">
      <c r="A10" s="349" t="s">
        <v>922</v>
      </c>
    </row>
    <row r="11" ht="15.75">
      <c r="A11" s="714" t="s">
        <v>889</v>
      </c>
    </row>
    <row r="13" ht="15.75">
      <c r="A13" s="349" t="s">
        <v>923</v>
      </c>
    </row>
    <row r="14" ht="15.75">
      <c r="A14" s="717" t="s">
        <v>890</v>
      </c>
    </row>
    <row r="16" ht="15.75">
      <c r="A16" s="349" t="s">
        <v>924</v>
      </c>
    </row>
    <row r="17" ht="15.75">
      <c r="A17" s="69" t="s">
        <v>888</v>
      </c>
    </row>
    <row r="19" ht="15.75">
      <c r="A19" s="349" t="s">
        <v>925</v>
      </c>
    </row>
    <row r="20" ht="15.75">
      <c r="A20" s="714" t="s">
        <v>887</v>
      </c>
    </row>
    <row r="22" ht="15.75">
      <c r="A22" s="349" t="s">
        <v>926</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927</v>
      </c>
    </row>
    <row r="54" ht="15.75">
      <c r="A54" s="69" t="s">
        <v>716</v>
      </c>
    </row>
    <row r="56" ht="15.75">
      <c r="A56" s="349" t="s">
        <v>928</v>
      </c>
    </row>
    <row r="57" ht="15.75">
      <c r="A57" s="69" t="s">
        <v>715</v>
      </c>
    </row>
    <row r="59" ht="15.75">
      <c r="A59" s="349" t="s">
        <v>929</v>
      </c>
    </row>
    <row r="60" ht="15.75">
      <c r="A60" s="509" t="s">
        <v>713</v>
      </c>
    </row>
    <row r="62" ht="15.75">
      <c r="A62" s="349" t="s">
        <v>930</v>
      </c>
    </row>
    <row r="63" ht="15.75">
      <c r="A63" s="69" t="s">
        <v>711</v>
      </c>
    </row>
    <row r="64" ht="15.75">
      <c r="A64" s="69" t="s">
        <v>712</v>
      </c>
    </row>
    <row r="66" ht="15.75">
      <c r="A66" s="349" t="s">
        <v>931</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932</v>
      </c>
    </row>
    <row r="92" ht="37.5" customHeight="1">
      <c r="A92" s="316" t="s">
        <v>585</v>
      </c>
    </row>
    <row r="93" ht="15.75" customHeight="1"/>
    <row r="94" ht="15.75">
      <c r="A94" s="349" t="s">
        <v>933</v>
      </c>
    </row>
    <row r="95" ht="15.75">
      <c r="A95" s="69" t="s">
        <v>582</v>
      </c>
    </row>
    <row r="96" ht="15.75">
      <c r="A96" s="69" t="s">
        <v>583</v>
      </c>
    </row>
    <row r="97" ht="15.75">
      <c r="A97" s="69" t="s">
        <v>584</v>
      </c>
    </row>
    <row r="99" ht="15.75">
      <c r="A99" s="352" t="s">
        <v>934</v>
      </c>
    </row>
    <row r="100" ht="15.75">
      <c r="A100" s="69" t="s">
        <v>581</v>
      </c>
    </row>
    <row r="102" ht="15.75">
      <c r="A102" s="349" t="s">
        <v>935</v>
      </c>
    </row>
    <row r="103" ht="15.75">
      <c r="A103" s="350" t="s">
        <v>561</v>
      </c>
    </row>
    <row r="104" ht="15.75">
      <c r="A104" s="350" t="s">
        <v>562</v>
      </c>
    </row>
    <row r="105" ht="15.75">
      <c r="A105" s="350" t="s">
        <v>563</v>
      </c>
    </row>
    <row r="106" ht="15.75">
      <c r="A106" s="348" t="s">
        <v>564</v>
      </c>
    </row>
    <row r="108" ht="15.75">
      <c r="A108" s="327" t="s">
        <v>936</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937</v>
      </c>
    </row>
    <row r="126" ht="15.75">
      <c r="A126" s="69" t="s">
        <v>286</v>
      </c>
    </row>
    <row r="127" ht="15.75">
      <c r="A127" s="69" t="s">
        <v>287</v>
      </c>
    </row>
    <row r="129" ht="15.75">
      <c r="A129" s="327" t="s">
        <v>938</v>
      </c>
    </row>
    <row r="130" ht="15.75">
      <c r="A130" s="69" t="s">
        <v>285</v>
      </c>
    </row>
    <row r="132" ht="15.75">
      <c r="A132" s="327" t="s">
        <v>939</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945</v>
      </c>
      <c r="C4" s="683"/>
      <c r="J4" s="684" t="s">
        <v>803</v>
      </c>
    </row>
    <row r="5" spans="1:10" ht="15.75">
      <c r="A5" s="449"/>
      <c r="B5" s="683"/>
      <c r="J5" s="684" t="s">
        <v>804</v>
      </c>
    </row>
    <row r="6" spans="1:10" ht="15.75">
      <c r="A6" s="449" t="s">
        <v>799</v>
      </c>
      <c r="B6" s="724" t="s">
        <v>946</v>
      </c>
      <c r="J6" s="684" t="s">
        <v>805</v>
      </c>
    </row>
    <row r="7" spans="1:10" ht="15.75">
      <c r="A7" s="335"/>
      <c r="B7" s="335"/>
      <c r="C7" s="335"/>
      <c r="D7" s="337"/>
      <c r="E7" s="335"/>
      <c r="F7" s="335"/>
      <c r="J7" s="684" t="s">
        <v>806</v>
      </c>
    </row>
    <row r="8" spans="1:10" ht="15.75">
      <c r="A8" s="336" t="s">
        <v>345</v>
      </c>
      <c r="B8" s="724" t="s">
        <v>948</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August 1, 2014</v>
      </c>
      <c r="E9" s="335"/>
      <c r="F9" s="335"/>
      <c r="J9" s="684" t="s">
        <v>808</v>
      </c>
    </row>
    <row r="10" spans="1:10" ht="15.75">
      <c r="A10" s="336" t="s">
        <v>346</v>
      </c>
      <c r="B10" s="724" t="s">
        <v>949</v>
      </c>
      <c r="C10" s="341"/>
      <c r="D10" s="336"/>
      <c r="E10" s="335"/>
      <c r="F10" s="335"/>
      <c r="J10" s="684" t="s">
        <v>809</v>
      </c>
    </row>
    <row r="11" spans="1:10" ht="15.75">
      <c r="A11" s="336"/>
      <c r="B11" s="336"/>
      <c r="C11" s="336"/>
      <c r="D11" s="336"/>
      <c r="E11" s="335"/>
      <c r="F11" s="335"/>
      <c r="J11" s="684" t="s">
        <v>810</v>
      </c>
    </row>
    <row r="12" spans="1:10" ht="15.75">
      <c r="A12" s="336" t="s">
        <v>347</v>
      </c>
      <c r="B12" s="725" t="s">
        <v>950</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947</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August</v>
      </c>
    </row>
    <row r="20" spans="1:7" ht="15.75">
      <c r="A20" s="336" t="s">
        <v>345</v>
      </c>
      <c r="B20" s="339" t="s">
        <v>350</v>
      </c>
      <c r="C20" s="336"/>
      <c r="D20" s="336"/>
      <c r="E20" s="336"/>
      <c r="G20" s="685" t="str">
        <f>IF(B8="","",CONCATENATE("J",G22))</f>
        <v>J8</v>
      </c>
    </row>
    <row r="21" spans="1:7" ht="15.75">
      <c r="A21" s="336"/>
      <c r="B21" s="336"/>
      <c r="C21" s="336"/>
      <c r="D21" s="336"/>
      <c r="E21" s="336"/>
      <c r="G21" s="686">
        <f>B8-10</f>
        <v>41852</v>
      </c>
    </row>
    <row r="22" spans="1:7" ht="15.75">
      <c r="A22" s="336" t="s">
        <v>346</v>
      </c>
      <c r="B22" s="336" t="s">
        <v>351</v>
      </c>
      <c r="C22" s="336"/>
      <c r="D22" s="336"/>
      <c r="E22" s="336"/>
      <c r="G22" s="687">
        <f>IF(B8="","",MONTH(G21))</f>
        <v>8</v>
      </c>
    </row>
    <row r="23" spans="1:7" ht="15.75">
      <c r="A23" s="336"/>
      <c r="B23" s="336"/>
      <c r="C23" s="336"/>
      <c r="D23" s="336"/>
      <c r="E23" s="336"/>
      <c r="G23" s="688">
        <f>IF(B8="","",DAY(G21))</f>
        <v>1</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1" t="s">
        <v>70</v>
      </c>
      <c r="C1" s="801"/>
      <c r="D1" s="801"/>
      <c r="E1" s="801"/>
      <c r="F1" s="801"/>
      <c r="G1" s="801"/>
      <c r="H1" s="3">
        <f>inputPrYr!D5</f>
        <v>2015</v>
      </c>
    </row>
    <row r="2" spans="3:7" s="3" customFormat="1" ht="15.75">
      <c r="C2" s="134"/>
      <c r="D2" s="134"/>
      <c r="E2" s="134"/>
      <c r="F2" s="134"/>
      <c r="G2" s="51"/>
    </row>
    <row r="3" spans="2:8" s="3" customFormat="1" ht="15.75">
      <c r="B3" s="796" t="str">
        <f>CONCATENATE("To the Clerk of ",inputPrYr!D3,", State of Kansas")</f>
        <v>To the Clerk of Rice County, State of Kansas</v>
      </c>
      <c r="C3" s="809"/>
      <c r="D3" s="809"/>
      <c r="E3" s="809"/>
      <c r="F3" s="809"/>
      <c r="G3" s="809"/>
      <c r="H3" s="809"/>
    </row>
    <row r="4" spans="2:7" s="3" customFormat="1" ht="15.75">
      <c r="B4" s="796" t="s">
        <v>131</v>
      </c>
      <c r="C4" s="797"/>
      <c r="D4" s="797"/>
      <c r="E4" s="797"/>
      <c r="F4" s="797"/>
      <c r="G4" s="797"/>
    </row>
    <row r="5" spans="2:7" s="3" customFormat="1" ht="15.75">
      <c r="B5" s="798" t="str">
        <f>inputPrYr!D2</f>
        <v>Rockville Township</v>
      </c>
      <c r="C5" s="797"/>
      <c r="D5" s="797"/>
      <c r="E5" s="797"/>
      <c r="F5" s="797"/>
      <c r="G5" s="797"/>
    </row>
    <row r="6" spans="2:7" s="3" customFormat="1" ht="15.75">
      <c r="B6" s="808" t="s">
        <v>129</v>
      </c>
      <c r="C6" s="809"/>
      <c r="D6" s="809"/>
      <c r="E6" s="809"/>
      <c r="F6" s="809"/>
      <c r="G6" s="809"/>
    </row>
    <row r="7" spans="2:7" s="3" customFormat="1" ht="15.75" customHeight="1">
      <c r="B7" s="796" t="s">
        <v>130</v>
      </c>
      <c r="C7" s="810"/>
      <c r="D7" s="810"/>
      <c r="E7" s="810"/>
      <c r="F7" s="810"/>
      <c r="G7" s="810"/>
    </row>
    <row r="8" spans="2:7" s="3" customFormat="1" ht="15.75" customHeight="1">
      <c r="B8" s="796" t="str">
        <f>CONCATENATE("maximum expenditures for the various funds for the year ",H1,"; and (3) the")</f>
        <v>maximum expenditures for the various funds for the year 2015; and (3) the</v>
      </c>
      <c r="C8" s="797"/>
      <c r="D8" s="797"/>
      <c r="E8" s="797"/>
      <c r="F8" s="797"/>
      <c r="G8" s="797"/>
    </row>
    <row r="9" spans="2:7" s="3" customFormat="1" ht="15.75" customHeight="1">
      <c r="B9" s="796" t="str">
        <f>CONCATENATE("Amount(s) of ",H1-1," Ad Valorem Tax are within statutory limitations for the ",H1," Budget.")</f>
        <v>Amount(s) of 2014 Ad Valorem Tax are within statutory limitations for the 2015 Budget.</v>
      </c>
      <c r="C9" s="797"/>
      <c r="D9" s="797"/>
      <c r="E9" s="797"/>
      <c r="F9" s="797"/>
      <c r="G9" s="797"/>
    </row>
    <row r="10" spans="5:7" s="3" customFormat="1" ht="15.75" customHeight="1">
      <c r="E10" s="55"/>
      <c r="F10" s="55"/>
      <c r="G10" s="55"/>
    </row>
    <row r="11" spans="4:7" s="3" customFormat="1" ht="15.75">
      <c r="D11" s="8"/>
      <c r="E11" s="805" t="str">
        <f>CONCATENATE("",H1," Adopted Budget")</f>
        <v>2015 Adopted Budget</v>
      </c>
      <c r="F11" s="806"/>
      <c r="G11" s="807"/>
    </row>
    <row r="12" spans="2:7" s="3" customFormat="1" ht="15.75">
      <c r="B12" s="11"/>
      <c r="D12" s="55"/>
      <c r="E12" s="243" t="s">
        <v>254</v>
      </c>
      <c r="F12" s="802" t="str">
        <f>CONCATENATE("Amount of ",H1-1," Ad Valorem Tax")</f>
        <v>Amount of 2014 Ad Valorem Tax</v>
      </c>
      <c r="G12" s="12" t="s">
        <v>255</v>
      </c>
    </row>
    <row r="13" spans="4:7" s="3" customFormat="1" ht="15.75">
      <c r="D13" s="12" t="s">
        <v>256</v>
      </c>
      <c r="E13" s="497" t="s">
        <v>185</v>
      </c>
      <c r="F13" s="803"/>
      <c r="G13" s="145" t="s">
        <v>257</v>
      </c>
    </row>
    <row r="14" spans="2:7" s="3" customFormat="1" ht="15.75">
      <c r="B14" s="60" t="s">
        <v>258</v>
      </c>
      <c r="C14" s="9"/>
      <c r="D14" s="15" t="s">
        <v>259</v>
      </c>
      <c r="E14" s="498" t="s">
        <v>684</v>
      </c>
      <c r="F14" s="804"/>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IF(gen!C61&gt;0,gen!C61,"  ")</f>
        <v>6</v>
      </c>
      <c r="E21" s="695">
        <f>IF(gen!$E$50&lt;&gt;0,gen!$E$50,"  ")</f>
        <v>6700</v>
      </c>
      <c r="F21" s="695">
        <f>IF(gen!$E$57&lt;&gt;0,gen!$E$57,0)</f>
        <v>6114</v>
      </c>
      <c r="G21" s="696" t="str">
        <f>IF(AND(gen!E57=0,$C$40&gt;=0),"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IF(road!C67&gt;0,road!C67,"  ")</f>
        <v>7</v>
      </c>
      <c r="E24" s="695">
        <f>IF(road!$E$43&lt;&gt;0,road!$E$43,"  ")</f>
        <v>55300</v>
      </c>
      <c r="F24" s="695">
        <f>IF(road!$E$50&lt;&gt;0,road!$E$50,"  ")</f>
        <v>49484</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264</v>
      </c>
      <c r="C34" s="251"/>
      <c r="D34" s="252">
        <f>IF(road!C67&gt;0,road!C67,"  ")</f>
        <v>7</v>
      </c>
      <c r="E34" s="225"/>
      <c r="F34" s="225"/>
      <c r="G34" s="696"/>
    </row>
    <row r="35" spans="2:7" s="3" customFormat="1" ht="16.5" thickBot="1">
      <c r="B35" s="254" t="s">
        <v>265</v>
      </c>
      <c r="C35" s="255"/>
      <c r="D35" s="148" t="s">
        <v>266</v>
      </c>
      <c r="E35" s="697">
        <f>SUM(E21:E30)</f>
        <v>62000</v>
      </c>
      <c r="F35" s="697">
        <f>SUM(F21:F30)</f>
        <v>55598</v>
      </c>
      <c r="G35" s="698">
        <f>IF(SUM(G21:G30)&gt;0,SUM(G21:G30),"")</f>
      </c>
    </row>
    <row r="36" spans="2:4" s="3" customFormat="1" ht="16.5" thickTop="1">
      <c r="B36" s="16" t="s">
        <v>145</v>
      </c>
      <c r="C36" s="247"/>
      <c r="D36" s="252">
        <f>summ!D49</f>
        <v>8</v>
      </c>
    </row>
    <row r="37" spans="2:6" s="3" customFormat="1" ht="15.75">
      <c r="B37" s="737" t="s">
        <v>191</v>
      </c>
      <c r="C37" s="244"/>
      <c r="D37" s="736">
        <f>IF(nhood!C38&gt;0,nhood!C38,"")</f>
      </c>
      <c r="E37" s="738" t="s">
        <v>898</v>
      </c>
      <c r="F37" s="256" t="str">
        <f>IF(F35&gt;1000,IF(F35&gt;computation!J41,"Yes","No"),"No")</f>
        <v>Yes</v>
      </c>
    </row>
    <row r="38" spans="2:6" s="3" customFormat="1" ht="15.75">
      <c r="B38" s="278"/>
      <c r="C38" s="255"/>
      <c r="D38" s="735"/>
      <c r="E38" s="257"/>
      <c r="F38" s="258"/>
    </row>
    <row r="39" spans="2:7" s="3" customFormat="1" ht="15.75">
      <c r="B39" s="53" t="s">
        <v>97</v>
      </c>
      <c r="C39" s="811" t="s">
        <v>115</v>
      </c>
      <c r="D39" s="812"/>
      <c r="E39" s="259"/>
      <c r="G39" s="11" t="s">
        <v>267</v>
      </c>
    </row>
    <row r="40" spans="2:7" s="3" customFormat="1" ht="15.75">
      <c r="B40" s="16" t="s">
        <v>98</v>
      </c>
      <c r="C40" s="813"/>
      <c r="D40" s="814"/>
      <c r="E40" s="260"/>
      <c r="G40" s="11"/>
    </row>
    <row r="41" spans="2:7" s="3" customFormat="1" ht="15.75">
      <c r="B41" s="261"/>
      <c r="C41" s="815" t="str">
        <f>CONCATENATE("Nov. 1, ",H1-1," Valuation")</f>
        <v>Nov. 1, 2014 Valuation</v>
      </c>
      <c r="D41" s="816"/>
      <c r="E41" s="259"/>
      <c r="G41" s="11"/>
    </row>
    <row r="42" spans="2:7" s="3" customFormat="1" ht="15.75">
      <c r="B42" s="261" t="s">
        <v>268</v>
      </c>
      <c r="E42" s="8"/>
      <c r="G42" s="11"/>
    </row>
    <row r="43" spans="2:7" s="3" customFormat="1" ht="15.75">
      <c r="B43" s="262"/>
      <c r="C43" s="262"/>
      <c r="E43" s="699" t="s">
        <v>812</v>
      </c>
      <c r="F43" s="699"/>
      <c r="G43" s="699"/>
    </row>
    <row r="44" spans="2:7" s="3" customFormat="1" ht="15.75">
      <c r="B44" s="263"/>
      <c r="C44" s="263"/>
      <c r="E44" s="700"/>
      <c r="F44" s="700"/>
      <c r="G44" s="700"/>
    </row>
    <row r="45" spans="2:7" s="3" customFormat="1" ht="15.75">
      <c r="B45" s="261" t="s">
        <v>124</v>
      </c>
      <c r="E45" s="699" t="s">
        <v>812</v>
      </c>
      <c r="F45" s="699"/>
      <c r="G45" s="699"/>
    </row>
    <row r="46" spans="2:7" s="3" customFormat="1" ht="15.75">
      <c r="B46" s="262"/>
      <c r="C46" s="262"/>
      <c r="D46" s="11"/>
      <c r="E46" s="699"/>
      <c r="F46" s="699"/>
      <c r="G46" s="699"/>
    </row>
    <row r="47" spans="2:7" s="3" customFormat="1" ht="15.75">
      <c r="B47" s="263"/>
      <c r="C47" s="263"/>
      <c r="D47" s="11"/>
      <c r="E47" s="699" t="s">
        <v>812</v>
      </c>
      <c r="F47" s="701"/>
      <c r="G47" s="701"/>
    </row>
    <row r="48" spans="2:8" ht="15.75">
      <c r="B48" s="261" t="s">
        <v>796</v>
      </c>
      <c r="C48" s="3"/>
      <c r="D48" s="11"/>
      <c r="E48" s="702"/>
      <c r="F48" s="699"/>
      <c r="G48" s="699"/>
      <c r="H48" s="79"/>
    </row>
    <row r="49" spans="2:8" ht="15.75">
      <c r="B49" s="262"/>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799" t="s">
        <v>269</v>
      </c>
      <c r="F54" s="800"/>
      <c r="G54" s="800"/>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Rockville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1"/>
      <c r="C3" s="801"/>
      <c r="D3" s="801"/>
      <c r="E3" s="801"/>
      <c r="F3" s="801"/>
      <c r="G3" s="801"/>
      <c r="H3" s="801"/>
      <c r="I3" s="801"/>
      <c r="J3" s="801"/>
    </row>
    <row r="4" spans="1:10" ht="15.75">
      <c r="A4" s="3"/>
      <c r="B4" s="3"/>
      <c r="C4" s="3"/>
      <c r="D4" s="3"/>
      <c r="E4" s="801"/>
      <c r="F4" s="801"/>
      <c r="G4" s="801"/>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54441</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54441</v>
      </c>
    </row>
    <row r="8" spans="1:10" ht="15.75">
      <c r="A8" s="3"/>
      <c r="B8" s="3"/>
      <c r="C8" s="3"/>
      <c r="D8" s="3"/>
      <c r="E8" s="44"/>
      <c r="F8" s="44"/>
      <c r="G8" s="44"/>
      <c r="H8" s="44"/>
      <c r="I8" s="44"/>
      <c r="J8" s="44"/>
    </row>
    <row r="9" spans="1:10" ht="15.75">
      <c r="A9" s="801" t="str">
        <f>CONCATENATE("",J1-1," Valuation Information for Valuation Adjustments")</f>
        <v>2014 Valuation Information for Valuation Adjustments</v>
      </c>
      <c r="B9" s="797"/>
      <c r="C9" s="797"/>
      <c r="D9" s="797"/>
      <c r="E9" s="797"/>
      <c r="F9" s="797"/>
      <c r="G9" s="797"/>
      <c r="H9" s="797"/>
      <c r="I9" s="797"/>
      <c r="J9" s="797"/>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7229</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49777</v>
      </c>
      <c r="F14" s="235"/>
      <c r="G14" s="44"/>
      <c r="H14" s="44"/>
      <c r="I14" s="42"/>
      <c r="J14" s="44"/>
    </row>
    <row r="15" spans="1:10" ht="15.75">
      <c r="A15" s="234"/>
      <c r="B15" s="3" t="s">
        <v>87</v>
      </c>
      <c r="C15" s="3" t="str">
        <f>CONCATENATE("Personal property ",J1-2,"")</f>
        <v>Personal property 2013</v>
      </c>
      <c r="D15" s="234" t="s">
        <v>82</v>
      </c>
      <c r="E15" s="238">
        <f>inputOth!E11</f>
        <v>82285</v>
      </c>
      <c r="F15" s="235"/>
      <c r="G15" s="42"/>
      <c r="H15" s="42"/>
      <c r="I15" s="44"/>
      <c r="J15" s="44"/>
    </row>
    <row r="16" spans="1:10" ht="15.75">
      <c r="A16" s="234"/>
      <c r="B16" s="3" t="s">
        <v>88</v>
      </c>
      <c r="C16" s="3" t="s">
        <v>908</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0</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7229</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2386383</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2379154</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0.003038475020952826</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165</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54606</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54606</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816.615</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55422.615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904</v>
      </c>
      <c r="B45" s="819"/>
      <c r="C45" s="819"/>
      <c r="D45" s="819"/>
      <c r="E45" s="819"/>
      <c r="F45" s="819"/>
      <c r="G45" s="819"/>
      <c r="H45" s="819"/>
      <c r="I45" s="819"/>
      <c r="J45" s="819"/>
    </row>
    <row r="46" spans="1:10" ht="15.75">
      <c r="A46" s="818" t="s">
        <v>905</v>
      </c>
      <c r="B46" s="818"/>
      <c r="C46" s="818"/>
      <c r="D46" s="818"/>
      <c r="E46" s="818"/>
      <c r="F46" s="818"/>
      <c r="G46" s="818"/>
      <c r="H46" s="818"/>
      <c r="I46" s="818"/>
      <c r="J46" s="818"/>
    </row>
    <row r="47" spans="1:10" ht="15.7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Rockville Township</v>
      </c>
      <c r="C1" s="3"/>
      <c r="D1" s="3"/>
      <c r="E1" s="3"/>
      <c r="F1" s="3"/>
      <c r="G1" s="3"/>
      <c r="H1" s="3"/>
      <c r="I1" s="3"/>
      <c r="J1" s="4">
        <f>inputPrYr!D5</f>
        <v>2015</v>
      </c>
      <c r="K1" s="4"/>
      <c r="L1" s="79"/>
    </row>
    <row r="2" spans="2:12" ht="15.75">
      <c r="B2" s="2" t="str">
        <f>inputPrYr!D3</f>
        <v>Rice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728</v>
      </c>
      <c r="C6" s="800"/>
      <c r="D6" s="800"/>
      <c r="E6" s="800"/>
      <c r="F6" s="800"/>
      <c r="G6" s="800"/>
      <c r="H6" s="800"/>
      <c r="I6" s="800"/>
      <c r="J6" s="800"/>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5541</v>
      </c>
      <c r="E11" s="120">
        <f>IF(inputOth!D17&gt;0,inputOth!D17,"  ")</f>
        <v>2.365</v>
      </c>
      <c r="F11" s="690"/>
      <c r="G11" s="150">
        <f>IF(inputPrYr!E16=0,0,G23-SUM(G12:G20))</f>
        <v>430</v>
      </c>
      <c r="H11" s="691"/>
      <c r="I11" s="150">
        <f>IF(inputPrYr!E16=0,0,I25-SUM(I12:I20))</f>
        <v>11</v>
      </c>
      <c r="J11" s="150">
        <f>IF(inputPrYr!E16=0,0,J27-SUM(J12:J20))</f>
        <v>15</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48900</v>
      </c>
      <c r="E14" s="120">
        <f>IF(inputOth!D20&gt;0,inputOth!D20,"  ")</f>
        <v>20.871</v>
      </c>
      <c r="F14" s="690"/>
      <c r="G14" s="150">
        <f>IF(inputPrYr!E19=0,0,ROUND(D14*$G$30,0))</f>
        <v>3794</v>
      </c>
      <c r="H14" s="691"/>
      <c r="I14" s="150">
        <f>IF(inputPrYr!$E$19=0,0,ROUND($D$14*$I$32,0))</f>
        <v>94</v>
      </c>
      <c r="J14" s="150">
        <f>IF(inputPrYr!E19=0,0,ROUND($D14*$J$34,0))</f>
        <v>134</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54441</v>
      </c>
      <c r="E21" s="693">
        <f>SUM(E11:E20)</f>
        <v>23.235999999999997</v>
      </c>
      <c r="F21" s="694"/>
      <c r="G21" s="692">
        <f>SUM(G11:G20)</f>
        <v>4224</v>
      </c>
      <c r="H21" s="692"/>
      <c r="I21" s="692">
        <f>SUM(I11:I20)</f>
        <v>105</v>
      </c>
      <c r="J21" s="692">
        <f>SUM(J11:J20)</f>
        <v>149</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4224</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105</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149</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0.07758858213478811</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0.0019286934479528298</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0.002736907845190206</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Rockville Township</v>
      </c>
      <c r="B2" s="77"/>
      <c r="C2" s="3"/>
      <c r="D2" s="3"/>
      <c r="E2" s="41"/>
      <c r="F2" s="3"/>
    </row>
    <row r="3" spans="1:6" ht="15.75">
      <c r="A3" s="2"/>
      <c r="B3" s="77"/>
      <c r="C3" s="3"/>
      <c r="D3" s="3"/>
      <c r="E3" s="41"/>
      <c r="F3" s="3"/>
    </row>
    <row r="4" spans="1:6" ht="15.75">
      <c r="A4" s="2"/>
      <c r="B4" s="3"/>
      <c r="C4" s="3"/>
      <c r="D4" s="3"/>
      <c r="E4" s="41"/>
      <c r="F4" s="3"/>
    </row>
    <row r="5" spans="1:6" ht="15" customHeight="1">
      <c r="A5" s="801" t="s">
        <v>146</v>
      </c>
      <c r="B5" s="801"/>
      <c r="C5" s="801"/>
      <c r="D5" s="801"/>
      <c r="E5" s="801"/>
      <c r="F5" s="801"/>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13325</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13325</v>
      </c>
      <c r="D27" s="217">
        <f>SUM(D10:D26)</f>
        <v>0</v>
      </c>
      <c r="E27" s="217">
        <f>SUM(E10:E26)</f>
        <v>0</v>
      </c>
      <c r="F27" s="118"/>
    </row>
    <row r="28" spans="1:6" ht="15.75">
      <c r="A28" s="118"/>
      <c r="B28" s="216" t="s">
        <v>576</v>
      </c>
      <c r="C28" s="118"/>
      <c r="D28" s="213"/>
      <c r="E28" s="213"/>
      <c r="F28" s="118"/>
    </row>
    <row r="29" spans="1:6" ht="15.75">
      <c r="A29" s="118"/>
      <c r="B29" s="168" t="s">
        <v>154</v>
      </c>
      <c r="C29" s="218">
        <f>C27</f>
        <v>13325</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2014-07-28T20:59:03Z</cp:lastPrinted>
  <dcterms:created xsi:type="dcterms:W3CDTF">1998-08-26T16:30:41Z</dcterms:created>
  <dcterms:modified xsi:type="dcterms:W3CDTF">2014-07-28T20:59:08Z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