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15" tabRatio="843" firstSheet="21" activeTab="24"/>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DebtSvs-Library" sheetId="36" r:id="rId13"/>
    <sheet name="gen" sheetId="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2">'DebtSvs-Library'!$B$1:$E$83</definedName>
    <definedName name="_xlnm.Print_Area" localSheetId="13">gen!$B$1:$E$61</definedName>
    <definedName name="_xlnm.Print_Area" localSheetId="1">inputPrYr!$A$1:$E$93</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D79" i="36"/>
  <c r="C35" i="36"/>
  <c r="C75" i="36"/>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72" i="36" s="1"/>
  <c r="C73" i="36"/>
  <c r="B20" i="12" s="1"/>
  <c r="C60" i="36"/>
  <c r="C61" i="36" s="1"/>
  <c r="C74" i="36" s="1"/>
  <c r="D33" i="36"/>
  <c r="D32" i="36" s="1"/>
  <c r="C33" i="36"/>
  <c r="C20" i="36"/>
  <c r="C21" i="36" s="1"/>
  <c r="C34" i="36" s="1"/>
  <c r="G14" i="35"/>
  <c r="B78" i="35" s="1"/>
  <c r="E14" i="35"/>
  <c r="B89" i="35" s="1"/>
  <c r="B8" i="35"/>
  <c r="B7" i="35"/>
  <c r="B5" i="35"/>
  <c r="G31" i="2"/>
  <c r="D48" i="11"/>
  <c r="D60" i="11" s="1"/>
  <c r="D59" i="11" s="1"/>
  <c r="G30" i="2"/>
  <c r="D8" i="11"/>
  <c r="D20" i="11" s="1"/>
  <c r="G29" i="2"/>
  <c r="D48" i="10"/>
  <c r="D60" i="10" s="1"/>
  <c r="G28" i="2"/>
  <c r="D8" i="10"/>
  <c r="D20" i="10" s="1"/>
  <c r="G27" i="2"/>
  <c r="D48" i="9"/>
  <c r="D60" i="9" s="1"/>
  <c r="D59" i="9" s="1"/>
  <c r="G26" i="2"/>
  <c r="D8" i="9"/>
  <c r="D20" i="9" s="1"/>
  <c r="G25" i="2"/>
  <c r="D48" i="8"/>
  <c r="D60" i="8" s="1"/>
  <c r="D59" i="8" s="1"/>
  <c r="G24" i="2"/>
  <c r="D8" i="8"/>
  <c r="D20" i="8" s="1"/>
  <c r="G23" i="2"/>
  <c r="D8" i="7"/>
  <c r="D23" i="7" s="1"/>
  <c r="D22" i="7" s="1"/>
  <c r="G22" i="2"/>
  <c r="D48" i="36"/>
  <c r="E15" i="35" s="1"/>
  <c r="G21" i="2"/>
  <c r="D8" i="36"/>
  <c r="D20" i="36" s="1"/>
  <c r="G20" i="2"/>
  <c r="D8" i="6"/>
  <c r="A76" i="20"/>
  <c r="A51" i="12"/>
  <c r="A52" i="12"/>
  <c r="A20" i="12"/>
  <c r="G21" i="32"/>
  <c r="G22" i="32" s="1"/>
  <c r="G20" i="32" s="1"/>
  <c r="D13" i="4"/>
  <c r="B13" i="4"/>
  <c r="A85" i="20"/>
  <c r="A39" i="20"/>
  <c r="B51" i="2"/>
  <c r="A48" i="20"/>
  <c r="A94" i="20"/>
  <c r="C37" i="3"/>
  <c r="C38" i="3"/>
  <c r="C32" i="3"/>
  <c r="C31" i="3"/>
  <c r="C30" i="3"/>
  <c r="C29" i="3"/>
  <c r="C28" i="3"/>
  <c r="C27" i="3"/>
  <c r="C26" i="3"/>
  <c r="C25" i="3"/>
  <c r="C24" i="3"/>
  <c r="C21" i="3"/>
  <c r="B35" i="12"/>
  <c r="D79" i="11"/>
  <c r="E79" i="11" s="1"/>
  <c r="D39" i="11"/>
  <c r="D79" i="10"/>
  <c r="E79" i="10" s="1"/>
  <c r="D39" i="10"/>
  <c r="E39" i="10" s="1"/>
  <c r="D79" i="9"/>
  <c r="D39" i="9"/>
  <c r="D79" i="8"/>
  <c r="E79" i="8" s="1"/>
  <c r="D39" i="8"/>
  <c r="C75" i="11"/>
  <c r="D75" i="11"/>
  <c r="C35" i="11"/>
  <c r="D35" i="11"/>
  <c r="C75" i="10"/>
  <c r="D75" i="10"/>
  <c r="C35" i="10"/>
  <c r="D35" i="10"/>
  <c r="C75" i="9"/>
  <c r="D75" i="9"/>
  <c r="C35" i="9"/>
  <c r="D35" i="9"/>
  <c r="C35" i="8"/>
  <c r="D35" i="8"/>
  <c r="C75" i="8"/>
  <c r="D75" i="8"/>
  <c r="D58" i="7"/>
  <c r="D49" i="7"/>
  <c r="C59" i="7"/>
  <c r="C58" i="7"/>
  <c r="C63" i="7" s="1"/>
  <c r="C65" i="7" s="1"/>
  <c r="C57" i="7"/>
  <c r="C45" i="7"/>
  <c r="D45" i="7"/>
  <c r="D56" i="6"/>
  <c r="C52" i="6"/>
  <c r="D52" i="6"/>
  <c r="B32" i="3"/>
  <c r="B60" i="2"/>
  <c r="A32" i="3"/>
  <c r="D22" i="4"/>
  <c r="B22" i="4"/>
  <c r="B45" i="11"/>
  <c r="B17" i="23"/>
  <c r="A29" i="12"/>
  <c r="J148" i="33"/>
  <c r="C137" i="33"/>
  <c r="J137" i="33" s="1"/>
  <c r="H134" i="33"/>
  <c r="H120" i="33"/>
  <c r="C123" i="33" s="1"/>
  <c r="H114" i="33"/>
  <c r="F117" i="33" s="1"/>
  <c r="H117" i="33" s="1"/>
  <c r="F123" i="33" s="1"/>
  <c r="H100" i="33"/>
  <c r="C103" i="33" s="1"/>
  <c r="H94" i="33"/>
  <c r="F97" i="33" s="1"/>
  <c r="H97" i="33" s="1"/>
  <c r="F103" i="33" s="1"/>
  <c r="H80" i="33"/>
  <c r="C83" i="33" s="1"/>
  <c r="H74" i="33"/>
  <c r="F77" i="33" s="1"/>
  <c r="H77" i="33" s="1"/>
  <c r="F83" i="33" s="1"/>
  <c r="H48" i="33"/>
  <c r="F50" i="33" s="1"/>
  <c r="J50" i="33" s="1"/>
  <c r="H41" i="33"/>
  <c r="B28" i="33"/>
  <c r="H28" i="33"/>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s="1"/>
  <c r="A1" i="25"/>
  <c r="J28" i="25"/>
  <c r="H28" i="25"/>
  <c r="F28" i="25"/>
  <c r="D28" i="25"/>
  <c r="B28" i="25"/>
  <c r="J17" i="25"/>
  <c r="J18" i="25" s="1"/>
  <c r="H17" i="25"/>
  <c r="H18" i="25" s="1"/>
  <c r="F17" i="25"/>
  <c r="F18" i="25" s="1"/>
  <c r="F29" i="25" s="1"/>
  <c r="F30" i="25" s="1"/>
  <c r="D17" i="25"/>
  <c r="D18" i="25" s="1"/>
  <c r="D29" i="25" s="1"/>
  <c r="D30" i="25" s="1"/>
  <c r="B17" i="25"/>
  <c r="K7" i="25"/>
  <c r="E18" i="2"/>
  <c r="G19" i="2" s="1"/>
  <c r="D18" i="2"/>
  <c r="E13" i="21"/>
  <c r="D13" i="21"/>
  <c r="C13" i="21"/>
  <c r="D21" i="4"/>
  <c r="D20" i="4"/>
  <c r="D19" i="4"/>
  <c r="D18" i="4"/>
  <c r="D17" i="4"/>
  <c r="D16" i="4"/>
  <c r="D15" i="4"/>
  <c r="D14" i="4"/>
  <c r="D12" i="4"/>
  <c r="D11" i="4"/>
  <c r="J6" i="14"/>
  <c r="C26" i="6"/>
  <c r="C25" i="6" s="1"/>
  <c r="C50" i="6"/>
  <c r="G55" i="6" s="1"/>
  <c r="D50" i="6"/>
  <c r="D18" i="12" s="1"/>
  <c r="G25" i="4"/>
  <c r="I27" i="4"/>
  <c r="J29" i="4"/>
  <c r="E32" i="2"/>
  <c r="E9" i="37" s="1"/>
  <c r="C60" i="11"/>
  <c r="C61" i="11" s="1"/>
  <c r="C73" i="11"/>
  <c r="G78" i="11" s="1"/>
  <c r="D73" i="11"/>
  <c r="D29" i="12" s="1"/>
  <c r="C20" i="11"/>
  <c r="C21" i="11" s="1"/>
  <c r="C34" i="11" s="1"/>
  <c r="C33" i="11"/>
  <c r="C85" i="11" s="1"/>
  <c r="D33" i="11"/>
  <c r="D32" i="11" s="1"/>
  <c r="C60" i="10"/>
  <c r="C73" i="10"/>
  <c r="G78" i="10" s="1"/>
  <c r="D73" i="10"/>
  <c r="C20" i="10"/>
  <c r="C19" i="10" s="1"/>
  <c r="C33" i="10"/>
  <c r="B26" i="12" s="1"/>
  <c r="D33" i="10"/>
  <c r="D85" i="10" s="1"/>
  <c r="C60" i="9"/>
  <c r="C61" i="9" s="1"/>
  <c r="C73" i="9"/>
  <c r="D73" i="9"/>
  <c r="D72" i="9" s="1"/>
  <c r="C20" i="9"/>
  <c r="C21" i="9" s="1"/>
  <c r="C34" i="9" s="1"/>
  <c r="C33" i="9"/>
  <c r="D33" i="9"/>
  <c r="C60" i="8"/>
  <c r="C59" i="8" s="1"/>
  <c r="C73" i="8"/>
  <c r="G78" i="8" s="1"/>
  <c r="D73" i="8"/>
  <c r="C20" i="8"/>
  <c r="C21" i="8"/>
  <c r="C34" i="8" s="1"/>
  <c r="C33" i="8"/>
  <c r="G38" i="8" s="1"/>
  <c r="D33" i="8"/>
  <c r="D85" i="8" s="1"/>
  <c r="D6" i="23"/>
  <c r="E6" i="23"/>
  <c r="E43" i="7"/>
  <c r="E45" i="7" s="1"/>
  <c r="C23" i="7"/>
  <c r="C24" i="7" s="1"/>
  <c r="C44" i="6"/>
  <c r="E12" i="21"/>
  <c r="E11" i="21"/>
  <c r="D12" i="21"/>
  <c r="D11" i="21"/>
  <c r="D27" i="21" s="1"/>
  <c r="D29" i="21" s="1"/>
  <c r="D37" i="12" s="1"/>
  <c r="C12" i="21"/>
  <c r="E1" i="11"/>
  <c r="H36" i="11" s="1"/>
  <c r="E1" i="10"/>
  <c r="H43" i="10" s="1"/>
  <c r="E1" i="9"/>
  <c r="H36" i="9" s="1"/>
  <c r="E1" i="8"/>
  <c r="G28" i="8" s="1"/>
  <c r="D30" i="18"/>
  <c r="D61" i="18"/>
  <c r="D61" i="17"/>
  <c r="D30" i="17"/>
  <c r="E1" i="7"/>
  <c r="C50" i="7" s="1"/>
  <c r="E1" i="6"/>
  <c r="C57" i="6" s="1"/>
  <c r="A64" i="2"/>
  <c r="A63" i="2"/>
  <c r="D47" i="2"/>
  <c r="D39" i="2"/>
  <c r="A39" i="2"/>
  <c r="A32" i="2"/>
  <c r="C30" i="18"/>
  <c r="C61" i="18"/>
  <c r="C30" i="17"/>
  <c r="C61" i="17"/>
  <c r="E1" i="17"/>
  <c r="B30" i="17" s="1"/>
  <c r="E59" i="17"/>
  <c r="E58" i="17" s="1"/>
  <c r="E1" i="18"/>
  <c r="B61" i="18" s="1"/>
  <c r="E1" i="20"/>
  <c r="A51" i="20" s="1"/>
  <c r="E16" i="20"/>
  <c r="G11" i="14" s="1"/>
  <c r="E21" i="20"/>
  <c r="E14" i="14" s="1"/>
  <c r="E31" i="20"/>
  <c r="E15" i="14" s="1"/>
  <c r="E26" i="20"/>
  <c r="G18" i="14" s="1"/>
  <c r="E11" i="20"/>
  <c r="D21" i="23" s="1"/>
  <c r="D23" i="23" s="1"/>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E30" i="9" s="1"/>
  <c r="E33" i="9" s="1"/>
  <c r="D11" i="23"/>
  <c r="E11" i="23"/>
  <c r="E70" i="8" s="1"/>
  <c r="E73" i="8" s="1"/>
  <c r="D10" i="23"/>
  <c r="E10" i="23"/>
  <c r="E30" i="8" s="1"/>
  <c r="E33" i="8" s="1"/>
  <c r="D9" i="23"/>
  <c r="E9" i="23"/>
  <c r="E40" i="7" s="1"/>
  <c r="E13" i="6"/>
  <c r="B47" i="3"/>
  <c r="D7" i="23"/>
  <c r="E7" i="23"/>
  <c r="E30" i="36" s="1"/>
  <c r="E33" i="36" s="1"/>
  <c r="E28" i="17"/>
  <c r="E30" i="17" s="1"/>
  <c r="E28" i="18"/>
  <c r="E30" i="18" s="1"/>
  <c r="D35" i="3"/>
  <c r="E59" i="18"/>
  <c r="E58" i="18" s="1"/>
  <c r="D59" i="18"/>
  <c r="D58" i="18" s="1"/>
  <c r="C59" i="18"/>
  <c r="D28" i="18"/>
  <c r="D27" i="18" s="1"/>
  <c r="C28" i="18"/>
  <c r="C31" i="18" s="1"/>
  <c r="D59" i="17"/>
  <c r="C59" i="17"/>
  <c r="D28" i="17"/>
  <c r="D27" i="17" s="1"/>
  <c r="C28" i="17"/>
  <c r="B30" i="12" s="1"/>
  <c r="E15" i="18"/>
  <c r="E14" i="18" s="1"/>
  <c r="D15" i="18"/>
  <c r="D14" i="18" s="1"/>
  <c r="C15" i="18"/>
  <c r="C14" i="18" s="1"/>
  <c r="E46" i="18"/>
  <c r="E45" i="18" s="1"/>
  <c r="D46" i="18"/>
  <c r="D45" i="18" s="1"/>
  <c r="C46" i="18"/>
  <c r="C45" i="18" s="1"/>
  <c r="E46" i="17"/>
  <c r="E45" i="17" s="1"/>
  <c r="D46" i="17"/>
  <c r="D45" i="17" s="1"/>
  <c r="C46" i="17"/>
  <c r="C45" i="17" s="1"/>
  <c r="C59" i="11"/>
  <c r="C19" i="11"/>
  <c r="C19" i="9"/>
  <c r="C59" i="9"/>
  <c r="C19" i="8"/>
  <c r="D72" i="11"/>
  <c r="C72" i="11"/>
  <c r="D72" i="10"/>
  <c r="C72" i="9"/>
  <c r="D32" i="8"/>
  <c r="C32" i="8"/>
  <c r="E15" i="17"/>
  <c r="D15" i="17"/>
  <c r="D14" i="17" s="1"/>
  <c r="C15" i="17"/>
  <c r="C14" i="17" s="1"/>
  <c r="B16" i="23"/>
  <c r="B15" i="23"/>
  <c r="B14" i="23"/>
  <c r="B13" i="23"/>
  <c r="B12" i="23"/>
  <c r="B11" i="23"/>
  <c r="B10" i="23"/>
  <c r="B9" i="23"/>
  <c r="B7" i="23"/>
  <c r="B6" i="23"/>
  <c r="D25" i="23"/>
  <c r="D27" i="23" s="1"/>
  <c r="F1" i="23"/>
  <c r="B5" i="23" s="1"/>
  <c r="A1" i="23"/>
  <c r="C18" i="23"/>
  <c r="K1" i="4"/>
  <c r="E9" i="4" s="1"/>
  <c r="B22" i="3"/>
  <c r="J1" i="14"/>
  <c r="B32" i="14" s="1"/>
  <c r="F41" i="12"/>
  <c r="A98" i="20"/>
  <c r="A97" i="20"/>
  <c r="A96" i="20"/>
  <c r="A95" i="20"/>
  <c r="A93" i="20"/>
  <c r="A92" i="20"/>
  <c r="A91" i="20"/>
  <c r="A90" i="20"/>
  <c r="A89" i="20"/>
  <c r="A88" i="20"/>
  <c r="A87" i="20"/>
  <c r="A86" i="20"/>
  <c r="A84" i="20"/>
  <c r="A83" i="20"/>
  <c r="E12" i="4"/>
  <c r="E14" i="4"/>
  <c r="E15" i="4"/>
  <c r="E16" i="4"/>
  <c r="E17" i="4"/>
  <c r="E18" i="4"/>
  <c r="E19" i="4"/>
  <c r="E20" i="4"/>
  <c r="E21" i="4"/>
  <c r="E22" i="4"/>
  <c r="E11" i="4"/>
  <c r="A11" i="20"/>
  <c r="A30" i="20"/>
  <c r="A29" i="20"/>
  <c r="A25" i="20"/>
  <c r="A24" i="20"/>
  <c r="A20" i="20"/>
  <c r="A19" i="20"/>
  <c r="A15" i="20"/>
  <c r="A14" i="20"/>
  <c r="A10" i="20"/>
  <c r="F40" i="12"/>
  <c r="M26" i="12" s="1"/>
  <c r="B40" i="12"/>
  <c r="E55" i="20"/>
  <c r="D40" i="12" s="1"/>
  <c r="E27" i="35" s="1"/>
  <c r="A54" i="20"/>
  <c r="A53" i="20"/>
  <c r="A46" i="3"/>
  <c r="A45" i="3"/>
  <c r="A44" i="3"/>
  <c r="D30" i="12"/>
  <c r="D49" i="20"/>
  <c r="E29" i="12"/>
  <c r="G84" i="11" s="1"/>
  <c r="E28" i="12"/>
  <c r="G44" i="11" s="1"/>
  <c r="E27" i="12"/>
  <c r="G84" i="10" s="1"/>
  <c r="E26" i="12"/>
  <c r="G44" i="10" s="1"/>
  <c r="E25" i="12"/>
  <c r="G84" i="9" s="1"/>
  <c r="E24" i="12"/>
  <c r="G44" i="9" s="1"/>
  <c r="E23" i="12"/>
  <c r="G84" i="8" s="1"/>
  <c r="E22" i="12"/>
  <c r="G44" i="8" s="1"/>
  <c r="E21" i="12"/>
  <c r="G54" i="7" s="1"/>
  <c r="E19" i="12"/>
  <c r="G44" i="36" s="1"/>
  <c r="E18" i="12"/>
  <c r="A47" i="20"/>
  <c r="A46" i="20"/>
  <c r="A45" i="20"/>
  <c r="A44" i="20"/>
  <c r="A43" i="20"/>
  <c r="A42" i="20"/>
  <c r="A41" i="20"/>
  <c r="A40" i="20"/>
  <c r="A38" i="20"/>
  <c r="A37" i="20"/>
  <c r="H27" i="4"/>
  <c r="F15" i="13"/>
  <c r="F46" i="12" s="1"/>
  <c r="F1" i="21"/>
  <c r="C9" i="21" s="1"/>
  <c r="A2" i="21"/>
  <c r="G1" i="3"/>
  <c r="A15" i="3" s="1"/>
  <c r="A61" i="2"/>
  <c r="D47" i="12"/>
  <c r="D46" i="12"/>
  <c r="B47" i="12"/>
  <c r="B46" i="12"/>
  <c r="D45" i="12"/>
  <c r="B45" i="12"/>
  <c r="E66" i="2"/>
  <c r="D66" i="2"/>
  <c r="A2" i="20"/>
  <c r="A1" i="20"/>
  <c r="A48" i="2"/>
  <c r="A17" i="2"/>
  <c r="F11" i="13"/>
  <c r="F45" i="12" s="1"/>
  <c r="L15" i="13"/>
  <c r="K15" i="13"/>
  <c r="J15" i="13"/>
  <c r="I15" i="13"/>
  <c r="L11" i="13"/>
  <c r="L16" i="13" s="1"/>
  <c r="K11" i="13"/>
  <c r="K16" i="13" s="1"/>
  <c r="J11" i="13"/>
  <c r="J16" i="13" s="1"/>
  <c r="I11" i="13"/>
  <c r="I16" i="13" s="1"/>
  <c r="H1" i="12"/>
  <c r="J43" i="12" s="1"/>
  <c r="C19" i="12"/>
  <c r="B12" i="4"/>
  <c r="L1" i="13"/>
  <c r="G23" i="13" s="1"/>
  <c r="B50" i="2"/>
  <c r="A3" i="3"/>
  <c r="B32"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D48" i="12"/>
  <c r="B25" i="12"/>
  <c r="B27" i="12"/>
  <c r="D26" i="12"/>
  <c r="B29" i="12"/>
  <c r="B28" i="12"/>
  <c r="B23" i="12"/>
  <c r="B22" i="12"/>
  <c r="D22" i="12"/>
  <c r="B1" i="8"/>
  <c r="B45" i="8"/>
  <c r="B5" i="8"/>
  <c r="B45" i="9"/>
  <c r="B5" i="9"/>
  <c r="B1" i="9"/>
  <c r="B45" i="10"/>
  <c r="B5" i="10"/>
  <c r="B1" i="10"/>
  <c r="B5" i="11"/>
  <c r="B1" i="11"/>
  <c r="C16" i="17"/>
  <c r="C29" i="17" s="1"/>
  <c r="E14" i="17"/>
  <c r="C11" i="21"/>
  <c r="D49" i="6"/>
  <c r="B18" i="12"/>
  <c r="C27" i="17"/>
  <c r="E27" i="18"/>
  <c r="D58" i="17"/>
  <c r="G9" i="4"/>
  <c r="C58" i="18"/>
  <c r="C27" i="18"/>
  <c r="E22" i="14"/>
  <c r="J22" i="4"/>
  <c r="E52" i="11" s="1"/>
  <c r="C47" i="18"/>
  <c r="C60" i="18" s="1"/>
  <c r="J20" i="4"/>
  <c r="E52" i="10" s="1"/>
  <c r="J21" i="4"/>
  <c r="E12" i="11" s="1"/>
  <c r="D31" i="12"/>
  <c r="D32" i="10"/>
  <c r="C72" i="8"/>
  <c r="G27" i="35"/>
  <c r="D19" i="12"/>
  <c r="B19" i="12"/>
  <c r="J18" i="4"/>
  <c r="E52" i="9" s="1"/>
  <c r="J19" i="4"/>
  <c r="E12" i="10" s="1"/>
  <c r="C32" i="36"/>
  <c r="G64" i="36"/>
  <c r="C59" i="36"/>
  <c r="B91" i="35"/>
  <c r="B46" i="35"/>
  <c r="A27" i="20"/>
  <c r="A33" i="20"/>
  <c r="I13" i="4"/>
  <c r="E51" i="36" s="1"/>
  <c r="G18" i="35" s="1"/>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G34" i="7"/>
  <c r="H44" i="7"/>
  <c r="H35" i="9"/>
  <c r="H76" i="10"/>
  <c r="H51" i="6"/>
  <c r="G38" i="7"/>
  <c r="H45" i="7"/>
  <c r="H75" i="9"/>
  <c r="D26" i="6"/>
  <c r="D25" i="6" s="1"/>
  <c r="D44" i="6"/>
  <c r="D60" i="36"/>
  <c r="D59" i="36" s="1"/>
  <c r="J15" i="4"/>
  <c r="E12" i="8" s="1"/>
  <c r="J12" i="4"/>
  <c r="E12" i="36" s="1"/>
  <c r="J13" i="4"/>
  <c r="E52" i="36" s="1"/>
  <c r="G19" i="35" s="1"/>
  <c r="J17" i="4"/>
  <c r="E12" i="9" s="1"/>
  <c r="J16" i="4"/>
  <c r="E52" i="8" s="1"/>
  <c r="G13" i="4"/>
  <c r="E50" i="36" s="1"/>
  <c r="G12" i="4"/>
  <c r="E10" i="36" s="1"/>
  <c r="G15" i="4"/>
  <c r="E10" i="8" s="1"/>
  <c r="D20" i="12"/>
  <c r="E47" i="6"/>
  <c r="E50" i="6" s="1"/>
  <c r="E39" i="8"/>
  <c r="E39" i="9"/>
  <c r="E79" i="9"/>
  <c r="E3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E49" i="7"/>
  <c r="J38" i="7"/>
  <c r="J39" i="7"/>
  <c r="D5" i="23"/>
  <c r="A31" i="23"/>
  <c r="C5" i="23"/>
  <c r="D85" i="9"/>
  <c r="D24" i="12"/>
  <c r="H86" i="11"/>
  <c r="H44" i="11"/>
  <c r="H78" i="11"/>
  <c r="G38" i="9"/>
  <c r="C32" i="9"/>
  <c r="B24" i="12"/>
  <c r="J41" i="12"/>
  <c r="A12" i="12"/>
  <c r="G78" i="36"/>
  <c r="C19" i="36"/>
  <c r="C58" i="17"/>
  <c r="B31" i="12"/>
  <c r="D33" i="12"/>
  <c r="D62" i="18"/>
  <c r="C61" i="10"/>
  <c r="C74" i="10" s="1"/>
  <c r="C59" i="10"/>
  <c r="D32" i="9"/>
  <c r="F13" i="21"/>
  <c r="C27" i="21"/>
  <c r="C29" i="21" s="1"/>
  <c r="B37" i="12" s="1"/>
  <c r="F12" i="21"/>
  <c r="F21" i="12"/>
  <c r="E47" i="7"/>
  <c r="F46" i="7"/>
  <c r="C93" i="36"/>
  <c r="G38" i="36"/>
  <c r="D87" i="8"/>
  <c r="D23" i="12"/>
  <c r="D72" i="8"/>
  <c r="C21" i="10"/>
  <c r="C32" i="11"/>
  <c r="C80" i="36"/>
  <c r="D87" i="9"/>
  <c r="D24" i="3"/>
  <c r="D28" i="12"/>
  <c r="F30" i="12"/>
  <c r="H44" i="9"/>
  <c r="G78" i="9"/>
  <c r="D87" i="10"/>
  <c r="D27" i="12"/>
  <c r="J5" i="14"/>
  <c r="J7" i="14" s="1"/>
  <c r="J38" i="14" s="1"/>
  <c r="D39" i="12"/>
  <c r="E42" i="7"/>
  <c r="M27" i="12"/>
  <c r="D31" i="18"/>
  <c r="H43" i="7"/>
  <c r="H54" i="7"/>
  <c r="C61" i="8"/>
  <c r="C74" i="8" s="1"/>
  <c r="B33" i="12"/>
  <c r="J36" i="12"/>
  <c r="B58" i="3"/>
  <c r="C80" i="10"/>
  <c r="H38" i="10"/>
  <c r="A11" i="12"/>
  <c r="G64" i="9"/>
  <c r="A31" i="20"/>
  <c r="E5" i="23"/>
  <c r="J51" i="12"/>
  <c r="G71" i="10"/>
  <c r="G28" i="36"/>
  <c r="A9" i="3"/>
  <c r="D11" i="3"/>
  <c r="H90" i="10"/>
  <c r="D10" i="4"/>
  <c r="A8" i="3"/>
  <c r="E12" i="3"/>
  <c r="G15" i="12"/>
  <c r="B48" i="3"/>
  <c r="H45" i="10"/>
  <c r="H75" i="36"/>
  <c r="J31" i="12"/>
  <c r="B3" i="23"/>
  <c r="H73" i="10"/>
  <c r="H89" i="9"/>
  <c r="E61" i="18"/>
  <c r="F33" i="12"/>
  <c r="D36" i="3"/>
  <c r="F32" i="12"/>
  <c r="E61" i="17"/>
  <c r="D34" i="3"/>
  <c r="F31" i="12"/>
  <c r="E5" i="36"/>
  <c r="D5" i="36"/>
  <c r="H39" i="8"/>
  <c r="H53" i="7"/>
  <c r="H49" i="7"/>
  <c r="C45" i="36"/>
  <c r="H56" i="7"/>
  <c r="H46" i="36"/>
  <c r="H48" i="7"/>
  <c r="H46" i="7"/>
  <c r="C53" i="7"/>
  <c r="A35" i="20"/>
  <c r="H73" i="36"/>
  <c r="B75" i="8"/>
  <c r="B34" i="14"/>
  <c r="G41" i="7"/>
  <c r="B75" i="36"/>
  <c r="H85" i="8"/>
  <c r="H76" i="8"/>
  <c r="H34" i="36"/>
  <c r="H23" i="13"/>
  <c r="I6" i="13"/>
  <c r="B45" i="7"/>
  <c r="C10" i="37"/>
  <c r="H74" i="36"/>
  <c r="H39" i="36"/>
  <c r="F7" i="13"/>
  <c r="A32" i="20"/>
  <c r="H86" i="36"/>
  <c r="H46" i="9"/>
  <c r="A22" i="20"/>
  <c r="A17" i="20"/>
  <c r="H85" i="36"/>
  <c r="A55" i="20"/>
  <c r="H36" i="8"/>
  <c r="G71" i="8"/>
  <c r="A80" i="20"/>
  <c r="G31" i="11"/>
  <c r="H73" i="11"/>
  <c r="G71" i="11"/>
  <c r="F44" i="12"/>
  <c r="H39" i="10"/>
  <c r="J55" i="12"/>
  <c r="H46" i="10"/>
  <c r="J29" i="12"/>
  <c r="C40" i="10"/>
  <c r="J24" i="12"/>
  <c r="G28" i="11"/>
  <c r="J50" i="12"/>
  <c r="H38" i="11"/>
  <c r="G24" i="11"/>
  <c r="H43" i="8"/>
  <c r="H53" i="6"/>
  <c r="H90" i="8"/>
  <c r="I23" i="13"/>
  <c r="D9" i="21"/>
  <c r="E5" i="6"/>
  <c r="E5" i="9" s="1"/>
  <c r="E45" i="9" s="1"/>
  <c r="E9" i="21"/>
  <c r="K6" i="13"/>
  <c r="G68" i="10"/>
  <c r="B44" i="12"/>
  <c r="H75" i="11"/>
  <c r="H35" i="8"/>
  <c r="H83" i="8"/>
  <c r="G64" i="8"/>
  <c r="B35" i="11"/>
  <c r="J39" i="12"/>
  <c r="J40" i="12"/>
  <c r="H83" i="10"/>
  <c r="J38" i="12"/>
  <c r="J32" i="12"/>
  <c r="H84" i="11"/>
  <c r="H79" i="8"/>
  <c r="H45" i="8"/>
  <c r="G68" i="8"/>
  <c r="H33" i="8"/>
  <c r="B75" i="11"/>
  <c r="H35" i="11"/>
  <c r="H62" i="6"/>
  <c r="H34" i="10"/>
  <c r="B14" i="12"/>
  <c r="D44" i="12"/>
  <c r="F14" i="12"/>
  <c r="D14" i="12"/>
  <c r="H34" i="11"/>
  <c r="H33" i="11"/>
  <c r="H83" i="11"/>
  <c r="H46" i="8"/>
  <c r="D5" i="6"/>
  <c r="D5" i="9" s="1"/>
  <c r="D45" i="9" s="1"/>
  <c r="B32" i="21"/>
  <c r="E5" i="17"/>
  <c r="E36" i="17" s="1"/>
  <c r="E5" i="11"/>
  <c r="E45" i="11" s="1"/>
  <c r="D5" i="8"/>
  <c r="D45" i="8" s="1"/>
  <c r="G84" i="36"/>
  <c r="G19" i="32"/>
  <c r="E5" i="18" l="1"/>
  <c r="E36" i="18" s="1"/>
  <c r="J42" i="12"/>
  <c r="A12" i="20"/>
  <c r="C47" i="17"/>
  <c r="C60" i="17" s="1"/>
  <c r="C74" i="9"/>
  <c r="C74" i="11"/>
  <c r="C36" i="12"/>
  <c r="K17" i="25"/>
  <c r="D93" i="36"/>
  <c r="B37" i="36" s="1"/>
  <c r="K28" i="25"/>
  <c r="B34" i="12" s="1"/>
  <c r="C87" i="8"/>
  <c r="B77" i="8" s="1"/>
  <c r="G24" i="32"/>
  <c r="G23" i="32"/>
  <c r="D9" i="32" s="1"/>
  <c r="E36" i="12"/>
  <c r="C88" i="8"/>
  <c r="D46" i="8"/>
  <c r="C88" i="10"/>
  <c r="D46" i="10"/>
  <c r="C63" i="18"/>
  <c r="D37" i="18"/>
  <c r="D47" i="18" s="1"/>
  <c r="D60" i="18" s="1"/>
  <c r="D46" i="36"/>
  <c r="D61" i="36" s="1"/>
  <c r="D74" i="36" s="1"/>
  <c r="C96" i="36"/>
  <c r="B30" i="14"/>
  <c r="B22" i="14"/>
  <c r="H79" i="9"/>
  <c r="B18" i="14"/>
  <c r="H84" i="9"/>
  <c r="C80" i="9"/>
  <c r="G31" i="9"/>
  <c r="H85" i="9"/>
  <c r="H33" i="9"/>
  <c r="H78" i="9"/>
  <c r="H39" i="9"/>
  <c r="D33" i="3"/>
  <c r="D25" i="12"/>
  <c r="G38" i="11"/>
  <c r="C85" i="10"/>
  <c r="C72" i="36"/>
  <c r="F16" i="13"/>
  <c r="H90" i="9"/>
  <c r="C49" i="6"/>
  <c r="D32" i="12"/>
  <c r="C72" i="10"/>
  <c r="G16" i="14"/>
  <c r="G20" i="14" s="1"/>
  <c r="C62" i="18"/>
  <c r="J103" i="33"/>
  <c r="H34" i="9"/>
  <c r="G71" i="9"/>
  <c r="H76" i="9"/>
  <c r="B30" i="18"/>
  <c r="G28" i="9"/>
  <c r="H86" i="9"/>
  <c r="M42" i="12"/>
  <c r="H73" i="9"/>
  <c r="G61" i="6"/>
  <c r="C34" i="10"/>
  <c r="C86" i="10" s="1"/>
  <c r="G38" i="10"/>
  <c r="H45" i="9"/>
  <c r="C74" i="6"/>
  <c r="D62" i="17"/>
  <c r="E27" i="21"/>
  <c r="E29" i="21" s="1"/>
  <c r="F37" i="12" s="1"/>
  <c r="C85" i="9"/>
  <c r="B37" i="9" s="1"/>
  <c r="D85" i="11"/>
  <c r="B37" i="11" s="1"/>
  <c r="K30" i="25"/>
  <c r="J29" i="25"/>
  <c r="J30" i="25" s="1"/>
  <c r="C87" i="10"/>
  <c r="B77" i="10" s="1"/>
  <c r="C87" i="11"/>
  <c r="C95" i="36"/>
  <c r="D18" i="23"/>
  <c r="B40" i="14"/>
  <c r="B36" i="14"/>
  <c r="B13" i="14"/>
  <c r="B6" i="14"/>
  <c r="H74" i="9"/>
  <c r="G68" i="9"/>
  <c r="C40" i="9"/>
  <c r="B35" i="9"/>
  <c r="H38" i="9"/>
  <c r="G24" i="9"/>
  <c r="C32" i="10"/>
  <c r="B18" i="25"/>
  <c r="B29" i="25" s="1"/>
  <c r="B30" i="25" s="1"/>
  <c r="E18" i="23"/>
  <c r="H83" i="9"/>
  <c r="H43" i="9"/>
  <c r="C16" i="18"/>
  <c r="C29" i="18" s="1"/>
  <c r="E27" i="17"/>
  <c r="C31" i="17"/>
  <c r="D87" i="11"/>
  <c r="G63" i="6"/>
  <c r="G46" i="36"/>
  <c r="G90" i="9"/>
  <c r="G90" i="11"/>
  <c r="G90" i="8"/>
  <c r="G56" i="7"/>
  <c r="G46" i="8"/>
  <c r="G46" i="10"/>
  <c r="G90" i="10"/>
  <c r="G46" i="11"/>
  <c r="G86" i="36"/>
  <c r="M31" i="12"/>
  <c r="G46" i="9"/>
  <c r="D59" i="10"/>
  <c r="D61" i="10"/>
  <c r="D74" i="10" s="1"/>
  <c r="D61" i="8"/>
  <c r="D74" i="8" s="1"/>
  <c r="D88" i="8" s="1"/>
  <c r="B78" i="8" s="1"/>
  <c r="C15" i="14"/>
  <c r="A44" i="14"/>
  <c r="C14" i="14"/>
  <c r="D5" i="7"/>
  <c r="D5" i="17"/>
  <c r="D36" i="17" s="1"/>
  <c r="E5" i="10"/>
  <c r="E45" i="10" s="1"/>
  <c r="E5" i="8"/>
  <c r="E45" i="8" s="1"/>
  <c r="E5" i="7"/>
  <c r="H52" i="6"/>
  <c r="H61" i="6"/>
  <c r="H86" i="8"/>
  <c r="G31" i="8"/>
  <c r="G68" i="11"/>
  <c r="B35" i="10"/>
  <c r="H36" i="10"/>
  <c r="G41" i="6"/>
  <c r="C40" i="11"/>
  <c r="H55" i="6"/>
  <c r="H63" i="6"/>
  <c r="C5" i="6"/>
  <c r="H78" i="8"/>
  <c r="H76" i="11"/>
  <c r="H89" i="11"/>
  <c r="H89" i="10"/>
  <c r="H78" i="10"/>
  <c r="H75" i="10"/>
  <c r="G31" i="10"/>
  <c r="B35" i="8"/>
  <c r="H60" i="6"/>
  <c r="H73" i="8"/>
  <c r="H34" i="8"/>
  <c r="H39" i="11"/>
  <c r="H79" i="10"/>
  <c r="B75" i="10"/>
  <c r="H90" i="11"/>
  <c r="G45" i="6"/>
  <c r="H43" i="11"/>
  <c r="G24" i="8"/>
  <c r="C40" i="8"/>
  <c r="H74" i="11"/>
  <c r="H89" i="8"/>
  <c r="H50" i="6"/>
  <c r="H56" i="6"/>
  <c r="C80" i="11"/>
  <c r="A3" i="14"/>
  <c r="B5" i="14"/>
  <c r="A57" i="20"/>
  <c r="H44" i="8"/>
  <c r="G71" i="36"/>
  <c r="E45" i="36"/>
  <c r="H35" i="36"/>
  <c r="A9" i="14"/>
  <c r="H33" i="36"/>
  <c r="H74" i="8"/>
  <c r="C80" i="8"/>
  <c r="C40" i="36"/>
  <c r="D45" i="36"/>
  <c r="A26" i="20"/>
  <c r="H78" i="36"/>
  <c r="G31" i="36"/>
  <c r="B35" i="36"/>
  <c r="H79" i="36"/>
  <c r="B11" i="14"/>
  <c r="A6" i="20"/>
  <c r="B84" i="35"/>
  <c r="H38" i="8"/>
  <c r="H76" i="36"/>
  <c r="H84" i="36"/>
  <c r="H75" i="8"/>
  <c r="H83" i="36"/>
  <c r="H85" i="10"/>
  <c r="G24" i="10"/>
  <c r="H45" i="36"/>
  <c r="C5" i="36"/>
  <c r="H86" i="10"/>
  <c r="H74" i="10"/>
  <c r="G64" i="10"/>
  <c r="H43" i="36"/>
  <c r="G28" i="10"/>
  <c r="H38" i="36"/>
  <c r="H35" i="10"/>
  <c r="H84" i="10"/>
  <c r="M41" i="12"/>
  <c r="M43" i="12" s="1"/>
  <c r="H36" i="36"/>
  <c r="G64" i="11"/>
  <c r="H85" i="11"/>
  <c r="H79" i="11"/>
  <c r="H45" i="11"/>
  <c r="H84" i="8"/>
  <c r="H44" i="10"/>
  <c r="G48" i="6"/>
  <c r="H33" i="10"/>
  <c r="B81" i="20"/>
  <c r="A7" i="20"/>
  <c r="A21" i="20"/>
  <c r="B47" i="35"/>
  <c r="G68" i="36"/>
  <c r="F11" i="21"/>
  <c r="E28" i="35"/>
  <c r="A16" i="20"/>
  <c r="C81" i="20"/>
  <c r="C62" i="17"/>
  <c r="H46" i="11"/>
  <c r="C87" i="9"/>
  <c r="B77" i="9" s="1"/>
  <c r="B37" i="10"/>
  <c r="E22" i="35"/>
  <c r="F48" i="12"/>
  <c r="C32" i="17"/>
  <c r="D6" i="17"/>
  <c r="D16" i="17" s="1"/>
  <c r="D29" i="17" s="1"/>
  <c r="E6" i="17" s="1"/>
  <c r="E16" i="17" s="1"/>
  <c r="E29" i="17" s="1"/>
  <c r="E31" i="17" s="1"/>
  <c r="D46" i="9"/>
  <c r="D61" i="9" s="1"/>
  <c r="D74" i="9" s="1"/>
  <c r="C88" i="9"/>
  <c r="D46" i="11"/>
  <c r="D61" i="11" s="1"/>
  <c r="D74" i="11" s="1"/>
  <c r="C88" i="11"/>
  <c r="D19" i="9"/>
  <c r="C94" i="36"/>
  <c r="D6" i="36"/>
  <c r="D21" i="36" s="1"/>
  <c r="D34" i="36" s="1"/>
  <c r="F53" i="6"/>
  <c r="E52" i="6"/>
  <c r="E49" i="6"/>
  <c r="F18" i="12"/>
  <c r="D21" i="3"/>
  <c r="E54" i="6"/>
  <c r="C32" i="18"/>
  <c r="D6" i="18"/>
  <c r="D16" i="18" s="1"/>
  <c r="D29" i="18" s="1"/>
  <c r="E6" i="18" s="1"/>
  <c r="E16" i="18" s="1"/>
  <c r="E29" i="18" s="1"/>
  <c r="E31" i="18" s="1"/>
  <c r="D6" i="9"/>
  <c r="D21" i="9" s="1"/>
  <c r="D34" i="9" s="1"/>
  <c r="C86" i="9"/>
  <c r="J83" i="33"/>
  <c r="D19" i="10"/>
  <c r="E37" i="18"/>
  <c r="E47" i="18" s="1"/>
  <c r="E60" i="18" s="1"/>
  <c r="E62" i="18" s="1"/>
  <c r="D63" i="18"/>
  <c r="D6" i="8"/>
  <c r="C86" i="8"/>
  <c r="J123" i="33"/>
  <c r="D19" i="11"/>
  <c r="C86" i="11"/>
  <c r="D6" i="11"/>
  <c r="D21" i="11" s="1"/>
  <c r="D34" i="11" s="1"/>
  <c r="K18" i="25"/>
  <c r="H29" i="25"/>
  <c r="H30" i="25" s="1"/>
  <c r="D95" i="36"/>
  <c r="D5" i="10"/>
  <c r="D45" i="10" s="1"/>
  <c r="D5" i="18"/>
  <c r="D36" i="18" s="1"/>
  <c r="H55" i="7"/>
  <c r="B75" i="9"/>
  <c r="B10" i="4"/>
  <c r="B52" i="6"/>
  <c r="C85" i="8"/>
  <c r="B37" i="8" s="1"/>
  <c r="D5" i="11"/>
  <c r="D45" i="11" s="1"/>
  <c r="E23" i="4"/>
  <c r="A21" i="23"/>
  <c r="D31" i="17"/>
  <c r="D23" i="4"/>
  <c r="I33" i="4" s="1"/>
  <c r="I14" i="4" s="1"/>
  <c r="C22" i="7"/>
  <c r="D57" i="7"/>
  <c r="C39" i="7"/>
  <c r="C43" i="7" s="1"/>
  <c r="C44" i="7" s="1"/>
  <c r="C27" i="6"/>
  <c r="B48" i="12"/>
  <c r="D74" i="6"/>
  <c r="B54" i="6" s="1"/>
  <c r="E60" i="8"/>
  <c r="G74" i="8" s="1"/>
  <c r="E60" i="9"/>
  <c r="G74" i="9" s="1"/>
  <c r="E20" i="36"/>
  <c r="G34" i="36" s="1"/>
  <c r="E20" i="10"/>
  <c r="G34" i="10" s="1"/>
  <c r="E60" i="11"/>
  <c r="G74" i="11" s="1"/>
  <c r="E20" i="9"/>
  <c r="G34" i="9" s="1"/>
  <c r="E20" i="11"/>
  <c r="G34" i="11" s="1"/>
  <c r="G17" i="35"/>
  <c r="E60" i="36"/>
  <c r="E20" i="8"/>
  <c r="H44" i="36"/>
  <c r="B61" i="17"/>
  <c r="D88" i="10"/>
  <c r="G73" i="10"/>
  <c r="E46" i="10"/>
  <c r="F19" i="12"/>
  <c r="E32" i="36"/>
  <c r="D22" i="3"/>
  <c r="E35" i="36"/>
  <c r="E37" i="36"/>
  <c r="F36" i="36"/>
  <c r="F76" i="8"/>
  <c r="E75" i="8"/>
  <c r="E72" i="8"/>
  <c r="E77" i="8"/>
  <c r="F23" i="12"/>
  <c r="D26" i="3"/>
  <c r="E75" i="9"/>
  <c r="E77" i="9"/>
  <c r="F25" i="12"/>
  <c r="D28" i="3"/>
  <c r="F76" i="9"/>
  <c r="E72" i="9"/>
  <c r="D29" i="3"/>
  <c r="E32" i="10"/>
  <c r="F36" i="10"/>
  <c r="E35" i="10"/>
  <c r="F26" i="12"/>
  <c r="E37" i="10"/>
  <c r="E37" i="11"/>
  <c r="D31" i="3"/>
  <c r="F28" i="12"/>
  <c r="E32" i="11"/>
  <c r="E35" i="11"/>
  <c r="F36" i="11"/>
  <c r="D21" i="8"/>
  <c r="D34" i="8" s="1"/>
  <c r="D19" i="8"/>
  <c r="E77" i="36"/>
  <c r="D23" i="3"/>
  <c r="F20" i="12"/>
  <c r="E72" i="36"/>
  <c r="E75" i="36"/>
  <c r="F76" i="36"/>
  <c r="G73" i="8"/>
  <c r="E46" i="36"/>
  <c r="D96" i="36"/>
  <c r="B78" i="36" s="1"/>
  <c r="G73" i="36"/>
  <c r="G34" i="8"/>
  <c r="E37" i="8"/>
  <c r="E32" i="8"/>
  <c r="D25" i="3"/>
  <c r="F22" i="12"/>
  <c r="F36" i="8"/>
  <c r="E35" i="8"/>
  <c r="D27" i="3"/>
  <c r="E35" i="9"/>
  <c r="F36" i="9"/>
  <c r="F24" i="12"/>
  <c r="E37" i="9"/>
  <c r="E32" i="9"/>
  <c r="E72" i="10"/>
  <c r="E75" i="10"/>
  <c r="D30" i="3"/>
  <c r="E77" i="10"/>
  <c r="F27" i="12"/>
  <c r="F76" i="10"/>
  <c r="D32" i="3"/>
  <c r="E75" i="11"/>
  <c r="F29" i="12"/>
  <c r="F76" i="11"/>
  <c r="E77" i="11"/>
  <c r="E72" i="11"/>
  <c r="D19" i="36"/>
  <c r="E60" i="10"/>
  <c r="E61" i="36" l="1"/>
  <c r="G31" i="4"/>
  <c r="G14" i="4" s="1"/>
  <c r="C63" i="17"/>
  <c r="D37" i="17"/>
  <c r="D47" i="17" s="1"/>
  <c r="D60" i="17" s="1"/>
  <c r="G24" i="14"/>
  <c r="G26" i="14" s="1"/>
  <c r="J28" i="14" s="1"/>
  <c r="J30" i="14" s="1"/>
  <c r="E19" i="36"/>
  <c r="B77" i="36"/>
  <c r="D6" i="10"/>
  <c r="D21" i="10" s="1"/>
  <c r="D34" i="10" s="1"/>
  <c r="D86" i="10" s="1"/>
  <c r="B38" i="10" s="1"/>
  <c r="E46" i="8"/>
  <c r="E61" i="8" s="1"/>
  <c r="E78" i="8" s="1"/>
  <c r="E80" i="8" s="1"/>
  <c r="B77" i="11"/>
  <c r="B78" i="10"/>
  <c r="C5" i="18"/>
  <c r="C36" i="18" s="1"/>
  <c r="C5" i="7"/>
  <c r="C5" i="8"/>
  <c r="C45" i="8" s="1"/>
  <c r="C5" i="17"/>
  <c r="C36" i="17" s="1"/>
  <c r="C5" i="10"/>
  <c r="C45" i="10" s="1"/>
  <c r="C5" i="11"/>
  <c r="C45" i="11" s="1"/>
  <c r="C5" i="9"/>
  <c r="C45" i="9" s="1"/>
  <c r="E6" i="9"/>
  <c r="E21" i="9" s="1"/>
  <c r="G33" i="9"/>
  <c r="D86" i="9"/>
  <c r="B38" i="9" s="1"/>
  <c r="G33" i="10"/>
  <c r="J35" i="4"/>
  <c r="J14" i="4" s="1"/>
  <c r="E12" i="7" s="1"/>
  <c r="E46" i="9"/>
  <c r="E61" i="9" s="1"/>
  <c r="G73" i="9"/>
  <c r="D88" i="9"/>
  <c r="B78" i="9" s="1"/>
  <c r="H33" i="4"/>
  <c r="K29" i="25"/>
  <c r="E6" i="11"/>
  <c r="E21" i="11" s="1"/>
  <c r="E38" i="11" s="1"/>
  <c r="E40" i="11" s="1"/>
  <c r="G33" i="11"/>
  <c r="D86" i="11"/>
  <c r="B38" i="11" s="1"/>
  <c r="G73" i="11"/>
  <c r="E46" i="11"/>
  <c r="E61" i="11" s="1"/>
  <c r="E78" i="11" s="1"/>
  <c r="E80" i="11" s="1"/>
  <c r="D88" i="11"/>
  <c r="B78" i="11" s="1"/>
  <c r="B21" i="12"/>
  <c r="B36" i="12" s="1"/>
  <c r="B38" i="12" s="1"/>
  <c r="C42" i="7"/>
  <c r="D6" i="7"/>
  <c r="D24" i="7" s="1"/>
  <c r="D39" i="7" s="1"/>
  <c r="D43" i="7" s="1"/>
  <c r="C73" i="7"/>
  <c r="G48" i="7"/>
  <c r="C72" i="7"/>
  <c r="C46" i="6"/>
  <c r="C51" i="6"/>
  <c r="E10" i="7"/>
  <c r="G11" i="4"/>
  <c r="E11" i="7"/>
  <c r="I11" i="4"/>
  <c r="E59" i="36"/>
  <c r="G74" i="36"/>
  <c r="E78" i="9"/>
  <c r="E80" i="9" s="1"/>
  <c r="E59" i="9" s="1"/>
  <c r="E61" i="10"/>
  <c r="E78" i="10" s="1"/>
  <c r="E80" i="10" s="1"/>
  <c r="E59" i="10" s="1"/>
  <c r="G74" i="10"/>
  <c r="E6" i="36"/>
  <c r="E21" i="36" s="1"/>
  <c r="E38" i="36" s="1"/>
  <c r="E40" i="36" s="1"/>
  <c r="D94" i="36"/>
  <c r="B38" i="36" s="1"/>
  <c r="G33" i="36"/>
  <c r="G33" i="8"/>
  <c r="D86" i="8"/>
  <c r="B38" i="8" s="1"/>
  <c r="E6" i="8"/>
  <c r="E21" i="8" s="1"/>
  <c r="E38" i="8" s="1"/>
  <c r="E40" i="8" s="1"/>
  <c r="E38" i="9"/>
  <c r="E40" i="9" s="1"/>
  <c r="E78" i="36"/>
  <c r="D39" i="3"/>
  <c r="F36" i="12"/>
  <c r="F38" i="12" s="1"/>
  <c r="E28" i="3"/>
  <c r="D63" i="17" l="1"/>
  <c r="E37" i="17"/>
  <c r="E47" i="17" s="1"/>
  <c r="E60" i="17" s="1"/>
  <c r="E62" i="17" s="1"/>
  <c r="H25" i="12"/>
  <c r="G83" i="9" s="1"/>
  <c r="G25" i="12"/>
  <c r="G75" i="9"/>
  <c r="G76" i="9" s="1"/>
  <c r="G79" i="9" s="1"/>
  <c r="F28" i="3"/>
  <c r="J11" i="4"/>
  <c r="J23" i="4" s="1"/>
  <c r="E6" i="10"/>
  <c r="E21" i="10" s="1"/>
  <c r="E38" i="10" s="1"/>
  <c r="E40" i="10" s="1"/>
  <c r="F32" i="3"/>
  <c r="E32" i="3"/>
  <c r="E59" i="11"/>
  <c r="G29" i="12"/>
  <c r="H29" i="12"/>
  <c r="G83" i="11" s="1"/>
  <c r="G75" i="11"/>
  <c r="K75" i="11" s="1"/>
  <c r="G28" i="12"/>
  <c r="H28" i="12"/>
  <c r="G43" i="11" s="1"/>
  <c r="E19" i="11"/>
  <c r="F31" i="3"/>
  <c r="G35" i="11"/>
  <c r="E31" i="3"/>
  <c r="D6" i="6"/>
  <c r="D27" i="6" s="1"/>
  <c r="C75" i="6"/>
  <c r="E23" i="7"/>
  <c r="G44" i="7" s="1"/>
  <c r="E11" i="6"/>
  <c r="I23" i="4"/>
  <c r="G23" i="4"/>
  <c r="E10" i="6"/>
  <c r="D21" i="12"/>
  <c r="D36" i="12" s="1"/>
  <c r="D38" i="12" s="1"/>
  <c r="D72" i="7"/>
  <c r="B47" i="7" s="1"/>
  <c r="D42" i="7"/>
  <c r="D44" i="7"/>
  <c r="H23" i="12"/>
  <c r="G83" i="8" s="1"/>
  <c r="G75" i="8"/>
  <c r="E26" i="3"/>
  <c r="E59" i="8"/>
  <c r="F26" i="3"/>
  <c r="G23" i="12"/>
  <c r="F22" i="3"/>
  <c r="J32" i="14"/>
  <c r="J34" i="14" s="1"/>
  <c r="J41" i="14" s="1"/>
  <c r="G35" i="36"/>
  <c r="K35" i="36" s="1"/>
  <c r="G19" i="12"/>
  <c r="H19" i="12"/>
  <c r="E22" i="3"/>
  <c r="G35" i="8"/>
  <c r="K35" i="8" s="1"/>
  <c r="H22" i="12"/>
  <c r="G43" i="8" s="1"/>
  <c r="G22" i="12"/>
  <c r="E25" i="3"/>
  <c r="F25" i="3"/>
  <c r="E19" i="8"/>
  <c r="G27" i="12"/>
  <c r="G75" i="10"/>
  <c r="H27" i="12"/>
  <c r="G83" i="10" s="1"/>
  <c r="F30" i="3"/>
  <c r="E30" i="3"/>
  <c r="K75" i="9"/>
  <c r="E79" i="36"/>
  <c r="G24" i="12"/>
  <c r="G35" i="9"/>
  <c r="H24" i="12"/>
  <c r="G43" i="9" s="1"/>
  <c r="E27" i="3"/>
  <c r="F27" i="3"/>
  <c r="E19" i="9"/>
  <c r="G36" i="8" l="1"/>
  <c r="G39" i="8" s="1"/>
  <c r="E12" i="6"/>
  <c r="H26" i="12"/>
  <c r="G43" i="10" s="1"/>
  <c r="E19" i="10"/>
  <c r="G26" i="12"/>
  <c r="F29" i="3"/>
  <c r="G35" i="10"/>
  <c r="E29" i="3"/>
  <c r="G36" i="36"/>
  <c r="G39" i="36" s="1"/>
  <c r="K35" i="11"/>
  <c r="G36" i="11"/>
  <c r="G39" i="11" s="1"/>
  <c r="G76" i="11"/>
  <c r="G79" i="11" s="1"/>
  <c r="D46" i="6"/>
  <c r="D51" i="6"/>
  <c r="E26" i="6"/>
  <c r="E6" i="7"/>
  <c r="E24" i="7" s="1"/>
  <c r="E48" i="7" s="1"/>
  <c r="E50" i="7" s="1"/>
  <c r="E24" i="3" s="1"/>
  <c r="F24" i="3" s="1"/>
  <c r="G43" i="7"/>
  <c r="D73" i="7"/>
  <c r="B48" i="7" s="1"/>
  <c r="K75" i="10"/>
  <c r="G76" i="10"/>
  <c r="G79" i="10" s="1"/>
  <c r="G43" i="36"/>
  <c r="K35" i="9"/>
  <c r="G36" i="9"/>
  <c r="G39" i="9" s="1"/>
  <c r="K75" i="8"/>
  <c r="G76" i="8"/>
  <c r="G79" i="8" s="1"/>
  <c r="E80" i="36"/>
  <c r="K35" i="10" l="1"/>
  <c r="G36" i="10"/>
  <c r="G39" i="10" s="1"/>
  <c r="E39" i="7"/>
  <c r="E6" i="6"/>
  <c r="G50" i="6"/>
  <c r="D75" i="6"/>
  <c r="B55" i="6" s="1"/>
  <c r="G51" i="6"/>
  <c r="E27" i="6"/>
  <c r="G21" i="12"/>
  <c r="M38" i="12" s="1"/>
  <c r="M45" i="12" s="1"/>
  <c r="M33" i="12" s="1"/>
  <c r="E22" i="7"/>
  <c r="G45" i="7"/>
  <c r="G46" i="7" s="1"/>
  <c r="G49" i="7" s="1"/>
  <c r="G20" i="12"/>
  <c r="G15" i="35"/>
  <c r="G22" i="35" s="1"/>
  <c r="H20" i="12"/>
  <c r="F23" i="3"/>
  <c r="E23" i="3"/>
  <c r="G75" i="36"/>
  <c r="K45" i="7" l="1"/>
  <c r="E55" i="6"/>
  <c r="E57" i="6" s="1"/>
  <c r="E46" i="6" s="1"/>
  <c r="H21" i="12"/>
  <c r="G53" i="7" s="1"/>
  <c r="G83" i="36"/>
  <c r="K75" i="36"/>
  <c r="G76" i="36"/>
  <c r="G79" i="36" s="1"/>
  <c r="D24" i="35"/>
  <c r="E23" i="35"/>
  <c r="G52" i="6" l="1"/>
  <c r="G18" i="12"/>
  <c r="E44" i="6"/>
  <c r="E25" i="6"/>
  <c r="E21" i="3"/>
  <c r="F21" i="3" l="1"/>
  <c r="F39" i="3" s="1"/>
  <c r="E39" i="3"/>
  <c r="G53" i="6"/>
  <c r="G56" i="6" s="1"/>
  <c r="K52" i="6"/>
  <c r="H18" i="12"/>
  <c r="G36" i="12"/>
  <c r="M39" i="12"/>
  <c r="G60" i="6" l="1"/>
  <c r="H36" i="12"/>
  <c r="M46" i="12"/>
  <c r="M34" i="12" s="1"/>
  <c r="M40" i="12"/>
  <c r="M44" i="12" s="1"/>
  <c r="E10" i="37"/>
  <c r="E41" i="3"/>
  <c r="I48" i="36" l="1"/>
  <c r="I88" i="36"/>
  <c r="I92" i="10"/>
  <c r="I92" i="9"/>
  <c r="I48" i="11"/>
  <c r="I92" i="8"/>
  <c r="I48" i="10"/>
  <c r="I48" i="9"/>
  <c r="I48" i="8"/>
  <c r="I92" i="11"/>
  <c r="I65" i="6"/>
  <c r="I58" i="7"/>
  <c r="M51" i="12"/>
  <c r="G55" i="7"/>
  <c r="G45" i="9"/>
  <c r="G89" i="9"/>
  <c r="G45" i="11"/>
  <c r="G29" i="35"/>
  <c r="E30" i="35" s="1"/>
  <c r="D31" i="35" s="1"/>
  <c r="F33" i="35" s="1"/>
  <c r="F80" i="36" s="1"/>
  <c r="G45" i="36"/>
  <c r="G89" i="11"/>
  <c r="G89" i="8"/>
  <c r="G85" i="36"/>
  <c r="G45" i="10"/>
  <c r="G62" i="6"/>
  <c r="G45" i="8"/>
  <c r="G89" i="10"/>
  <c r="M52" i="12" l="1"/>
  <c r="M53" i="12"/>
  <c r="M54" i="12"/>
  <c r="M56" i="12" l="1"/>
  <c r="M57" i="12"/>
</calcChain>
</file>

<file path=xl/sharedStrings.xml><?xml version="1.0" encoding="utf-8"?>
<sst xmlns="http://schemas.openxmlformats.org/spreadsheetml/2006/main" count="1729" uniqueCount="997">
  <si>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</si>
  <si>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</si>
  <si>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</si>
  <si>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</si>
  <si>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</si>
  <si>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</si>
  <si>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</si>
  <si>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</si>
  <si>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</si>
  <si>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</si>
  <si>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</si>
  <si>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</si>
  <si>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</si>
  <si>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</si>
  <si>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</si>
  <si>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</si>
  <si>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</si>
  <si>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</si>
  <si>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</si>
  <si>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</si>
  <si>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</si>
  <si>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</si>
  <si>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</si>
  <si>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</si>
  <si>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</si>
  <si>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</si>
  <si>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</si>
  <si>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</si>
  <si>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</si>
  <si>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</si>
  <si>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</si>
  <si>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</si>
  <si>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</si>
  <si>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</si>
  <si>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</si>
  <si>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</si>
  <si>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</si>
  <si>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</si>
  <si>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</si>
  <si>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</si>
  <si>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</si>
  <si>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</si>
  <si>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</si>
  <si>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</si>
  <si>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</si>
  <si>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</si>
  <si>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</si>
  <si>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</si>
  <si>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</si>
  <si>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</si>
  <si>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</si>
  <si>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</si>
  <si>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</si>
  <si>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</si>
  <si>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</si>
  <si>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</si>
  <si>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</si>
  <si>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</si>
  <si>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</si>
  <si>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</si>
  <si>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</si>
  <si>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</si>
  <si>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</si>
  <si>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</si>
  <si>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</si>
  <si>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</si>
  <si>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</si>
  <si>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</si>
  <si>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</si>
  <si>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</si>
  <si>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</si>
  <si>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</si>
  <si>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</si>
  <si>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</si>
  <si>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</si>
  <si>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</si>
  <si>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</si>
  <si>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</si>
  <si>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</si>
  <si>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</si>
  <si>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</si>
  <si>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</si>
  <si>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</si>
  <si>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</si>
  <si>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</si>
  <si>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</si>
  <si>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</si>
  <si>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</si>
  <si>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</si>
  <si>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</si>
  <si>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</si>
  <si>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</si>
  <si>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</si>
  <si>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</si>
  <si>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</si>
  <si>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</si>
  <si>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</si>
  <si>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</si>
  <si>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</si>
  <si>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</si>
  <si>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</si>
  <si>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</si>
  <si>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</si>
  <si>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</si>
  <si>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</si>
  <si>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</si>
  <si>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</si>
  <si>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</si>
  <si>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</si>
  <si>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</si>
  <si>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</si>
  <si>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</si>
  <si>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</si>
  <si>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</si>
  <si>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</si>
  <si>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</si>
  <si>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</si>
  <si>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</si>
  <si>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</si>
  <si>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</si>
  <si>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</si>
  <si>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</si>
  <si>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</si>
  <si>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</si>
  <si>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</si>
  <si>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</si>
  <si>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</si>
  <si>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</si>
  <si>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</si>
  <si>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</si>
  <si>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</si>
  <si>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</si>
  <si>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</si>
  <si>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</si>
  <si>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</si>
  <si>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</si>
  <si>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</si>
  <si>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</si>
  <si>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</si>
  <si>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</si>
  <si>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</si>
  <si>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</si>
  <si>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</si>
  <si>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</si>
  <si>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</si>
  <si>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</si>
  <si>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</si>
  <si>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</si>
  <si>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</si>
  <si>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</si>
  <si>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</si>
  <si>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</si>
  <si>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</si>
  <si>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</si>
  <si>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</si>
  <si>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</si>
  <si>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</si>
  <si>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</si>
  <si>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</si>
  <si>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</si>
  <si>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</si>
  <si>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</si>
  <si>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</si>
  <si>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</si>
  <si>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</si>
  <si>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</si>
  <si>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</si>
  <si>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</si>
  <si>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</si>
  <si>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</si>
  <si>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</si>
  <si>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</si>
  <si>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</si>
  <si>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</si>
  <si>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</si>
  <si>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</si>
  <si>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</si>
  <si>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</si>
  <si>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</si>
  <si>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</si>
  <si>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</si>
  <si>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</si>
  <si>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</si>
  <si>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</si>
  <si>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</si>
  <si>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</si>
  <si>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</si>
  <si>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</si>
  <si>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</si>
  <si>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</si>
  <si>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</si>
  <si>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</si>
  <si>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</si>
  <si>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</si>
  <si>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</si>
  <si>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</si>
  <si>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</si>
  <si>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</si>
  <si>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</si>
  <si>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</si>
  <si>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</si>
  <si>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</si>
  <si>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</si>
  <si>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</si>
  <si>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</si>
  <si>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</si>
  <si>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</si>
  <si>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</si>
  <si>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</si>
  <si>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</si>
  <si>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</si>
  <si>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</si>
  <si>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</si>
  <si>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</si>
  <si>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</si>
  <si>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</si>
  <si>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</si>
  <si>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</si>
  <si>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</si>
  <si>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</si>
  <si>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</si>
  <si>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</si>
  <si>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</si>
  <si>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</si>
  <si>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</si>
  <si>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</si>
  <si>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</si>
  <si>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</si>
  <si>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</si>
  <si>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</si>
  <si>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</si>
  <si>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</si>
  <si>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</si>
  <si>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</si>
  <si>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</si>
  <si>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</si>
  <si>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</si>
  <si>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</si>
  <si>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</si>
  <si>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</si>
  <si>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</si>
  <si>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</si>
  <si>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</si>
  <si>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</si>
  <si>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</si>
  <si>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</si>
  <si>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</si>
  <si>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</si>
  <si>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</si>
  <si>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</si>
  <si>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</si>
  <si>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</si>
  <si>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</si>
  <si>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</si>
  <si>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</si>
  <si>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</si>
  <si>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</si>
  <si>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</si>
  <si>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</si>
  <si>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</si>
  <si>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</si>
  <si>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</si>
  <si>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</si>
  <si>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</si>
  <si>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</si>
  <si>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</si>
  <si>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</si>
  <si>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</si>
  <si>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</si>
  <si>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</si>
  <si>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</si>
  <si>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</si>
  <si>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</si>
  <si>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</si>
  <si>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</si>
  <si>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</si>
  <si>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</si>
  <si>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</si>
  <si>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</si>
  <si>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</si>
  <si>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</si>
  <si>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</si>
  <si>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</si>
  <si>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</si>
  <si>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</si>
  <si>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</si>
  <si>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</si>
  <si>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</si>
  <si>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</si>
  <si>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</si>
  <si>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</si>
  <si>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</si>
  <si>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</si>
  <si>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</si>
  <si>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</si>
  <si>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</si>
  <si>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</si>
  <si>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</si>
  <si>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</si>
  <si>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</si>
  <si>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</si>
  <si>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</si>
  <si>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</si>
  <si>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</si>
  <si>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</si>
  <si>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</si>
  <si>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</si>
  <si>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</si>
  <si>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</si>
  <si>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</si>
  <si>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</si>
  <si>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</si>
  <si>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</si>
  <si>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</si>
  <si>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</si>
  <si>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</si>
  <si>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</si>
  <si>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</si>
  <si>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</si>
  <si>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</si>
  <si>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</si>
  <si>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</si>
  <si>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</si>
  <si>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</si>
  <si>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</si>
  <si>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</si>
  <si>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</si>
  <si>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</si>
  <si>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</si>
  <si>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</si>
  <si>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</si>
  <si>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</si>
  <si>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</si>
  <si>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</si>
  <si>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</si>
  <si>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</si>
  <si>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</si>
  <si>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</si>
  <si>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</si>
  <si>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</si>
  <si>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</si>
  <si>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</si>
  <si>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</si>
  <si>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</si>
  <si>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</si>
  <si>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</si>
  <si>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</si>
  <si>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</si>
  <si>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</si>
  <si>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</si>
  <si>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</si>
  <si>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</si>
  <si>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</si>
  <si>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</si>
  <si>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</si>
  <si>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</si>
  <si>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</si>
  <si>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</si>
  <si>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</si>
  <si>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</si>
  <si>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</si>
  <si>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</si>
  <si>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</si>
  <si>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</si>
  <si>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</si>
  <si>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</si>
  <si>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</si>
  <si>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</si>
  <si>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</si>
  <si>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</si>
  <si>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</si>
  <si>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</si>
  <si>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</si>
  <si>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</si>
  <si>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</si>
  <si>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</si>
  <si>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</si>
  <si>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</si>
  <si>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</si>
  <si>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</si>
  <si>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</si>
  <si>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</si>
  <si>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</si>
  <si>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</si>
  <si>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</si>
  <si>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</si>
  <si>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</si>
  <si>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</si>
  <si>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</si>
  <si>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</si>
  <si>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</si>
  <si>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</si>
  <si>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</si>
  <si>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</si>
  <si>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</si>
  <si>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</si>
  <si>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</si>
  <si>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</si>
  <si>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</si>
  <si>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</si>
  <si>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</si>
  <si>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</si>
  <si>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</si>
  <si>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</si>
  <si>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</si>
  <si>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</si>
  <si>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</si>
  <si>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</si>
  <si>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</si>
  <si>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</si>
  <si>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</si>
  <si>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</si>
  <si>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</si>
  <si>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</si>
  <si>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</si>
  <si>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</si>
  <si>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</si>
  <si>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</si>
  <si>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</si>
  <si>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</si>
  <si>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</si>
  <si>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</si>
  <si>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</si>
  <si>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</si>
  <si>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</si>
  <si>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</si>
  <si>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</si>
  <si>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</si>
  <si>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</si>
  <si>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</si>
  <si>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</si>
  <si>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</si>
  <si>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</si>
  <si>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</si>
  <si>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</si>
  <si>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</si>
  <si>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</si>
  <si>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</si>
  <si>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</si>
  <si>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</si>
  <si>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</si>
  <si>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</si>
  <si>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</si>
  <si>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</si>
  <si>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</si>
  <si>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</si>
  <si>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</si>
  <si>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</si>
  <si>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</si>
  <si>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</si>
  <si>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</si>
  <si>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</si>
  <si>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</si>
  <si>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</si>
  <si>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</si>
  <si>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</si>
  <si>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</si>
  <si>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</si>
  <si>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</si>
  <si>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</si>
  <si>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</si>
  <si>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</si>
  <si>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</si>
  <si>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</si>
  <si>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</si>
  <si>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</si>
  <si>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</si>
  <si>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</si>
  <si>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</si>
  <si>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</si>
  <si>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</si>
  <si>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</si>
  <si>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</si>
  <si>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</si>
  <si>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</si>
  <si>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</si>
  <si>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</si>
  <si>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</si>
  <si>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</si>
  <si>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</si>
  <si>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</si>
  <si>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</si>
  <si>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</si>
  <si>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</si>
  <si>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</si>
  <si>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</si>
  <si>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</si>
  <si>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</si>
  <si>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</si>
  <si>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</si>
  <si>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</si>
  <si>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</si>
  <si>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</si>
  <si>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</si>
  <si>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</si>
  <si>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</si>
  <si>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</si>
  <si>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</si>
  <si>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</si>
  <si>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</si>
  <si>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</si>
  <si>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</si>
  <si>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</si>
  <si>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</si>
  <si>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</si>
  <si>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</si>
  <si>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</si>
  <si>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</si>
  <si>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</si>
  <si>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</si>
  <si>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</si>
  <si>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</si>
  <si>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</si>
  <si>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</si>
  <si>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</si>
  <si>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</si>
  <si>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</si>
  <si>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</si>
  <si>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</si>
  <si>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</si>
  <si>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</si>
  <si>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</si>
  <si>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</si>
  <si>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</si>
  <si>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</si>
  <si>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</si>
  <si>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</si>
  <si>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</si>
  <si>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</si>
  <si>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</si>
  <si>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</si>
  <si>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</si>
  <si>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</si>
  <si>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</si>
  <si>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</si>
  <si>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</si>
  <si>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</si>
  <si>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</si>
  <si>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</si>
  <si>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</si>
  <si>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</si>
  <si>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</si>
  <si>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</si>
  <si>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</si>
  <si>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</si>
  <si>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</si>
  <si>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</si>
  <si>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</si>
  <si>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</si>
  <si>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</si>
  <si>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</si>
  <si>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</si>
  <si>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</si>
  <si>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</si>
  <si>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</si>
  <si>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</si>
  <si>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</si>
  <si>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</si>
  <si>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</si>
  <si>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</si>
  <si>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</si>
  <si>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</si>
  <si>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</si>
  <si>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</si>
  <si>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</si>
  <si>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</si>
  <si>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</si>
  <si>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</si>
  <si>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</si>
  <si>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</si>
  <si>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</si>
  <si>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</si>
  <si>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</si>
  <si>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</si>
  <si>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</si>
  <si>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</si>
  <si>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</si>
  <si>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</si>
  <si>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</si>
  <si>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</si>
  <si>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</si>
  <si>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</si>
  <si>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</si>
  <si>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</si>
  <si>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</si>
  <si>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</si>
  <si>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</si>
  <si>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</si>
  <si>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</si>
  <si>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</si>
  <si>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</si>
  <si>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</si>
  <si>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</si>
  <si>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</si>
  <si>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</si>
  <si>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</si>
  <si>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</si>
  <si>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</si>
  <si>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</si>
  <si>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</si>
  <si>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</si>
  <si>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</si>
  <si>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</si>
  <si>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</si>
  <si>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</si>
  <si>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</si>
  <si>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</si>
  <si>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</si>
  <si>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</si>
  <si>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</si>
  <si>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</si>
  <si>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</si>
  <si>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</si>
  <si>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</si>
  <si>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</si>
  <si>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</si>
  <si>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</si>
  <si>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</si>
  <si>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</si>
  <si>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</si>
  <si>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</si>
  <si>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</si>
  <si>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</si>
  <si>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</si>
  <si>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</si>
  <si>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</si>
  <si>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</si>
  <si>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</si>
  <si>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</si>
  <si>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</si>
  <si>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</si>
  <si>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</si>
  <si>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</si>
  <si>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</si>
  <si>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</si>
  <si>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</si>
  <si>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</si>
  <si>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</si>
  <si>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</si>
  <si>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</si>
  <si>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</si>
  <si>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</si>
  <si>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</si>
  <si>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</si>
  <si>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</si>
  <si>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</si>
  <si>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</si>
  <si>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</si>
  <si>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</si>
  <si>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</si>
  <si>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</si>
  <si>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</si>
  <si>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</si>
  <si>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</si>
  <si>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</si>
  <si>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</si>
  <si>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</si>
  <si>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</si>
  <si>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</si>
  <si>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</si>
  <si>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</si>
  <si>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</si>
  <si>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</si>
  <si>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</si>
  <si>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</si>
  <si>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</si>
  <si>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</si>
  <si>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</si>
  <si>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</si>
  <si>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</si>
  <si>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</si>
  <si>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</si>
  <si>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</si>
  <si>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</si>
  <si>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</si>
  <si>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</si>
  <si>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</si>
  <si>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</si>
  <si>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</si>
  <si>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</si>
  <si>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</si>
  <si>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</si>
  <si>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</si>
  <si>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</si>
  <si>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</si>
  <si>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</si>
  <si>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</si>
  <si>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</si>
  <si>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</si>
  <si>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</si>
  <si>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</si>
  <si>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</si>
  <si>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</si>
  <si>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</si>
  <si>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</si>
  <si>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</si>
  <si>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</si>
  <si>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</si>
  <si>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</si>
  <si>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</si>
  <si>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</si>
  <si>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</si>
  <si>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</si>
  <si>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</si>
  <si>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</si>
  <si>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</si>
  <si>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</si>
  <si>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</si>
  <si>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</si>
  <si>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</si>
  <si>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</si>
  <si>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</si>
  <si>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</si>
  <si>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</si>
  <si>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</si>
  <si>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</si>
  <si>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</si>
  <si>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</si>
  <si>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</si>
  <si>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</si>
  <si>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</si>
  <si>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</si>
  <si>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</si>
  <si>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</si>
  <si>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</si>
  <si>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</si>
  <si>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</si>
  <si>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</si>
  <si>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</si>
  <si>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</si>
  <si>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</si>
  <si>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</si>
  <si>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</si>
  <si>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</si>
  <si>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</si>
  <si>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</si>
  <si>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</si>
  <si>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</si>
  <si>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</si>
  <si>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</si>
  <si>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</si>
  <si>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</si>
  <si>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</si>
  <si>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</si>
  <si>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</si>
  <si>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</si>
  <si>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</si>
  <si>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</si>
  <si>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</si>
  <si>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</si>
  <si>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</si>
  <si>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</si>
  <si>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</si>
  <si>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</si>
  <si>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</si>
  <si>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</si>
  <si>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</si>
  <si>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</si>
  <si>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</si>
  <si>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</si>
  <si>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</si>
  <si>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</si>
  <si>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</si>
  <si>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</si>
  <si>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</si>
  <si>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</si>
  <si>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</si>
  <si>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</si>
  <si>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</si>
  <si>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</si>
  <si>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</si>
  <si>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</si>
  <si>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</si>
  <si>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</si>
  <si>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</si>
  <si>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</si>
  <si>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</si>
  <si>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</si>
  <si>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</si>
  <si>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</si>
  <si>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</si>
  <si>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</si>
  <si>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</si>
  <si>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</si>
  <si>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</si>
  <si>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</si>
  <si>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</si>
  <si>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</si>
  <si>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</si>
  <si>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</si>
  <si>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</si>
  <si>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</si>
  <si>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</si>
  <si>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</si>
  <si>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</si>
  <si>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</si>
  <si>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</si>
  <si>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</si>
  <si>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</si>
  <si>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</si>
  <si>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</si>
  <si>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</si>
  <si>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</si>
  <si>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</si>
  <si>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</si>
  <si>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</si>
  <si>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</si>
  <si>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</si>
  <si>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</si>
  <si>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</si>
  <si>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</si>
  <si>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</si>
  <si>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</si>
  <si>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</si>
  <si>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</si>
  <si>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</si>
  <si>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</si>
  <si>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</si>
  <si>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</si>
  <si>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</si>
  <si>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</si>
  <si>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</si>
  <si>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</si>
  <si>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</si>
  <si>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</si>
  <si>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</si>
  <si>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</si>
  <si>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</si>
  <si>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</si>
  <si>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</si>
  <si>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</si>
  <si>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</si>
  <si>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</si>
  <si>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</si>
  <si>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</si>
  <si>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</si>
  <si>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</si>
  <si>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</si>
  <si>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</si>
  <si>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</si>
  <si>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</si>
  <si>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</si>
  <si>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</si>
  <si>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</si>
  <si>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</si>
  <si>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</si>
  <si>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</si>
  <si>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</si>
  <si>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</si>
  <si>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</si>
  <si>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</si>
  <si>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</si>
  <si>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</si>
  <si>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</si>
  <si>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</si>
  <si>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</si>
  <si>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</si>
  <si>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</si>
  <si>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</si>
  <si>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</si>
  <si>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</si>
  <si>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</si>
  <si>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</si>
  <si>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</si>
  <si>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</si>
  <si>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</si>
  <si>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</si>
  <si>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</si>
  <si>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</si>
  <si>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</si>
  <si>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</si>
  <si>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</si>
  <si>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</si>
  <si>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</si>
  <si>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</si>
  <si>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</si>
  <si>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</si>
  <si>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</si>
  <si>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</si>
  <si>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</si>
  <si>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</si>
  <si>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</si>
  <si>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</si>
  <si>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</si>
  <si>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</si>
  <si>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</si>
  <si>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</si>
  <si>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</si>
  <si>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</si>
  <si>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</si>
  <si>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</si>
  <si>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</si>
  <si>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</si>
  <si>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</si>
  <si>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</si>
  <si>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</si>
  <si>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</si>
  <si>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</si>
  <si>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</si>
  <si>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</si>
  <si>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</si>
  <si>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</si>
  <si>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</si>
  <si>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</si>
  <si>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</si>
  <si>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</si>
  <si>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</si>
  <si>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</si>
  <si>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</si>
  <si>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</si>
  <si>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</si>
  <si>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</si>
  <si>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</si>
  <si>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</si>
  <si>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</si>
  <si>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</si>
  <si>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</si>
  <si>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</si>
  <si>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</si>
  <si>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</si>
  <si>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</si>
  <si>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</si>
  <si>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</si>
  <si>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</si>
  <si>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</si>
  <si>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</si>
  <si>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</si>
  <si>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</si>
  <si>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</si>
  <si>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</si>
  <si>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</si>
  <si>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</si>
  <si>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</si>
  <si>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</si>
  <si>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</si>
  <si>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</si>
  <si>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</si>
  <si>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</si>
  <si>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</si>
  <si>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</si>
  <si>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</si>
  <si>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</si>
  <si>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</si>
  <si>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</si>
  <si>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</si>
  <si>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</si>
  <si>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</si>
  <si>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</si>
  <si>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</si>
  <si>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</si>
  <si>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</si>
  <si>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</si>
  <si>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</si>
  <si>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</si>
  <si>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</si>
  <si>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</si>
  <si>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</si>
  <si>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</si>
  <si>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</si>
  <si>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Pleasant Township</t>
  </si>
  <si>
    <t>Butler County</t>
  </si>
  <si>
    <t>City of Rose Hill</t>
  </si>
  <si>
    <t>Butler County Clerk's Office</t>
  </si>
  <si>
    <t>205 W Central Ave</t>
  </si>
  <si>
    <t>El Dorado, KS 67042</t>
  </si>
  <si>
    <t>Insurance/Contract Labor</t>
  </si>
  <si>
    <t>Cemetery</t>
  </si>
  <si>
    <t>Professional Fees</t>
  </si>
  <si>
    <t>Publication</t>
  </si>
  <si>
    <t>Utilities</t>
  </si>
  <si>
    <t>Parts &amp; Repairs</t>
  </si>
  <si>
    <t>Mileage</t>
  </si>
  <si>
    <t>Road Materials/Supplies/Parts</t>
  </si>
  <si>
    <t>Machine Equipment Lease</t>
  </si>
  <si>
    <t>Fuel</t>
  </si>
  <si>
    <t xml:space="preserve">Payroll Expenses </t>
  </si>
  <si>
    <t>Noxious Weeds</t>
  </si>
  <si>
    <t>Adjustments</t>
  </si>
  <si>
    <t>Bank Fees</t>
  </si>
  <si>
    <t>Equipment Sold</t>
  </si>
  <si>
    <t>Soutwind Oil</t>
  </si>
  <si>
    <t>Minneha Township</t>
  </si>
  <si>
    <t>Workcomp Refund</t>
  </si>
  <si>
    <t>Paystar</t>
  </si>
  <si>
    <t>Equipment Refund</t>
  </si>
  <si>
    <t>Roller</t>
  </si>
  <si>
    <t>Watercraft Tax Estimate</t>
  </si>
  <si>
    <t>Sharon Gash</t>
  </si>
  <si>
    <t>Treasurer</t>
  </si>
  <si>
    <t>Fire District #3 at 911 N. Rose Hill Rd., Rose Hill</t>
  </si>
  <si>
    <t>Julie Winslow's residence at 15644 SW Mulberry Rd., Rose Hill</t>
  </si>
  <si>
    <t>Reimbursements</t>
  </si>
  <si>
    <t>August 13, 2014</t>
  </si>
  <si>
    <t>6:30 p.m.</t>
  </si>
  <si>
    <t>Motor Grader 12M</t>
  </si>
  <si>
    <t>Backhoe Cat 420F</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</si>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</sst>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3" fontId="5" fillId="3" borderId="9" xfId="0" applyNumberFormat="1" applyFont="1" applyFill="1"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Alignment="1" applyProtection="1">
      <alignment horizontal="center"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44" fillId="0" borderId="17" xfId="26" applyFont="1" applyBorder="1" applyAlignment="1">
      <alignment horizontal="center" vertical="center"/>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52" fillId="4" borderId="0" xfId="0" applyFont="1" applyFill="1" applyAlignment="1">
      <alignment horizontal="center" wrapText="1"/>
    </xf>
    <xf numFmtId="0" fontId="34" fillId="0" borderId="0" xfId="0" applyFont="1" applyAlignment="1">
      <alignment horizontal="center" wrapText="1"/>
    </xf>
    <xf numFmtId="0" fontId="52" fillId="4" borderId="0" xfId="0" applyFont="1" applyFill="1" applyAlignment="1">
      <alignment horizontal="center" vertical="center"/>
    </xf>
    <xf numFmtId="0" fontId="52" fillId="0" borderId="0" xfId="0" applyFont="1" applyAlignment="1">
      <alignment horizontal="center" vertical="center"/>
    </xf>
    <xf numFmtId="0" fontId="52" fillId="4" borderId="0" xfId="0" applyFont="1" applyFill="1" applyAlignment="1">
      <alignment horizontal="center"/>
    </xf>
    <xf numFmtId="0" fontId="34" fillId="4" borderId="0" xfId="0" applyFont="1" applyFill="1" applyAlignment="1">
      <alignment wrapText="1"/>
    </xf>
    <xf numFmtId="176" fontId="34" fillId="4" borderId="0" xfId="0" applyNumberFormat="1" applyFont="1" applyFill="1" applyAlignment="1">
      <alignment horizontal="center"/>
    </xf>
    <xf numFmtId="176" fontId="34" fillId="3" borderId="2" xfId="0" applyNumberFormat="1" applyFont="1" applyFill="1" applyBorder="1" applyAlignment="1" applyProtection="1">
      <alignment horizontal="center"/>
      <protection locked="0"/>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20" xfId="0" applyFont="1" applyFill="1" applyBorder="1" applyAlignment="1">
      <alignment horizontal="center" vertical="center"/>
    </xf>
    <xf numFmtId="0" fontId="34" fillId="0" borderId="0" xfId="0" applyFont="1" applyAlignment="1">
      <alignment wrapText="1"/>
    </xf>
    <xf numFmtId="5" fontId="34" fillId="4" borderId="2" xfId="0" applyNumberFormat="1"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52" fillId="0" borderId="0" xfId="0" applyFont="1" applyAlignment="1">
      <alignment horizontal="center" wrapText="1"/>
    </xf>
    <xf numFmtId="0" fontId="34" fillId="4" borderId="17" xfId="0" applyFont="1" applyFill="1" applyBorder="1" applyAlignment="1">
      <alignment horizontal="center"/>
    </xf>
    <xf numFmtId="176" fontId="34" fillId="4" borderId="0" xfId="0" applyNumberFormat="1" applyFont="1" applyFill="1" applyBorder="1" applyAlignment="1">
      <alignment horizontal="center"/>
    </xf>
    <xf numFmtId="0" fontId="34" fillId="4" borderId="0" xfId="0" applyFont="1" applyFill="1" applyBorder="1" applyAlignment="1">
      <alignment wrapText="1"/>
    </xf>
    <xf numFmtId="0" fontId="34" fillId="4" borderId="0" xfId="0"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 val="Pub. Notice Option 1"/>
      <sheetName val="Pub. Notice Opti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310</v>
      </c>
    </row>
    <row r="3" spans="1:1" ht="34.5" customHeight="1" x14ac:dyDescent="0.25">
      <c r="A3" s="712" t="s">
        <v>909</v>
      </c>
    </row>
    <row r="4" spans="1:1" x14ac:dyDescent="0.25">
      <c r="A4" s="193"/>
    </row>
    <row r="5" spans="1:1" ht="52.5" customHeight="1" x14ac:dyDescent="0.25">
      <c r="A5" s="194" t="s">
        <v>311</v>
      </c>
    </row>
    <row r="6" spans="1:1" x14ac:dyDescent="0.25">
      <c r="A6" s="194"/>
    </row>
    <row r="7" spans="1:1" ht="51" customHeight="1" x14ac:dyDescent="0.25">
      <c r="A7" s="194" t="s">
        <v>835</v>
      </c>
    </row>
    <row r="8" spans="1:1" x14ac:dyDescent="0.25">
      <c r="A8" s="194"/>
    </row>
    <row r="9" spans="1:1" x14ac:dyDescent="0.25">
      <c r="A9" s="194" t="s">
        <v>105</v>
      </c>
    </row>
    <row r="12" spans="1:1" x14ac:dyDescent="0.25">
      <c r="A12" s="192" t="s">
        <v>161</v>
      </c>
    </row>
    <row r="14" spans="1:1" x14ac:dyDescent="0.25">
      <c r="A14" s="193" t="s">
        <v>162</v>
      </c>
    </row>
    <row r="17" spans="1:1" ht="38.25" customHeight="1" x14ac:dyDescent="0.25">
      <c r="A17" s="195" t="s">
        <v>286</v>
      </c>
    </row>
    <row r="18" spans="1:1" ht="9.75" customHeight="1" x14ac:dyDescent="0.25">
      <c r="A18" s="195"/>
    </row>
    <row r="21" spans="1:1" x14ac:dyDescent="0.25">
      <c r="A21" s="192" t="s">
        <v>106</v>
      </c>
    </row>
    <row r="23" spans="1:1" ht="34.5" customHeight="1" x14ac:dyDescent="0.25">
      <c r="A23" s="194" t="s">
        <v>163</v>
      </c>
    </row>
    <row r="24" spans="1:1" ht="9.75" customHeight="1" x14ac:dyDescent="0.25">
      <c r="A24" s="194"/>
    </row>
    <row r="25" spans="1:1" x14ac:dyDescent="0.25">
      <c r="A25" s="196" t="s">
        <v>107</v>
      </c>
    </row>
    <row r="26" spans="1:1" x14ac:dyDescent="0.25">
      <c r="A26" s="194"/>
    </row>
    <row r="27" spans="1:1" ht="17.25" customHeight="1" x14ac:dyDescent="0.25">
      <c r="A27" s="197" t="s">
        <v>108</v>
      </c>
    </row>
    <row r="28" spans="1:1" ht="17.25" customHeight="1" x14ac:dyDescent="0.25">
      <c r="A28" s="198"/>
    </row>
    <row r="29" spans="1:1" ht="87.75" customHeight="1" x14ac:dyDescent="0.25">
      <c r="A29" s="199" t="s">
        <v>142</v>
      </c>
    </row>
    <row r="31" spans="1:1" x14ac:dyDescent="0.25">
      <c r="A31" s="200" t="s">
        <v>109</v>
      </c>
    </row>
    <row r="33" spans="1:1" x14ac:dyDescent="0.25">
      <c r="A33" s="132" t="s">
        <v>164</v>
      </c>
    </row>
    <row r="35" spans="1:1" x14ac:dyDescent="0.25">
      <c r="A35" s="194" t="s">
        <v>110</v>
      </c>
    </row>
    <row r="36" spans="1:1" x14ac:dyDescent="0.25">
      <c r="A36" s="194"/>
    </row>
    <row r="37" spans="1:1" ht="72" customHeight="1" x14ac:dyDescent="0.25">
      <c r="A37" s="194" t="s">
        <v>371</v>
      </c>
    </row>
    <row r="39" spans="1:1" x14ac:dyDescent="0.25">
      <c r="A39" s="192" t="s">
        <v>111</v>
      </c>
    </row>
    <row r="41" spans="1:1" ht="70.5" customHeight="1" x14ac:dyDescent="0.25">
      <c r="A41" s="194" t="s">
        <v>739</v>
      </c>
    </row>
    <row r="42" spans="1:1" ht="52.5" customHeight="1" x14ac:dyDescent="0.25">
      <c r="A42" s="201" t="s">
        <v>112</v>
      </c>
    </row>
    <row r="43" spans="1:1" ht="33" customHeight="1" x14ac:dyDescent="0.25">
      <c r="A43" s="194" t="s">
        <v>141</v>
      </c>
    </row>
    <row r="44" spans="1:1" ht="106.5" customHeight="1" x14ac:dyDescent="0.25">
      <c r="A44" s="701" t="s">
        <v>836</v>
      </c>
    </row>
    <row r="45" spans="1:1" ht="10.5" customHeight="1" x14ac:dyDescent="0.25">
      <c r="A45" s="194"/>
    </row>
    <row r="46" spans="1:1" ht="108" customHeight="1" x14ac:dyDescent="0.25">
      <c r="A46" s="194" t="s">
        <v>740</v>
      </c>
    </row>
    <row r="47" spans="1:1" ht="59.25" customHeight="1" x14ac:dyDescent="0.25">
      <c r="A47" s="194" t="s">
        <v>113</v>
      </c>
    </row>
    <row r="48" spans="1:1" ht="101.25" customHeight="1" x14ac:dyDescent="0.25">
      <c r="A48" s="194" t="s">
        <v>201</v>
      </c>
    </row>
    <row r="49" spans="1:1" ht="74.25" customHeight="1" x14ac:dyDescent="0.25">
      <c r="A49" s="194" t="s">
        <v>372</v>
      </c>
    </row>
    <row r="50" spans="1:1" ht="69.75" customHeight="1" x14ac:dyDescent="0.25">
      <c r="A50" s="194" t="s">
        <v>376</v>
      </c>
    </row>
    <row r="51" spans="1:1" ht="58.5" customHeight="1" x14ac:dyDescent="0.25">
      <c r="A51" s="702" t="s">
        <v>837</v>
      </c>
    </row>
    <row r="52" spans="1:1" ht="12" customHeight="1" x14ac:dyDescent="0.25">
      <c r="A52" s="194"/>
    </row>
    <row r="53" spans="1:1" ht="81" customHeight="1" x14ac:dyDescent="0.25">
      <c r="A53" s="194" t="s">
        <v>373</v>
      </c>
    </row>
    <row r="54" spans="1:1" ht="81" customHeight="1" x14ac:dyDescent="0.25">
      <c r="A54" s="194" t="s">
        <v>913</v>
      </c>
    </row>
    <row r="55" spans="1:1" ht="87" customHeight="1" x14ac:dyDescent="0.25">
      <c r="A55" s="703" t="s">
        <v>914</v>
      </c>
    </row>
    <row r="56" spans="1:1" ht="48" customHeight="1" x14ac:dyDescent="0.25">
      <c r="A56" s="702" t="s">
        <v>838</v>
      </c>
    </row>
    <row r="57" spans="1:1" ht="84.75" customHeight="1" x14ac:dyDescent="0.25">
      <c r="A57" s="703" t="s">
        <v>958</v>
      </c>
    </row>
    <row r="58" spans="1:1" ht="11.25" customHeight="1" x14ac:dyDescent="0.25"/>
    <row r="59" spans="1:1" ht="73.5" customHeight="1" x14ac:dyDescent="0.25">
      <c r="A59" s="703" t="s">
        <v>915</v>
      </c>
    </row>
    <row r="60" spans="1:1" ht="134.25" customHeight="1" x14ac:dyDescent="0.25">
      <c r="A60" s="703" t="s">
        <v>916</v>
      </c>
    </row>
    <row r="61" spans="1:1" ht="36" customHeight="1" x14ac:dyDescent="0.25">
      <c r="A61" s="703" t="s">
        <v>917</v>
      </c>
    </row>
    <row r="62" spans="1:1" ht="14.25" customHeight="1" x14ac:dyDescent="0.25">
      <c r="A62" s="194"/>
    </row>
    <row r="63" spans="1:1" ht="68.25" customHeight="1" x14ac:dyDescent="0.25">
      <c r="A63" s="703" t="s">
        <v>839</v>
      </c>
    </row>
    <row r="64" spans="1:1" ht="12.75" customHeight="1" x14ac:dyDescent="0.25">
      <c r="A64" s="194"/>
    </row>
    <row r="65" spans="1:1" ht="41.25" customHeight="1" x14ac:dyDescent="0.25">
      <c r="A65" s="194" t="s">
        <v>374</v>
      </c>
    </row>
    <row r="66" spans="1:1" ht="24" customHeight="1" x14ac:dyDescent="0.25">
      <c r="A66" s="194" t="s">
        <v>593</v>
      </c>
    </row>
    <row r="67" spans="1:1" ht="72" customHeight="1" x14ac:dyDescent="0.25">
      <c r="A67" s="194" t="s">
        <v>594</v>
      </c>
    </row>
    <row r="68" spans="1:1" ht="56.25" customHeight="1" x14ac:dyDescent="0.25">
      <c r="A68" s="194" t="s">
        <v>591</v>
      </c>
    </row>
    <row r="69" spans="1:1" x14ac:dyDescent="0.25">
      <c r="A69" s="194" t="s">
        <v>592</v>
      </c>
    </row>
    <row r="70" spans="1:1" ht="15.75" customHeight="1" x14ac:dyDescent="0.25">
      <c r="A70" s="194"/>
    </row>
    <row r="71" spans="1:1" ht="68.25" customHeight="1" x14ac:dyDescent="0.25">
      <c r="A71" s="194" t="s">
        <v>375</v>
      </c>
    </row>
    <row r="72" spans="1:1" s="194" customFormat="1" ht="14.25" customHeight="1" x14ac:dyDescent="0.25">
      <c r="A72" s="95"/>
    </row>
    <row r="73" spans="1:1" ht="87.75" customHeight="1" x14ac:dyDescent="0.25">
      <c r="A73" s="194" t="s">
        <v>377</v>
      </c>
    </row>
    <row r="74" spans="1:1" ht="12" customHeight="1" x14ac:dyDescent="0.25">
      <c r="A74" s="194"/>
    </row>
    <row r="75" spans="1:1" ht="141" customHeight="1" x14ac:dyDescent="0.25">
      <c r="A75" s="703" t="s">
        <v>840</v>
      </c>
    </row>
    <row r="76" spans="1:1" ht="12" customHeight="1" x14ac:dyDescent="0.25"/>
    <row r="77" spans="1:1" ht="78.75" customHeight="1" x14ac:dyDescent="0.25">
      <c r="A77" s="194" t="s">
        <v>842</v>
      </c>
    </row>
    <row r="78" spans="1:1" ht="78.75" customHeight="1" x14ac:dyDescent="0.25">
      <c r="A78" s="703" t="s">
        <v>841</v>
      </c>
    </row>
    <row r="79" spans="1:1" ht="86.25" customHeight="1" x14ac:dyDescent="0.25">
      <c r="A79" s="511" t="s">
        <v>843</v>
      </c>
    </row>
    <row r="80" spans="1:1" ht="78.75" customHeight="1" x14ac:dyDescent="0.25">
      <c r="A80" s="511" t="s">
        <v>844</v>
      </c>
    </row>
    <row r="81" spans="1:1" ht="78.75" customHeight="1" x14ac:dyDescent="0.25">
      <c r="A81" s="511" t="s">
        <v>845</v>
      </c>
    </row>
    <row r="82" spans="1:1" ht="73.5" customHeight="1" x14ac:dyDescent="0.25">
      <c r="A82" s="194" t="s">
        <v>846</v>
      </c>
    </row>
    <row r="83" spans="1:1" ht="120.75" customHeight="1" x14ac:dyDescent="0.25">
      <c r="A83" s="194" t="s">
        <v>847</v>
      </c>
    </row>
    <row r="84" spans="1:1" ht="72.75" customHeight="1" x14ac:dyDescent="0.25">
      <c r="A84" s="194" t="s">
        <v>848</v>
      </c>
    </row>
    <row r="85" spans="1:1" ht="100.5" customHeight="1" x14ac:dyDescent="0.25">
      <c r="A85" s="194" t="s">
        <v>849</v>
      </c>
    </row>
    <row r="86" spans="1:1" ht="110.25" customHeight="1" x14ac:dyDescent="0.25">
      <c r="A86" s="194" t="s">
        <v>850</v>
      </c>
    </row>
    <row r="87" spans="1:1" ht="100.5" customHeight="1" x14ac:dyDescent="0.25">
      <c r="A87" s="202" t="s">
        <v>851</v>
      </c>
    </row>
    <row r="88" spans="1:1" ht="61.5" customHeight="1" x14ac:dyDescent="0.25">
      <c r="A88" s="332" t="s">
        <v>852</v>
      </c>
    </row>
    <row r="89" spans="1:1" ht="120.75" customHeight="1" x14ac:dyDescent="0.25">
      <c r="A89" s="194" t="s">
        <v>903</v>
      </c>
    </row>
    <row r="90" spans="1:1" ht="86.25" customHeight="1" x14ac:dyDescent="0.25">
      <c r="A90" s="202" t="s">
        <v>853</v>
      </c>
    </row>
    <row r="91" spans="1:1" ht="101.25" customHeight="1" x14ac:dyDescent="0.25">
      <c r="A91" s="202" t="s">
        <v>902</v>
      </c>
    </row>
    <row r="92" spans="1:1" ht="133.5" customHeight="1" x14ac:dyDescent="0.25">
      <c r="A92" s="194" t="s">
        <v>854</v>
      </c>
    </row>
    <row r="93" spans="1:1" ht="137.25" customHeight="1" x14ac:dyDescent="0.25">
      <c r="A93" s="194" t="s">
        <v>855</v>
      </c>
    </row>
    <row r="94" spans="1:1" ht="101.25" customHeight="1" x14ac:dyDescent="0.25">
      <c r="A94" s="194" t="s">
        <v>856</v>
      </c>
    </row>
    <row r="95" spans="1:1" ht="9.75" customHeight="1" x14ac:dyDescent="0.25">
      <c r="A95" s="202"/>
    </row>
    <row r="96" spans="1:1" ht="119.25" customHeight="1" x14ac:dyDescent="0.25">
      <c r="A96" s="194" t="s">
        <v>857</v>
      </c>
    </row>
    <row r="97" spans="1:1" ht="117" customHeight="1" x14ac:dyDescent="0.25">
      <c r="A97" s="202" t="s">
        <v>858</v>
      </c>
    </row>
    <row r="98" spans="1:1" ht="58.5" customHeight="1" x14ac:dyDescent="0.25">
      <c r="A98" s="202" t="s">
        <v>859</v>
      </c>
    </row>
    <row r="99" spans="1:1" ht="21" customHeight="1" x14ac:dyDescent="0.25">
      <c r="A99" s="194" t="s">
        <v>860</v>
      </c>
    </row>
    <row r="100" spans="1:1" ht="3.75" customHeight="1" x14ac:dyDescent="0.25"/>
    <row r="101" spans="1:1" ht="64.5" customHeight="1" x14ac:dyDescent="0.25">
      <c r="A101" s="194" t="s">
        <v>861</v>
      </c>
    </row>
    <row r="102" spans="1:1" ht="22.5" customHeight="1" x14ac:dyDescent="0.25">
      <c r="A102" s="194" t="s">
        <v>862</v>
      </c>
    </row>
    <row r="103" spans="1:1" ht="40.5" customHeight="1" x14ac:dyDescent="0.25">
      <c r="A103" s="511" t="s">
        <v>863</v>
      </c>
    </row>
    <row r="104" spans="1:1" ht="115.5" customHeight="1" x14ac:dyDescent="0.25">
      <c r="A104" s="511" t="s">
        <v>864</v>
      </c>
    </row>
    <row r="105" spans="1:1" ht="116.25" customHeight="1" x14ac:dyDescent="0.25">
      <c r="A105" s="511" t="s">
        <v>865</v>
      </c>
    </row>
    <row r="106" spans="1:1" ht="90" customHeight="1" x14ac:dyDescent="0.25">
      <c r="A106" s="194" t="s">
        <v>866</v>
      </c>
    </row>
    <row r="107" spans="1:1" ht="74.25" customHeight="1" x14ac:dyDescent="0.25">
      <c r="A107" s="704" t="s">
        <v>867</v>
      </c>
    </row>
    <row r="108" spans="1:1" ht="61.5" customHeight="1" x14ac:dyDescent="0.25">
      <c r="A108" s="194" t="s">
        <v>868</v>
      </c>
    </row>
    <row r="109" spans="1:1" ht="9" customHeight="1" x14ac:dyDescent="0.25"/>
    <row r="110" spans="1:1" ht="78.75" customHeight="1" x14ac:dyDescent="0.25">
      <c r="A110" s="194" t="s">
        <v>869</v>
      </c>
    </row>
    <row r="112" spans="1:1" ht="73.5" customHeight="1" x14ac:dyDescent="0.25">
      <c r="A112" s="511" t="s">
        <v>870</v>
      </c>
    </row>
    <row r="113" spans="1:1" ht="108" customHeight="1" x14ac:dyDescent="0.25">
      <c r="A113" s="511" t="s">
        <v>871</v>
      </c>
    </row>
    <row r="114" spans="1:1" ht="96" customHeight="1" x14ac:dyDescent="0.25">
      <c r="A114" s="511" t="s">
        <v>872</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307</v>
      </c>
    </row>
    <row r="2" spans="1:1" x14ac:dyDescent="0.25">
      <c r="A2" s="95"/>
    </row>
    <row r="3" spans="1:1" x14ac:dyDescent="0.25">
      <c r="A3" s="95"/>
    </row>
    <row r="4" spans="1:1" ht="52.5" customHeight="1" x14ac:dyDescent="0.25">
      <c r="A4" s="196" t="s">
        <v>344</v>
      </c>
    </row>
    <row r="5" spans="1:1" x14ac:dyDescent="0.25">
      <c r="A5" s="95"/>
    </row>
    <row r="6" spans="1:1" x14ac:dyDescent="0.25">
      <c r="A6" s="95"/>
    </row>
    <row r="7" spans="1:1" ht="70.5" customHeight="1" x14ac:dyDescent="0.25">
      <c r="A7" s="196" t="s">
        <v>345</v>
      </c>
    </row>
    <row r="8" spans="1:1" x14ac:dyDescent="0.25">
      <c r="A8" s="331"/>
    </row>
    <row r="9" spans="1:1" x14ac:dyDescent="0.25">
      <c r="A9" s="95"/>
    </row>
    <row r="10" spans="1:1" ht="56.25" customHeight="1" x14ac:dyDescent="0.25">
      <c r="A10" s="196" t="s">
        <v>346</v>
      </c>
    </row>
    <row r="11" spans="1:1" x14ac:dyDescent="0.25">
      <c r="A11" s="331"/>
    </row>
    <row r="12" spans="1:1" x14ac:dyDescent="0.25">
      <c r="A12" s="331"/>
    </row>
    <row r="13" spans="1:1" ht="57.75" customHeight="1" x14ac:dyDescent="0.25">
      <c r="A13" s="196" t="s">
        <v>347</v>
      </c>
    </row>
    <row r="14" spans="1:1" x14ac:dyDescent="0.25">
      <c r="A14" s="331"/>
    </row>
    <row r="15" spans="1:1" x14ac:dyDescent="0.25">
      <c r="A15" s="331"/>
    </row>
    <row r="16" spans="1:1" ht="87.75" customHeight="1" x14ac:dyDescent="0.25">
      <c r="A16" s="196" t="s">
        <v>348</v>
      </c>
    </row>
    <row r="17" spans="1:1" x14ac:dyDescent="0.25">
      <c r="A17" s="331"/>
    </row>
    <row r="18" spans="1:1" x14ac:dyDescent="0.25">
      <c r="A18" s="95"/>
    </row>
    <row r="19" spans="1:1" ht="54.75" customHeight="1" x14ac:dyDescent="0.25">
      <c r="A19" s="196" t="s">
        <v>349</v>
      </c>
    </row>
    <row r="20" spans="1:1" x14ac:dyDescent="0.25">
      <c r="A20" s="95"/>
    </row>
    <row r="21" spans="1:1" x14ac:dyDescent="0.25">
      <c r="A21" s="95"/>
    </row>
    <row r="22" spans="1:1" ht="69" customHeight="1" x14ac:dyDescent="0.25">
      <c r="A22" s="196" t="s">
        <v>350</v>
      </c>
    </row>
    <row r="23" spans="1:1" x14ac:dyDescent="0.25">
      <c r="A23" s="95"/>
    </row>
    <row r="24" spans="1:1" x14ac:dyDescent="0.25">
      <c r="A24" s="333"/>
    </row>
    <row r="25" spans="1:1" ht="47.25" customHeight="1" x14ac:dyDescent="0.25">
      <c r="A25" s="334" t="s">
        <v>351</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workbookViewId="0">
      <selection activeCell="E24" sqref="E24"/>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Pleasant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1"/>
      <c r="D3" s="821"/>
      <c r="E3" s="821"/>
      <c r="F3" s="821"/>
      <c r="G3" s="821"/>
      <c r="H3" s="821"/>
      <c r="I3" s="821"/>
      <c r="J3" s="821"/>
      <c r="K3" s="821"/>
      <c r="L3" s="821"/>
    </row>
    <row r="4" spans="1:12" x14ac:dyDescent="0.25">
      <c r="A4" s="272"/>
      <c r="B4" s="248"/>
      <c r="C4" s="248"/>
      <c r="D4" s="248"/>
      <c r="E4" s="248"/>
      <c r="F4" s="248"/>
      <c r="G4" s="248"/>
      <c r="H4" s="248"/>
      <c r="I4" s="248"/>
      <c r="J4" s="248"/>
      <c r="K4" s="248"/>
      <c r="L4" s="248"/>
    </row>
    <row r="5" spans="1:12" x14ac:dyDescent="0.25">
      <c r="A5" s="272"/>
      <c r="B5" s="208" t="s">
        <v>752</v>
      </c>
      <c r="C5" s="208" t="s">
        <v>6</v>
      </c>
      <c r="D5" s="208" t="s">
        <v>13</v>
      </c>
      <c r="E5" s="208"/>
      <c r="F5" s="208" t="s">
        <v>244</v>
      </c>
      <c r="G5" s="250"/>
      <c r="H5" s="251"/>
      <c r="I5" s="250" t="s">
        <v>7</v>
      </c>
      <c r="J5" s="251"/>
      <c r="K5" s="250" t="s">
        <v>7</v>
      </c>
      <c r="L5" s="251"/>
    </row>
    <row r="6" spans="1:12" x14ac:dyDescent="0.25">
      <c r="A6" s="272"/>
      <c r="B6" s="252" t="s">
        <v>8</v>
      </c>
      <c r="C6" s="252" t="s">
        <v>8</v>
      </c>
      <c r="D6" s="252" t="s">
        <v>243</v>
      </c>
      <c r="E6" s="252" t="s">
        <v>244</v>
      </c>
      <c r="F6" s="252" t="s">
        <v>65</v>
      </c>
      <c r="G6" s="253" t="s">
        <v>9</v>
      </c>
      <c r="H6" s="254"/>
      <c r="I6" s="253">
        <f>L1-1</f>
        <v>2014</v>
      </c>
      <c r="J6" s="254"/>
      <c r="K6" s="253">
        <f>L1</f>
        <v>2015</v>
      </c>
      <c r="L6" s="254"/>
    </row>
    <row r="7" spans="1:12" x14ac:dyDescent="0.25">
      <c r="A7" s="272"/>
      <c r="B7" s="210" t="s">
        <v>753</v>
      </c>
      <c r="C7" s="210" t="s">
        <v>10</v>
      </c>
      <c r="D7" s="210" t="s">
        <v>269</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996</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85</v>
      </c>
      <c r="C11" s="264"/>
      <c r="D11" s="265"/>
      <c r="E11" s="239"/>
      <c r="F11" s="157">
        <f>SUM(F9:F10)</f>
        <v>0</v>
      </c>
      <c r="G11" s="266"/>
      <c r="H11" s="266"/>
      <c r="I11" s="157">
        <f>SUM(I9:I10)</f>
        <v>0</v>
      </c>
      <c r="J11" s="157">
        <f>SUM(J9:J10)</f>
        <v>0</v>
      </c>
      <c r="K11" s="157">
        <f>SUM(K9:K10)</f>
        <v>0</v>
      </c>
      <c r="L11" s="157">
        <f>SUM(L9:L10)</f>
        <v>0</v>
      </c>
    </row>
    <row r="12" spans="1:12" x14ac:dyDescent="0.25">
      <c r="A12" s="272"/>
      <c r="B12" s="186" t="s">
        <v>261</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86</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1"/>
      <c r="D18" s="821"/>
      <c r="E18" s="821"/>
      <c r="F18" s="821"/>
      <c r="G18" s="821"/>
      <c r="H18" s="821"/>
      <c r="I18" s="821"/>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221</v>
      </c>
      <c r="G20" s="185"/>
      <c r="H20" s="185"/>
      <c r="I20" s="185"/>
      <c r="J20" s="276"/>
      <c r="K20" s="277"/>
      <c r="L20" s="272"/>
    </row>
    <row r="21" spans="1:25" s="273" customFormat="1" x14ac:dyDescent="0.25">
      <c r="A21" s="272"/>
      <c r="B21" s="58"/>
      <c r="C21" s="252"/>
      <c r="D21" s="252" t="s">
        <v>8</v>
      </c>
      <c r="E21" s="252" t="s">
        <v>13</v>
      </c>
      <c r="F21" s="252" t="s">
        <v>244</v>
      </c>
      <c r="G21" s="252" t="s">
        <v>14</v>
      </c>
      <c r="H21" s="252" t="s">
        <v>15</v>
      </c>
      <c r="I21" s="252" t="s">
        <v>15</v>
      </c>
      <c r="J21" s="272"/>
      <c r="K21" s="272"/>
      <c r="L21" s="272"/>
    </row>
    <row r="22" spans="1:25" s="273" customFormat="1" x14ac:dyDescent="0.25">
      <c r="A22" s="272"/>
      <c r="B22" s="252" t="s">
        <v>754</v>
      </c>
      <c r="C22" s="252" t="s">
        <v>16</v>
      </c>
      <c r="D22" s="252" t="s">
        <v>17</v>
      </c>
      <c r="E22" s="252" t="s">
        <v>243</v>
      </c>
      <c r="F22" s="252" t="s">
        <v>18</v>
      </c>
      <c r="G22" s="252" t="s">
        <v>58</v>
      </c>
      <c r="H22" s="252" t="s">
        <v>19</v>
      </c>
      <c r="I22" s="252" t="s">
        <v>19</v>
      </c>
      <c r="J22" s="272"/>
      <c r="K22" s="272"/>
      <c r="L22" s="272"/>
    </row>
    <row r="23" spans="1:25" s="273" customFormat="1" x14ac:dyDescent="0.25">
      <c r="A23" s="272"/>
      <c r="B23" s="210" t="s">
        <v>755</v>
      </c>
      <c r="C23" s="210" t="s">
        <v>6</v>
      </c>
      <c r="D23" s="278" t="s">
        <v>20</v>
      </c>
      <c r="E23" s="210" t="s">
        <v>269</v>
      </c>
      <c r="F23" s="278" t="s">
        <v>66</v>
      </c>
      <c r="G23" s="255" t="str">
        <f>CONCATENATE("Jan 1,",L1-1,"")</f>
        <v>Jan 1,2014</v>
      </c>
      <c r="H23" s="210">
        <f>L1-1</f>
        <v>2014</v>
      </c>
      <c r="I23" s="210">
        <f>L1</f>
        <v>2015</v>
      </c>
      <c r="J23" s="272"/>
      <c r="K23" s="272"/>
      <c r="L23" s="272"/>
    </row>
    <row r="24" spans="1:25" s="273" customFormat="1" x14ac:dyDescent="0.25">
      <c r="A24" s="272"/>
      <c r="B24" s="259" t="s">
        <v>994</v>
      </c>
      <c r="C24" s="260">
        <v>41549</v>
      </c>
      <c r="D24" s="279">
        <v>60</v>
      </c>
      <c r="E24" s="261">
        <v>2.86</v>
      </c>
      <c r="F24" s="151">
        <v>100745</v>
      </c>
      <c r="G24" s="151">
        <v>100745</v>
      </c>
      <c r="H24" s="151">
        <v>21935</v>
      </c>
      <c r="I24" s="151">
        <v>21935</v>
      </c>
      <c r="J24" s="272"/>
      <c r="K24" s="272"/>
      <c r="L24" s="272"/>
    </row>
    <row r="25" spans="1:25" s="273" customFormat="1" x14ac:dyDescent="0.25">
      <c r="A25" s="272"/>
      <c r="B25" s="259" t="s">
        <v>995</v>
      </c>
      <c r="C25" s="260">
        <v>41549</v>
      </c>
      <c r="D25" s="279">
        <v>60</v>
      </c>
      <c r="E25" s="261">
        <v>2.86</v>
      </c>
      <c r="F25" s="151">
        <v>74097</v>
      </c>
      <c r="G25" s="151">
        <v>74097</v>
      </c>
      <c r="H25" s="151">
        <v>16133</v>
      </c>
      <c r="I25" s="151">
        <v>16133</v>
      </c>
      <c r="J25" s="272"/>
      <c r="K25" s="272"/>
      <c r="L25" s="272"/>
    </row>
    <row r="26" spans="1:25" s="273" customFormat="1" x14ac:dyDescent="0.25">
      <c r="A26" s="272"/>
      <c r="B26" s="259" t="s">
        <v>985</v>
      </c>
      <c r="C26" s="260">
        <v>41379</v>
      </c>
      <c r="D26" s="279">
        <v>12</v>
      </c>
      <c r="E26" s="261">
        <v>3.3</v>
      </c>
      <c r="F26" s="151">
        <v>10280</v>
      </c>
      <c r="G26" s="151">
        <v>5012</v>
      </c>
      <c r="H26" s="151">
        <v>5012</v>
      </c>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179854</v>
      </c>
      <c r="H36" s="270">
        <f>SUM(H24:H35)</f>
        <v>43080</v>
      </c>
      <c r="I36" s="270">
        <f>SUM(I24:I35)</f>
        <v>38068</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167</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776</v>
      </c>
      <c r="C2" s="846"/>
      <c r="D2" s="846"/>
      <c r="E2" s="846"/>
      <c r="F2" s="846"/>
      <c r="G2" s="846"/>
      <c r="H2" s="846"/>
      <c r="I2" s="846"/>
    </row>
    <row r="3" spans="2:9" ht="15.75" x14ac:dyDescent="0.2">
      <c r="B3" s="846" t="s">
        <v>777</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Pleasant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778</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779</v>
      </c>
      <c r="C12" s="557"/>
      <c r="D12" s="557"/>
      <c r="E12" s="557"/>
      <c r="F12" s="557"/>
      <c r="G12" s="557"/>
      <c r="H12" s="557"/>
      <c r="I12" s="557"/>
    </row>
    <row r="13" spans="2:9" ht="15.75" x14ac:dyDescent="0.2">
      <c r="B13" s="557"/>
      <c r="C13" s="557"/>
      <c r="D13" s="557"/>
      <c r="E13" s="560" t="s">
        <v>252</v>
      </c>
      <c r="F13" s="557"/>
      <c r="G13" s="560" t="s">
        <v>780</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90</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781</v>
      </c>
      <c r="C22" s="557"/>
      <c r="D22" s="557"/>
      <c r="E22" s="563">
        <f>SUM(E15:E21)</f>
        <v>0</v>
      </c>
      <c r="F22" s="557"/>
      <c r="G22" s="563">
        <f>SUM(G15:G21)</f>
        <v>0</v>
      </c>
      <c r="H22" s="557"/>
      <c r="I22" s="557"/>
    </row>
    <row r="23" spans="2:9" ht="15.75" x14ac:dyDescent="0.2">
      <c r="B23" s="557" t="s">
        <v>782</v>
      </c>
      <c r="C23" s="557"/>
      <c r="D23" s="557"/>
      <c r="E23" s="564">
        <f>G22-E22</f>
        <v>0</v>
      </c>
      <c r="F23" s="557"/>
      <c r="G23" s="565"/>
      <c r="H23" s="557"/>
      <c r="I23" s="557"/>
    </row>
    <row r="24" spans="2:9" ht="15.75" x14ac:dyDescent="0.2">
      <c r="B24" s="557" t="s">
        <v>783</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784</v>
      </c>
      <c r="C26" s="557"/>
      <c r="D26" s="557"/>
      <c r="E26" s="557"/>
      <c r="F26" s="557"/>
      <c r="G26" s="557"/>
      <c r="H26" s="557"/>
      <c r="I26" s="557"/>
    </row>
    <row r="27" spans="2:9" ht="15.75" x14ac:dyDescent="0.2">
      <c r="B27" s="557" t="s">
        <v>785</v>
      </c>
      <c r="C27" s="557"/>
      <c r="D27" s="557"/>
      <c r="E27" s="562">
        <f>summ!D40</f>
        <v>39380442</v>
      </c>
      <c r="F27" s="557"/>
      <c r="G27" s="562">
        <f>summ!F40</f>
        <v>39802815</v>
      </c>
      <c r="H27" s="557"/>
      <c r="I27" s="557"/>
    </row>
    <row r="28" spans="2:9" ht="15.75" x14ac:dyDescent="0.2">
      <c r="B28" s="557" t="s">
        <v>786</v>
      </c>
      <c r="C28" s="557"/>
      <c r="D28" s="557"/>
      <c r="E28" s="567" t="str">
        <f>IF(G27-E27&gt;=0,"No","Yes")</f>
        <v>No</v>
      </c>
      <c r="F28" s="557"/>
      <c r="G28" s="557"/>
      <c r="H28" s="557"/>
      <c r="I28" s="557"/>
    </row>
    <row r="29" spans="2:9" ht="15.75" x14ac:dyDescent="0.2">
      <c r="B29" s="557" t="s">
        <v>787</v>
      </c>
      <c r="C29" s="557"/>
      <c r="D29" s="557"/>
      <c r="E29" s="568" t="str">
        <f>summ!E20</f>
        <v xml:space="preserve">  </v>
      </c>
      <c r="F29" s="557"/>
      <c r="G29" s="568">
        <f>summ!H36</f>
        <v>17.475999999999999</v>
      </c>
      <c r="H29" s="557"/>
      <c r="I29" s="557"/>
    </row>
    <row r="30" spans="2:9" ht="15.75" x14ac:dyDescent="0.2">
      <c r="B30" s="557" t="s">
        <v>788</v>
      </c>
      <c r="C30" s="557"/>
      <c r="D30" s="557"/>
      <c r="E30" s="569" t="e">
        <f>G29-E29</f>
        <v>#VALUE!</v>
      </c>
      <c r="F30" s="557"/>
      <c r="G30" s="557"/>
      <c r="H30" s="557"/>
      <c r="I30" s="557"/>
    </row>
    <row r="31" spans="2:9" ht="15.75" x14ac:dyDescent="0.2">
      <c r="B31" s="557" t="s">
        <v>783</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789</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790</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791</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792</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793</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794</v>
      </c>
      <c r="C49" s="574"/>
      <c r="D49" s="575"/>
      <c r="E49" s="575"/>
      <c r="F49" s="575"/>
      <c r="G49" s="575"/>
      <c r="H49" s="575"/>
      <c r="I49" s="575"/>
    </row>
    <row r="50" spans="2:9" ht="15.75" x14ac:dyDescent="0.25">
      <c r="B50" s="574" t="s">
        <v>795</v>
      </c>
      <c r="C50" s="574"/>
      <c r="D50" s="575"/>
      <c r="E50" s="575"/>
      <c r="F50" s="575"/>
      <c r="G50" s="575"/>
      <c r="H50" s="575"/>
      <c r="I50" s="575"/>
    </row>
    <row r="51" spans="2:9" ht="15.75" x14ac:dyDescent="0.25">
      <c r="B51" s="574" t="s">
        <v>796</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797</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798</v>
      </c>
      <c r="C55" s="575"/>
      <c r="D55" s="575"/>
      <c r="E55" s="575"/>
      <c r="F55" s="575"/>
      <c r="G55" s="575"/>
      <c r="H55" s="575"/>
      <c r="I55" s="575"/>
    </row>
    <row r="56" spans="2:9" ht="15.75" x14ac:dyDescent="0.25">
      <c r="B56" s="574" t="s">
        <v>799</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800</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801</v>
      </c>
      <c r="C60" s="574"/>
      <c r="D60" s="574"/>
      <c r="E60" s="574"/>
      <c r="F60" s="574"/>
      <c r="G60" s="575"/>
      <c r="H60" s="575"/>
      <c r="I60" s="575"/>
    </row>
    <row r="61" spans="2:9" ht="15.75" x14ac:dyDescent="0.25">
      <c r="B61" s="574" t="s">
        <v>802</v>
      </c>
      <c r="C61" s="574"/>
      <c r="D61" s="574"/>
      <c r="E61" s="574"/>
      <c r="F61" s="574"/>
      <c r="G61" s="575"/>
      <c r="H61" s="575"/>
      <c r="I61" s="575"/>
    </row>
    <row r="62" spans="2:9" ht="15.75" x14ac:dyDescent="0.25">
      <c r="B62" s="574" t="s">
        <v>803</v>
      </c>
      <c r="C62" s="574"/>
      <c r="D62" s="574"/>
      <c r="E62" s="574"/>
      <c r="F62" s="574"/>
      <c r="G62" s="575"/>
      <c r="H62" s="575"/>
      <c r="I62" s="575"/>
    </row>
    <row r="63" spans="2:9" ht="15.75" x14ac:dyDescent="0.25">
      <c r="B63" s="574" t="s">
        <v>804</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805</v>
      </c>
      <c r="C65" s="577"/>
      <c r="D65" s="577"/>
      <c r="E65" s="577"/>
      <c r="F65" s="577"/>
      <c r="G65" s="575"/>
      <c r="H65" s="575"/>
      <c r="I65" s="575"/>
    </row>
    <row r="66" spans="2:9" ht="15.75" x14ac:dyDescent="0.25">
      <c r="B66" s="574" t="s">
        <v>806</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807</v>
      </c>
      <c r="C68" s="577"/>
      <c r="D68" s="577"/>
      <c r="E68" s="577"/>
      <c r="F68" s="577"/>
      <c r="G68" s="575"/>
      <c r="H68" s="575"/>
      <c r="I68" s="575"/>
    </row>
    <row r="69" spans="2:9" ht="15.75" x14ac:dyDescent="0.25">
      <c r="B69" s="574" t="s">
        <v>808</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809</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810</v>
      </c>
      <c r="C73" s="577"/>
      <c r="D73" s="577"/>
      <c r="E73" s="577"/>
      <c r="F73" s="577"/>
      <c r="G73" s="575"/>
      <c r="H73" s="575"/>
      <c r="I73" s="575"/>
    </row>
    <row r="74" spans="2:9" ht="15.75" x14ac:dyDescent="0.25">
      <c r="B74" s="574" t="s">
        <v>811</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812</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813</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392</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814</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815</v>
      </c>
      <c r="C86" s="577"/>
      <c r="D86" s="577"/>
      <c r="E86" s="577"/>
      <c r="F86" s="577"/>
      <c r="G86" s="575"/>
      <c r="H86" s="575"/>
      <c r="I86" s="575"/>
    </row>
    <row r="87" spans="2:9" ht="15.75" x14ac:dyDescent="0.25">
      <c r="B87" s="574" t="s">
        <v>816</v>
      </c>
      <c r="C87" s="577"/>
      <c r="D87" s="577"/>
      <c r="E87" s="577"/>
      <c r="F87" s="577"/>
      <c r="G87" s="575"/>
      <c r="H87" s="575"/>
      <c r="I87" s="575"/>
    </row>
    <row r="88" spans="2:9" ht="15.75" x14ac:dyDescent="0.25">
      <c r="B88" s="574" t="s">
        <v>817</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818</v>
      </c>
      <c r="C92" s="577"/>
      <c r="D92" s="577"/>
      <c r="E92" s="577"/>
      <c r="F92" s="577"/>
      <c r="G92" s="575"/>
      <c r="H92" s="575"/>
      <c r="I92" s="575"/>
    </row>
    <row r="93" spans="2:9" ht="15.75" x14ac:dyDescent="0.25">
      <c r="B93" s="574" t="s">
        <v>819</v>
      </c>
      <c r="C93" s="577"/>
      <c r="D93" s="577"/>
      <c r="E93" s="577"/>
      <c r="F93" s="577"/>
      <c r="G93" s="575"/>
      <c r="H93" s="575"/>
      <c r="I93" s="575"/>
    </row>
    <row r="94" spans="2:9" ht="15.75" x14ac:dyDescent="0.25">
      <c r="B94" s="574" t="s">
        <v>820</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821</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822</v>
      </c>
      <c r="C98" s="577"/>
      <c r="D98" s="577"/>
      <c r="E98" s="577"/>
      <c r="F98" s="577"/>
      <c r="G98" s="575"/>
      <c r="H98" s="575"/>
      <c r="I98" s="575"/>
    </row>
    <row r="99" spans="2:9" ht="15.75" x14ac:dyDescent="0.25">
      <c r="B99" s="574" t="s">
        <v>823</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824</v>
      </c>
      <c r="C101" s="577"/>
      <c r="D101" s="577"/>
      <c r="E101" s="577"/>
      <c r="F101" s="577"/>
      <c r="G101" s="575"/>
      <c r="H101" s="575"/>
      <c r="I101" s="575"/>
    </row>
    <row r="102" spans="2:9" ht="15.75" x14ac:dyDescent="0.25">
      <c r="B102" s="574" t="s">
        <v>825</v>
      </c>
      <c r="C102" s="577"/>
      <c r="D102" s="577"/>
      <c r="E102" s="577"/>
      <c r="F102" s="577"/>
      <c r="G102" s="575"/>
      <c r="H102" s="575"/>
      <c r="I102" s="575"/>
    </row>
    <row r="103" spans="2:9" ht="15.75" x14ac:dyDescent="0.25">
      <c r="B103" s="574" t="s">
        <v>826</v>
      </c>
      <c r="C103" s="577"/>
      <c r="D103" s="577"/>
      <c r="E103" s="577"/>
      <c r="F103" s="577"/>
      <c r="G103" s="575"/>
      <c r="H103" s="575"/>
      <c r="I103" s="575"/>
    </row>
    <row r="104" spans="2:9" ht="15.75" x14ac:dyDescent="0.25">
      <c r="B104" s="574" t="s">
        <v>827</v>
      </c>
      <c r="C104" s="577"/>
      <c r="D104" s="577"/>
      <c r="E104" s="577"/>
      <c r="F104" s="577"/>
      <c r="G104" s="575"/>
      <c r="H104" s="575"/>
      <c r="I104" s="575"/>
    </row>
    <row r="105" spans="2:9" ht="15.75" x14ac:dyDescent="0.25">
      <c r="B105" s="706" t="s">
        <v>904</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Pleasant Township</v>
      </c>
      <c r="C1" s="579"/>
      <c r="D1" s="580"/>
      <c r="E1" s="581">
        <f>inputPrYr!D9</f>
        <v>2015</v>
      </c>
    </row>
    <row r="2" spans="2:5" x14ac:dyDescent="0.25">
      <c r="B2" s="580"/>
      <c r="C2" s="580"/>
      <c r="D2" s="580"/>
      <c r="E2" s="583"/>
    </row>
    <row r="3" spans="2:5" x14ac:dyDescent="0.25">
      <c r="B3" s="584" t="s">
        <v>738</v>
      </c>
      <c r="C3" s="584"/>
      <c r="D3" s="585"/>
      <c r="E3" s="586"/>
    </row>
    <row r="4" spans="2:5" x14ac:dyDescent="0.25">
      <c r="B4" s="587" t="s">
        <v>250</v>
      </c>
      <c r="C4" s="588" t="s">
        <v>828</v>
      </c>
      <c r="D4" s="589" t="s">
        <v>829</v>
      </c>
      <c r="E4" s="590" t="s">
        <v>830</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75</v>
      </c>
      <c r="C6" s="596"/>
      <c r="D6" s="597">
        <f>C34</f>
        <v>0</v>
      </c>
      <c r="E6" s="598">
        <f>D34</f>
        <v>0</v>
      </c>
    </row>
    <row r="7" spans="2:5" x14ac:dyDescent="0.25">
      <c r="B7" s="595" t="s">
        <v>63</v>
      </c>
      <c r="C7" s="599"/>
      <c r="D7" s="597"/>
      <c r="E7" s="598"/>
    </row>
    <row r="8" spans="2:5" x14ac:dyDescent="0.25">
      <c r="B8" s="595" t="s">
        <v>256</v>
      </c>
      <c r="C8" s="600"/>
      <c r="D8" s="597">
        <f>IF(inputPrYr!H19&gt;0,inputPrYr!G21,inputPrYr!E21)</f>
        <v>0</v>
      </c>
      <c r="E8" s="601" t="s">
        <v>235</v>
      </c>
    </row>
    <row r="9" spans="2:5" x14ac:dyDescent="0.25">
      <c r="B9" s="595" t="s">
        <v>257</v>
      </c>
      <c r="C9" s="600"/>
      <c r="D9" s="602"/>
      <c r="E9" s="603"/>
    </row>
    <row r="10" spans="2:5" x14ac:dyDescent="0.25">
      <c r="B10" s="595" t="s">
        <v>258</v>
      </c>
      <c r="C10" s="600"/>
      <c r="D10" s="602"/>
      <c r="E10" s="598">
        <f>mvalloc!G12</f>
        <v>0</v>
      </c>
    </row>
    <row r="11" spans="2:5" x14ac:dyDescent="0.25">
      <c r="B11" s="595" t="s">
        <v>259</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262</v>
      </c>
      <c r="C17" s="600"/>
      <c r="D17" s="602"/>
      <c r="E17" s="603"/>
    </row>
    <row r="18" spans="2:10" x14ac:dyDescent="0.25">
      <c r="B18" s="595" t="s">
        <v>208</v>
      </c>
      <c r="C18" s="608"/>
      <c r="D18" s="602"/>
      <c r="E18" s="603"/>
    </row>
    <row r="19" spans="2:10" x14ac:dyDescent="0.25">
      <c r="B19" s="595" t="s">
        <v>831</v>
      </c>
      <c r="C19" s="609" t="str">
        <f>IF(C20*0.1&lt;C18,"Exceed 10% Rule","")</f>
        <v/>
      </c>
      <c r="D19" s="609" t="str">
        <f>IF(D20*0.1&lt;D18,"Exceeds 10% Rule","")</f>
        <v/>
      </c>
      <c r="E19" s="610" t="str">
        <f>IF(E20*0.1&lt;E18,"Exceed 10% Rule","")</f>
        <v/>
      </c>
    </row>
    <row r="20" spans="2:10" x14ac:dyDescent="0.25">
      <c r="B20" s="611" t="s">
        <v>263</v>
      </c>
      <c r="C20" s="612">
        <f>SUM(C8:C18)</f>
        <v>0</v>
      </c>
      <c r="D20" s="612">
        <f>SUM(D8:D18)</f>
        <v>0</v>
      </c>
      <c r="E20" s="613">
        <f>SUM(E9:E18)</f>
        <v>0</v>
      </c>
    </row>
    <row r="21" spans="2:10" x14ac:dyDescent="0.25">
      <c r="B21" s="611" t="s">
        <v>264</v>
      </c>
      <c r="C21" s="612">
        <f>C6+C20</f>
        <v>0</v>
      </c>
      <c r="D21" s="612">
        <f>D6+D20</f>
        <v>0</v>
      </c>
      <c r="E21" s="613">
        <f>E6+E20</f>
        <v>0</v>
      </c>
    </row>
    <row r="22" spans="2:10" x14ac:dyDescent="0.25">
      <c r="B22" s="595" t="s">
        <v>265</v>
      </c>
      <c r="C22" s="595"/>
      <c r="D22" s="597"/>
      <c r="E22" s="598"/>
    </row>
    <row r="23" spans="2:10" x14ac:dyDescent="0.25">
      <c r="B23" s="605"/>
      <c r="C23" s="600"/>
      <c r="D23" s="602"/>
      <c r="E23" s="603"/>
    </row>
    <row r="24" spans="2:10" x14ac:dyDescent="0.25">
      <c r="B24" s="605"/>
      <c r="C24" s="600"/>
      <c r="D24" s="602"/>
      <c r="E24" s="603"/>
      <c r="G24" s="854" t="str">
        <f>CONCATENATE("Desired Carryover Into ",E1+1,"")</f>
        <v>Desired Carryover Into 2016</v>
      </c>
      <c r="H24" s="855"/>
      <c r="I24" s="855"/>
      <c r="J24" s="856"/>
    </row>
    <row r="25" spans="2:10" x14ac:dyDescent="0.25">
      <c r="B25" s="605"/>
      <c r="C25" s="602"/>
      <c r="D25" s="602"/>
      <c r="E25" s="603"/>
      <c r="G25" s="614"/>
      <c r="H25" s="615"/>
      <c r="I25" s="616"/>
      <c r="J25" s="617"/>
    </row>
    <row r="26" spans="2:10" x14ac:dyDescent="0.25">
      <c r="B26" s="605"/>
      <c r="C26" s="600"/>
      <c r="D26" s="602"/>
      <c r="E26" s="603"/>
      <c r="G26" s="618" t="s">
        <v>702</v>
      </c>
      <c r="H26" s="616"/>
      <c r="I26" s="616"/>
      <c r="J26" s="619">
        <v>0</v>
      </c>
    </row>
    <row r="27" spans="2:10" x14ac:dyDescent="0.25">
      <c r="B27" s="605"/>
      <c r="C27" s="600"/>
      <c r="D27" s="602"/>
      <c r="E27" s="603"/>
      <c r="G27" s="614" t="s">
        <v>703</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832</v>
      </c>
      <c r="H29" s="626"/>
      <c r="I29" s="626"/>
      <c r="J29" s="627">
        <f>IF(J26&gt;0,J28-E37,0)</f>
        <v>0</v>
      </c>
    </row>
    <row r="30" spans="2:10" x14ac:dyDescent="0.25">
      <c r="B30" s="628" t="s">
        <v>210</v>
      </c>
      <c r="C30" s="600"/>
      <c r="D30" s="602"/>
      <c r="E30" s="598" t="str">
        <f>nhood!E7</f>
        <v/>
      </c>
    </row>
    <row r="31" spans="2:10" x14ac:dyDescent="0.25">
      <c r="B31" s="628" t="s">
        <v>208</v>
      </c>
      <c r="C31" s="608"/>
      <c r="D31" s="602"/>
      <c r="E31" s="603"/>
      <c r="G31" s="854" t="str">
        <f>CONCATENATE("Projected Carryover Into ",E1+1,"")</f>
        <v>Projected Carryover Into 2016</v>
      </c>
      <c r="H31" s="857"/>
      <c r="I31" s="857"/>
      <c r="J31" s="858"/>
    </row>
    <row r="32" spans="2:10" x14ac:dyDescent="0.25">
      <c r="B32" s="628" t="s">
        <v>699</v>
      </c>
      <c r="C32" s="609" t="str">
        <f>IF(C33*0.1&lt;C31,"Exceed 10% Rule","")</f>
        <v/>
      </c>
      <c r="D32" s="609" t="str">
        <f>IF(D33*0.1&lt;D31,"Exceed 10% Rule","")</f>
        <v/>
      </c>
      <c r="E32" s="610" t="str">
        <f>IF(E33*0.1&lt;E31,"Exceed 10% Rule","")</f>
        <v/>
      </c>
      <c r="G32" s="614"/>
      <c r="H32" s="616"/>
      <c r="I32" s="616"/>
      <c r="J32" s="629"/>
    </row>
    <row r="33" spans="2:11" x14ac:dyDescent="0.25">
      <c r="B33" s="611" t="s">
        <v>266</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62</v>
      </c>
      <c r="C34" s="635">
        <f>C21-C33</f>
        <v>0</v>
      </c>
      <c r="D34" s="635">
        <f>D21-D33</f>
        <v>0</v>
      </c>
      <c r="E34" s="601" t="s">
        <v>235</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9" t="s">
        <v>696</v>
      </c>
      <c r="D36" s="860"/>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61" t="s">
        <v>697</v>
      </c>
      <c r="D37" s="862"/>
      <c r="E37" s="598">
        <f>E33+E36</f>
        <v>0</v>
      </c>
      <c r="F37" s="636"/>
      <c r="G37" s="643"/>
      <c r="H37" s="616"/>
      <c r="I37" s="616"/>
      <c r="J37" s="629"/>
    </row>
    <row r="38" spans="2:11" x14ac:dyDescent="0.25">
      <c r="B38" s="642" t="str">
        <f>CONCATENATE(C94,"     ",D94)</f>
        <v xml:space="preserve">     </v>
      </c>
      <c r="C38" s="644"/>
      <c r="D38" s="583" t="s">
        <v>268</v>
      </c>
      <c r="E38" s="645">
        <f>IF(E37-E21&gt;0,E37-E21,0)</f>
        <v>0</v>
      </c>
      <c r="F38" s="636"/>
      <c r="G38" s="639">
        <f>C33</f>
        <v>0</v>
      </c>
      <c r="H38" s="616" t="str">
        <f>CONCATENATE("Less ",E1-2," Expenditures")</f>
        <v>Less 2013 Expenditures</v>
      </c>
      <c r="I38" s="616"/>
      <c r="J38" s="629"/>
    </row>
    <row r="39" spans="2:11" x14ac:dyDescent="0.25">
      <c r="B39" s="583"/>
      <c r="C39" s="471" t="s">
        <v>698</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49" t="str">
        <f>CONCATENATE("Amount of  ",E1-1," Ad Valorem Tax")</f>
        <v>Amount of  2014 Ad Valorem Tax</v>
      </c>
      <c r="D40" s="850"/>
      <c r="E40" s="652">
        <f>SUM(E38:E39)</f>
        <v>0</v>
      </c>
      <c r="F40" s="636"/>
    </row>
    <row r="41" spans="2:11" ht="16.5" thickTop="1" x14ac:dyDescent="0.25">
      <c r="B41" s="580"/>
      <c r="C41" s="849"/>
      <c r="D41" s="850"/>
      <c r="E41" s="653"/>
      <c r="F41" s="636"/>
      <c r="G41" s="851" t="s">
        <v>833</v>
      </c>
      <c r="H41" s="852"/>
      <c r="I41" s="852"/>
      <c r="J41" s="853"/>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250</v>
      </c>
      <c r="C44" s="588" t="s">
        <v>828</v>
      </c>
      <c r="D44" s="589" t="s">
        <v>829</v>
      </c>
      <c r="E44" s="590" t="s">
        <v>830</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17.475999999999999</v>
      </c>
      <c r="H45" s="633" t="str">
        <f>CONCATENATE("Total ",E1," Mill Rate")</f>
        <v>Total 2015 Mill Rate</v>
      </c>
      <c r="I45" s="655"/>
      <c r="J45" s="656"/>
    </row>
    <row r="46" spans="2:11" x14ac:dyDescent="0.25">
      <c r="B46" s="595" t="s">
        <v>75</v>
      </c>
      <c r="C46" s="600">
        <v>0</v>
      </c>
      <c r="D46" s="597">
        <f>C74</f>
        <v>0</v>
      </c>
      <c r="E46" s="598">
        <f>D74</f>
        <v>0</v>
      </c>
      <c r="F46" s="636"/>
      <c r="G46" s="658">
        <f>summ!E36</f>
        <v>17.475999999999999</v>
      </c>
      <c r="H46" s="661" t="str">
        <f>CONCATENATE("Total ",E1-1," Mill Rate")</f>
        <v>Total 2014 Mill Rate</v>
      </c>
      <c r="I46" s="662"/>
      <c r="J46" s="663"/>
    </row>
    <row r="47" spans="2:11" x14ac:dyDescent="0.25">
      <c r="B47" s="664" t="s">
        <v>63</v>
      </c>
      <c r="C47" s="595"/>
      <c r="D47" s="597"/>
      <c r="E47" s="598"/>
      <c r="F47" s="636"/>
    </row>
    <row r="48" spans="2:11" x14ac:dyDescent="0.25">
      <c r="B48" s="595" t="s">
        <v>256</v>
      </c>
      <c r="C48" s="608"/>
      <c r="D48" s="597">
        <f>IF(inputPrYr!H19&gt;0,inputPrYr!G22,inputPrYr!E22)</f>
        <v>0</v>
      </c>
      <c r="E48" s="601" t="s">
        <v>235</v>
      </c>
      <c r="F48" s="636"/>
      <c r="G48" s="754" t="s">
        <v>932</v>
      </c>
      <c r="H48" s="710"/>
      <c r="I48" s="709" t="str">
        <f>cert!E41</f>
        <v>No</v>
      </c>
    </row>
    <row r="49" spans="2:10" x14ac:dyDescent="0.25">
      <c r="B49" s="595" t="s">
        <v>257</v>
      </c>
      <c r="C49" s="608"/>
      <c r="D49" s="602"/>
      <c r="E49" s="603"/>
      <c r="F49" s="636"/>
    </row>
    <row r="50" spans="2:10" x14ac:dyDescent="0.25">
      <c r="B50" s="595" t="s">
        <v>258</v>
      </c>
      <c r="C50" s="608"/>
      <c r="D50" s="602"/>
      <c r="E50" s="598">
        <f>mvalloc!G13</f>
        <v>0</v>
      </c>
      <c r="F50" s="636"/>
    </row>
    <row r="51" spans="2:10" x14ac:dyDescent="0.25">
      <c r="B51" s="595" t="s">
        <v>259</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262</v>
      </c>
      <c r="C57" s="608"/>
      <c r="D57" s="602"/>
      <c r="E57" s="603"/>
    </row>
    <row r="58" spans="2:10" x14ac:dyDescent="0.25">
      <c r="B58" s="595" t="s">
        <v>208</v>
      </c>
      <c r="C58" s="608"/>
      <c r="D58" s="608"/>
      <c r="E58" s="665"/>
    </row>
    <row r="59" spans="2:10" x14ac:dyDescent="0.25">
      <c r="B59" s="595" t="s">
        <v>831</v>
      </c>
      <c r="C59" s="609" t="str">
        <f>IF(C60*0.1&lt;C58,"Exceed 10% Rule","")</f>
        <v/>
      </c>
      <c r="D59" s="609" t="str">
        <f>IF(D60*0.1&lt;D58,"Exceeds 10% Rule","")</f>
        <v/>
      </c>
      <c r="E59" s="610" t="str">
        <f>IF(E60*0.1&lt;E58,"Exceed 10% Rule","")</f>
        <v/>
      </c>
    </row>
    <row r="60" spans="2:10" x14ac:dyDescent="0.25">
      <c r="B60" s="611" t="s">
        <v>263</v>
      </c>
      <c r="C60" s="630">
        <f>SUM(C48:C58)</f>
        <v>0</v>
      </c>
      <c r="D60" s="630">
        <f>SUM(D48:D58)</f>
        <v>0</v>
      </c>
      <c r="E60" s="631">
        <f>SUM(E49:E58)</f>
        <v>0</v>
      </c>
    </row>
    <row r="61" spans="2:10" x14ac:dyDescent="0.25">
      <c r="B61" s="611" t="s">
        <v>264</v>
      </c>
      <c r="C61" s="630">
        <f>C46+C60</f>
        <v>0</v>
      </c>
      <c r="D61" s="630">
        <f>D46+D60</f>
        <v>0</v>
      </c>
      <c r="E61" s="631">
        <f>E46+E60</f>
        <v>0</v>
      </c>
    </row>
    <row r="62" spans="2:10" x14ac:dyDescent="0.25">
      <c r="B62" s="595" t="s">
        <v>265</v>
      </c>
      <c r="C62" s="595"/>
      <c r="D62" s="597"/>
      <c r="E62" s="598"/>
    </row>
    <row r="63" spans="2:10" x14ac:dyDescent="0.25">
      <c r="B63" s="605"/>
      <c r="C63" s="600"/>
      <c r="D63" s="602"/>
      <c r="E63" s="603"/>
    </row>
    <row r="64" spans="2:10" x14ac:dyDescent="0.25">
      <c r="B64" s="605"/>
      <c r="C64" s="600"/>
      <c r="D64" s="602"/>
      <c r="E64" s="603"/>
      <c r="G64" s="854" t="str">
        <f>CONCATENATE("Desired Carryover Into ",E1+1,"")</f>
        <v>Desired Carryover Into 2016</v>
      </c>
      <c r="H64" s="855"/>
      <c r="I64" s="855"/>
      <c r="J64" s="856"/>
    </row>
    <row r="65" spans="2:11" x14ac:dyDescent="0.25">
      <c r="B65" s="605"/>
      <c r="C65" s="600"/>
      <c r="D65" s="602"/>
      <c r="E65" s="603"/>
      <c r="G65" s="614"/>
      <c r="H65" s="615"/>
      <c r="I65" s="616"/>
      <c r="J65" s="617"/>
    </row>
    <row r="66" spans="2:11" x14ac:dyDescent="0.25">
      <c r="B66" s="605"/>
      <c r="C66" s="600"/>
      <c r="D66" s="602"/>
      <c r="E66" s="603"/>
      <c r="G66" s="618" t="s">
        <v>702</v>
      </c>
      <c r="H66" s="616"/>
      <c r="I66" s="616"/>
      <c r="J66" s="619">
        <v>0</v>
      </c>
    </row>
    <row r="67" spans="2:11" x14ac:dyDescent="0.25">
      <c r="B67" s="605"/>
      <c r="C67" s="600"/>
      <c r="D67" s="602"/>
      <c r="E67" s="603"/>
      <c r="G67" s="614" t="s">
        <v>703</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832</v>
      </c>
      <c r="H69" s="626"/>
      <c r="I69" s="626"/>
      <c r="J69" s="627">
        <f>IF(J66&gt;0,J68-E77,0)</f>
        <v>0</v>
      </c>
    </row>
    <row r="70" spans="2:11" x14ac:dyDescent="0.25">
      <c r="B70" s="604" t="s">
        <v>210</v>
      </c>
      <c r="C70" s="600"/>
      <c r="D70" s="602"/>
      <c r="E70" s="598" t="str">
        <f>nhood!E8</f>
        <v/>
      </c>
      <c r="F70" s="636"/>
    </row>
    <row r="71" spans="2:11" x14ac:dyDescent="0.25">
      <c r="B71" s="604" t="s">
        <v>208</v>
      </c>
      <c r="C71" s="608"/>
      <c r="D71" s="602"/>
      <c r="E71" s="603"/>
      <c r="F71" s="636"/>
      <c r="G71" s="854" t="str">
        <f>CONCATENATE("Projected Carryover Into ",E1+1,"")</f>
        <v>Projected Carryover Into 2016</v>
      </c>
      <c r="H71" s="863"/>
      <c r="I71" s="863"/>
      <c r="J71" s="858"/>
    </row>
    <row r="72" spans="2:11" x14ac:dyDescent="0.25">
      <c r="B72" s="604" t="s">
        <v>699</v>
      </c>
      <c r="C72" s="609" t="str">
        <f>IF(C73*0.1&lt;C71,"Exceed 10% Rule","")</f>
        <v/>
      </c>
      <c r="D72" s="609" t="str">
        <f>IF(D73*0.1&lt;D71,"Exceed 10% Rule","")</f>
        <v/>
      </c>
      <c r="E72" s="610" t="str">
        <f>IF(E73*0.1&lt;E71,"Exceed 10% Rule","")</f>
        <v/>
      </c>
      <c r="F72" s="636"/>
      <c r="G72" s="666"/>
      <c r="H72" s="615"/>
      <c r="I72" s="615"/>
      <c r="J72" s="667"/>
    </row>
    <row r="73" spans="2:11" x14ac:dyDescent="0.25">
      <c r="B73" s="611" t="s">
        <v>266</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62</v>
      </c>
      <c r="C74" s="635">
        <f>C61-C73</f>
        <v>0</v>
      </c>
      <c r="D74" s="635">
        <f>D61-D73</f>
        <v>0</v>
      </c>
      <c r="E74" s="601" t="s">
        <v>235</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9" t="s">
        <v>696</v>
      </c>
      <c r="D76" s="860"/>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61" t="s">
        <v>697</v>
      </c>
      <c r="D77" s="862"/>
      <c r="E77" s="598">
        <f>E73+E76</f>
        <v>0</v>
      </c>
      <c r="F77" s="636"/>
      <c r="G77" s="671"/>
      <c r="H77" s="672"/>
      <c r="I77" s="615"/>
      <c r="J77" s="667"/>
    </row>
    <row r="78" spans="2:11" x14ac:dyDescent="0.25">
      <c r="B78" s="642" t="str">
        <f>CONCATENATE(C96,"     ",D96)</f>
        <v xml:space="preserve">     </v>
      </c>
      <c r="C78" s="644"/>
      <c r="D78" s="583" t="s">
        <v>268</v>
      </c>
      <c r="E78" s="645">
        <f>IF(E77-E61&gt;0,E77-E61,0)</f>
        <v>0</v>
      </c>
      <c r="F78" s="636"/>
      <c r="G78" s="639">
        <f>ROUND(C73*0.05+C73,0)</f>
        <v>0</v>
      </c>
      <c r="H78" s="616" t="str">
        <f>CONCATENATE("Less ",E1-2," Expenditures + 5%")</f>
        <v>Less 2013 Expenditures + 5%</v>
      </c>
      <c r="I78" s="670"/>
      <c r="J78" s="667"/>
    </row>
    <row r="79" spans="2:11" x14ac:dyDescent="0.25">
      <c r="B79" s="583"/>
      <c r="C79" s="471" t="s">
        <v>698</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49" t="str">
        <f>CONCATENATE("Amount of  ",E1-1," Ad Valorem Tax")</f>
        <v>Amount of  2014 Ad Valorem Tax</v>
      </c>
      <c r="D80" s="850"/>
      <c r="E80" s="652">
        <f>E78+E79</f>
        <v>0</v>
      </c>
      <c r="F80" s="675" t="e">
        <f>IF('Library Grant'!F33="","",IF('Library Grant'!F33="Qualify","Qualifies for State Library Grant","See 'Library Grant' tab"))</f>
        <v>#VALUE!</v>
      </c>
    </row>
    <row r="81" spans="2:10" ht="16.5" thickTop="1" x14ac:dyDescent="0.25">
      <c r="B81" s="583"/>
      <c r="C81" s="849"/>
      <c r="D81" s="850"/>
      <c r="E81" s="653"/>
      <c r="F81" s="636"/>
      <c r="G81" s="851" t="s">
        <v>833</v>
      </c>
      <c r="H81" s="852"/>
      <c r="I81" s="852"/>
      <c r="J81" s="853"/>
    </row>
    <row r="82" spans="2:10" x14ac:dyDescent="0.25">
      <c r="B82" s="583"/>
      <c r="C82" s="583"/>
      <c r="D82" s="583"/>
      <c r="E82" s="583"/>
      <c r="G82" s="654"/>
      <c r="H82" s="633"/>
      <c r="I82" s="655"/>
      <c r="J82" s="656"/>
    </row>
    <row r="83" spans="2:10" x14ac:dyDescent="0.25">
      <c r="B83" s="583" t="s">
        <v>249</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17.475999999999999</v>
      </c>
      <c r="H85" s="633" t="str">
        <f>CONCATENATE("Total ",E1," Mill Rate")</f>
        <v>Total 2015 Mill Rate</v>
      </c>
      <c r="I85" s="655"/>
      <c r="J85" s="656"/>
    </row>
    <row r="86" spans="2:10" x14ac:dyDescent="0.25">
      <c r="G86" s="658">
        <f>summ!E36</f>
        <v>17.475999999999999</v>
      </c>
      <c r="H86" s="661" t="str">
        <f>CONCATENATE("Total ",E1-1," Mill Rate")</f>
        <v>Total 2014 Mill Rate</v>
      </c>
      <c r="I86" s="662"/>
      <c r="J86" s="663"/>
    </row>
    <row r="87" spans="2:10" x14ac:dyDescent="0.25">
      <c r="G87" s="677"/>
      <c r="H87" s="677"/>
      <c r="I87" s="677"/>
      <c r="J87" s="677"/>
    </row>
    <row r="88" spans="2:10" x14ac:dyDescent="0.25">
      <c r="C88" s="678" t="s">
        <v>834</v>
      </c>
      <c r="D88" s="678" t="s">
        <v>834</v>
      </c>
      <c r="G88" s="755" t="s">
        <v>932</v>
      </c>
      <c r="H88" s="710"/>
      <c r="I88" s="709" t="str">
        <f>cert!E41</f>
        <v>No</v>
      </c>
    </row>
    <row r="89" spans="2:10" x14ac:dyDescent="0.25">
      <c r="C89" s="678" t="s">
        <v>834</v>
      </c>
      <c r="D89" s="678" t="s">
        <v>834</v>
      </c>
    </row>
    <row r="91" spans="2:10" x14ac:dyDescent="0.25">
      <c r="C91" s="678" t="s">
        <v>834</v>
      </c>
      <c r="D91" s="678" t="s">
        <v>834</v>
      </c>
    </row>
    <row r="92" spans="2:10" x14ac:dyDescent="0.25">
      <c r="C92" s="678" t="s">
        <v>834</v>
      </c>
      <c r="D92" s="678" t="s">
        <v>834</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70" priority="16" stopIfTrue="1" operator="greaterThan">
      <formula>$C$75</formula>
    </cfRule>
  </conditionalFormatting>
  <conditionalFormatting sqref="C74:D74 C34:D34">
    <cfRule type="cellIs" dxfId="169" priority="15" stopIfTrue="1" operator="lessThan">
      <formula>0</formula>
    </cfRule>
  </conditionalFormatting>
  <conditionalFormatting sqref="D73">
    <cfRule type="cellIs" dxfId="168" priority="14" stopIfTrue="1" operator="greaterThan">
      <formula>$D$75</formula>
    </cfRule>
  </conditionalFormatting>
  <conditionalFormatting sqref="C33">
    <cfRule type="cellIs" dxfId="167" priority="13" stopIfTrue="1" operator="greaterThan">
      <formula>$C$35</formula>
    </cfRule>
  </conditionalFormatting>
  <conditionalFormatting sqref="D33">
    <cfRule type="cellIs" dxfId="166" priority="12" stopIfTrue="1" operator="greaterThan">
      <formula>$D$35</formula>
    </cfRule>
  </conditionalFormatting>
  <conditionalFormatting sqref="C31">
    <cfRule type="cellIs" dxfId="165" priority="11" stopIfTrue="1" operator="greaterThan">
      <formula>$C$33*0.1</formula>
    </cfRule>
  </conditionalFormatting>
  <conditionalFormatting sqref="D31">
    <cfRule type="cellIs" dxfId="164" priority="10" stopIfTrue="1" operator="greaterThan">
      <formula>$D$33*0.1</formula>
    </cfRule>
  </conditionalFormatting>
  <conditionalFormatting sqref="E31">
    <cfRule type="cellIs" dxfId="163" priority="9" stopIfTrue="1" operator="greaterThan">
      <formula>$E$33*0.1</formula>
    </cfRule>
  </conditionalFormatting>
  <conditionalFormatting sqref="C18 C58:E58">
    <cfRule type="cellIs" dxfId="162" priority="8" stopIfTrue="1" operator="greaterThan">
      <formula>$C$20*0.1</formula>
    </cfRule>
  </conditionalFormatting>
  <conditionalFormatting sqref="D18">
    <cfRule type="cellIs" dxfId="161" priority="7" stopIfTrue="1" operator="greaterThan">
      <formula>$D$20*0.1</formula>
    </cfRule>
  </conditionalFormatting>
  <conditionalFormatting sqref="E18">
    <cfRule type="cellIs" dxfId="160" priority="6" stopIfTrue="1" operator="greaterThan">
      <formula>$E$20*0.1+$E$40</formula>
    </cfRule>
  </conditionalFormatting>
  <conditionalFormatting sqref="C71">
    <cfRule type="cellIs" dxfId="159" priority="5" stopIfTrue="1" operator="greaterThan">
      <formula>$C$73*0.1</formula>
    </cfRule>
  </conditionalFormatting>
  <conditionalFormatting sqref="D71">
    <cfRule type="cellIs" dxfId="158" priority="4" stopIfTrue="1" operator="greaterThan">
      <formula>$D$73*0.1</formula>
    </cfRule>
  </conditionalFormatting>
  <conditionalFormatting sqref="E71">
    <cfRule type="cellIs" dxfId="157" priority="3" stopIfTrue="1" operator="greaterThan">
      <formula>$E$73*0.1</formula>
    </cfRule>
  </conditionalFormatting>
  <conditionalFormatting sqref="E36">
    <cfRule type="cellIs" dxfId="156" priority="2" stopIfTrue="1" operator="greaterThan">
      <formula>$E$33/0.95-$E$33</formula>
    </cfRule>
  </conditionalFormatting>
  <conditionalFormatting sqref="E76">
    <cfRule type="cellIs" dxfId="155"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topLeftCell="A13" workbookViewId="0">
      <selection activeCell="H36" sqref="H36"/>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Pleasant Township</v>
      </c>
      <c r="C1" s="48"/>
      <c r="D1" s="48"/>
      <c r="E1" s="204">
        <f>inputPrYr!D9</f>
        <v>2015</v>
      </c>
    </row>
    <row r="2" spans="2:5" x14ac:dyDescent="0.25">
      <c r="B2" s="513" t="s">
        <v>738</v>
      </c>
      <c r="C2" s="48"/>
      <c r="D2" s="48"/>
      <c r="E2" s="284"/>
    </row>
    <row r="3" spans="2:5" x14ac:dyDescent="0.25">
      <c r="B3" s="48"/>
      <c r="C3" s="61"/>
      <c r="D3" s="61"/>
      <c r="E3" s="285"/>
    </row>
    <row r="4" spans="2:5" x14ac:dyDescent="0.25">
      <c r="B4" s="55" t="s">
        <v>250</v>
      </c>
      <c r="C4" s="359" t="s">
        <v>251</v>
      </c>
      <c r="D4" s="362" t="s">
        <v>252</v>
      </c>
      <c r="E4" s="57" t="s">
        <v>253</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61</v>
      </c>
      <c r="C6" s="286">
        <v>19168</v>
      </c>
      <c r="D6" s="361">
        <f>C51</f>
        <v>48678</v>
      </c>
      <c r="E6" s="239">
        <f>D51</f>
        <v>34219</v>
      </c>
    </row>
    <row r="7" spans="2:5" x14ac:dyDescent="0.25">
      <c r="B7" s="63" t="s">
        <v>63</v>
      </c>
      <c r="C7" s="361"/>
      <c r="D7" s="361"/>
      <c r="E7" s="288"/>
    </row>
    <row r="8" spans="2:5" x14ac:dyDescent="0.25">
      <c r="B8" s="63" t="s">
        <v>256</v>
      </c>
      <c r="C8" s="286">
        <v>43537</v>
      </c>
      <c r="D8" s="361">
        <f>IF(inputPrYr!H19&gt;0,inputPrYr!G20,inputPrYr!E20)</f>
        <v>76454</v>
      </c>
      <c r="E8" s="288" t="s">
        <v>235</v>
      </c>
    </row>
    <row r="9" spans="2:5" x14ac:dyDescent="0.25">
      <c r="B9" s="63" t="s">
        <v>257</v>
      </c>
      <c r="C9" s="286">
        <v>1470</v>
      </c>
      <c r="D9" s="286"/>
      <c r="E9" s="151"/>
    </row>
    <row r="10" spans="2:5" x14ac:dyDescent="0.25">
      <c r="B10" s="63" t="s">
        <v>258</v>
      </c>
      <c r="C10" s="286">
        <v>10575</v>
      </c>
      <c r="D10" s="286">
        <v>10878</v>
      </c>
      <c r="E10" s="239">
        <f>mvalloc!G11</f>
        <v>10909</v>
      </c>
    </row>
    <row r="11" spans="2:5" x14ac:dyDescent="0.25">
      <c r="B11" s="63" t="s">
        <v>259</v>
      </c>
      <c r="C11" s="286">
        <v>192</v>
      </c>
      <c r="D11" s="286">
        <v>220</v>
      </c>
      <c r="E11" s="239">
        <f>mvalloc!I11</f>
        <v>230</v>
      </c>
    </row>
    <row r="12" spans="2:5" x14ac:dyDescent="0.25">
      <c r="B12" s="289" t="s">
        <v>21</v>
      </c>
      <c r="C12" s="286">
        <v>60</v>
      </c>
      <c r="D12" s="286">
        <v>212</v>
      </c>
      <c r="E12" s="239">
        <f>mvalloc!J11</f>
        <v>192</v>
      </c>
    </row>
    <row r="13" spans="2:5" x14ac:dyDescent="0.25">
      <c r="B13" s="289" t="s">
        <v>90</v>
      </c>
      <c r="C13" s="286"/>
      <c r="D13" s="286">
        <v>0</v>
      </c>
      <c r="E13" s="239">
        <f>inputOth!E71</f>
        <v>0</v>
      </c>
    </row>
    <row r="14" spans="2:5" x14ac:dyDescent="0.25">
      <c r="B14" s="63" t="s">
        <v>260</v>
      </c>
      <c r="C14" s="286"/>
      <c r="D14" s="286">
        <v>0</v>
      </c>
      <c r="E14" s="239">
        <f>inputOth!E32</f>
        <v>0</v>
      </c>
    </row>
    <row r="15" spans="2:5" x14ac:dyDescent="0.25">
      <c r="B15" s="291" t="s">
        <v>977</v>
      </c>
      <c r="C15" s="286">
        <v>150</v>
      </c>
      <c r="D15" s="286"/>
      <c r="E15" s="151"/>
    </row>
    <row r="16" spans="2:5" x14ac:dyDescent="0.25">
      <c r="B16" s="290" t="s">
        <v>966</v>
      </c>
      <c r="C16" s="286">
        <v>3200</v>
      </c>
      <c r="D16" s="286"/>
      <c r="E16" s="151"/>
    </row>
    <row r="17" spans="2:5" x14ac:dyDescent="0.25">
      <c r="B17" s="290" t="s">
        <v>978</v>
      </c>
      <c r="C17" s="286">
        <v>31</v>
      </c>
      <c r="D17" s="286"/>
      <c r="E17" s="151"/>
    </row>
    <row r="18" spans="2:5" x14ac:dyDescent="0.25">
      <c r="B18" s="291" t="s">
        <v>979</v>
      </c>
      <c r="C18" s="286">
        <v>41845</v>
      </c>
      <c r="D18" s="286"/>
      <c r="E18" s="151"/>
    </row>
    <row r="19" spans="2:5" x14ac:dyDescent="0.25">
      <c r="B19" s="291" t="s">
        <v>71</v>
      </c>
      <c r="C19" s="286">
        <v>1275</v>
      </c>
      <c r="D19" s="286"/>
      <c r="E19" s="151"/>
    </row>
    <row r="20" spans="2:5" x14ac:dyDescent="0.25">
      <c r="B20" s="291" t="s">
        <v>986</v>
      </c>
      <c r="C20" s="286"/>
      <c r="D20" s="286"/>
      <c r="E20" s="151">
        <v>193</v>
      </c>
    </row>
    <row r="21" spans="2:5" x14ac:dyDescent="0.25">
      <c r="B21" s="291"/>
      <c r="C21" s="286"/>
      <c r="D21" s="286"/>
      <c r="E21" s="151"/>
    </row>
    <row r="22" spans="2:5" x14ac:dyDescent="0.25">
      <c r="B22" s="290"/>
      <c r="C22" s="286"/>
      <c r="D22" s="286"/>
      <c r="E22" s="151"/>
    </row>
    <row r="23" spans="2:5" x14ac:dyDescent="0.25">
      <c r="B23" s="291" t="s">
        <v>262</v>
      </c>
      <c r="C23" s="286">
        <v>90</v>
      </c>
      <c r="D23" s="286"/>
      <c r="E23" s="151"/>
    </row>
    <row r="24" spans="2:5" x14ac:dyDescent="0.25">
      <c r="B24" s="292" t="s">
        <v>208</v>
      </c>
      <c r="C24" s="286"/>
      <c r="D24" s="286"/>
      <c r="E24" s="151"/>
    </row>
    <row r="25" spans="2:5" x14ac:dyDescent="0.25">
      <c r="B25" s="292" t="s">
        <v>209</v>
      </c>
      <c r="C25" s="363" t="str">
        <f>IF(C26*0.1&lt;C24,"Exceed 10% Rule","")</f>
        <v/>
      </c>
      <c r="D25" s="363" t="str">
        <f>IF(D26*0.1&lt;D24,"Exceed 10% Rule","")</f>
        <v/>
      </c>
      <c r="E25" s="296" t="str">
        <f>IF(E26*0.1+E57&lt;E24,"Exceed 10% Rule","")</f>
        <v/>
      </c>
    </row>
    <row r="26" spans="2:5" x14ac:dyDescent="0.25">
      <c r="B26" s="294" t="s">
        <v>263</v>
      </c>
      <c r="C26" s="364">
        <f>SUM(C8:C24)</f>
        <v>102425</v>
      </c>
      <c r="D26" s="364">
        <f>SUM(D8:D24)</f>
        <v>87764</v>
      </c>
      <c r="E26" s="295">
        <f>SUM(E8:E24)</f>
        <v>11524</v>
      </c>
    </row>
    <row r="27" spans="2:5" x14ac:dyDescent="0.25">
      <c r="B27" s="81" t="s">
        <v>264</v>
      </c>
      <c r="C27" s="364">
        <f>C26+C6</f>
        <v>121593</v>
      </c>
      <c r="D27" s="364">
        <f>D26+D6</f>
        <v>136442</v>
      </c>
      <c r="E27" s="295">
        <f>E26+E6</f>
        <v>45743</v>
      </c>
    </row>
    <row r="28" spans="2:5" x14ac:dyDescent="0.25">
      <c r="B28" s="63" t="s">
        <v>265</v>
      </c>
      <c r="C28" s="361"/>
      <c r="D28" s="361"/>
      <c r="E28" s="239"/>
    </row>
    <row r="29" spans="2:5" x14ac:dyDescent="0.25">
      <c r="B29" s="291" t="s">
        <v>53</v>
      </c>
      <c r="C29" s="286">
        <v>12075</v>
      </c>
      <c r="D29" s="286"/>
      <c r="E29" s="151"/>
    </row>
    <row r="30" spans="2:5" x14ac:dyDescent="0.25">
      <c r="B30" s="291" t="s">
        <v>68</v>
      </c>
      <c r="C30" s="286"/>
      <c r="D30" s="286">
        <v>12000</v>
      </c>
      <c r="E30" s="151">
        <v>12000</v>
      </c>
    </row>
    <row r="31" spans="2:5" x14ac:dyDescent="0.25">
      <c r="B31" s="291" t="s">
        <v>54</v>
      </c>
      <c r="C31" s="286">
        <v>5929</v>
      </c>
      <c r="D31" s="286"/>
      <c r="E31" s="151"/>
    </row>
    <row r="32" spans="2:5" x14ac:dyDescent="0.25">
      <c r="B32" s="291" t="s">
        <v>276</v>
      </c>
      <c r="C32" s="286">
        <v>930</v>
      </c>
      <c r="D32" s="286">
        <v>55478</v>
      </c>
      <c r="E32" s="151">
        <v>55478</v>
      </c>
    </row>
    <row r="33" spans="2:10" x14ac:dyDescent="0.25">
      <c r="B33" s="290" t="s">
        <v>55</v>
      </c>
      <c r="C33" s="286">
        <v>30762</v>
      </c>
      <c r="D33" s="286"/>
      <c r="E33" s="151"/>
    </row>
    <row r="34" spans="2:10" x14ac:dyDescent="0.25">
      <c r="B34" s="290" t="s">
        <v>69</v>
      </c>
      <c r="C34" s="286"/>
      <c r="D34" s="286">
        <v>9896</v>
      </c>
      <c r="E34" s="151">
        <v>9896</v>
      </c>
    </row>
    <row r="35" spans="2:10" x14ac:dyDescent="0.25">
      <c r="B35" s="291" t="s">
        <v>965</v>
      </c>
      <c r="C35" s="286">
        <v>4396</v>
      </c>
      <c r="D35" s="286">
        <v>15849</v>
      </c>
      <c r="E35" s="151">
        <v>15849</v>
      </c>
    </row>
    <row r="36" spans="2:10" x14ac:dyDescent="0.25">
      <c r="B36" s="291" t="s">
        <v>966</v>
      </c>
      <c r="C36" s="286"/>
      <c r="D36" s="286">
        <v>5000</v>
      </c>
      <c r="E36" s="151">
        <v>5000</v>
      </c>
    </row>
    <row r="37" spans="2:10" x14ac:dyDescent="0.25">
      <c r="B37" s="291" t="s">
        <v>967</v>
      </c>
      <c r="C37" s="286">
        <v>6452</v>
      </c>
      <c r="D37" s="286"/>
      <c r="E37" s="151"/>
    </row>
    <row r="38" spans="2:10" x14ac:dyDescent="0.25">
      <c r="B38" s="291" t="s">
        <v>968</v>
      </c>
      <c r="C38" s="286"/>
      <c r="D38" s="286"/>
      <c r="E38" s="151"/>
    </row>
    <row r="39" spans="2:10" x14ac:dyDescent="0.25">
      <c r="B39" s="291" t="s">
        <v>969</v>
      </c>
      <c r="C39" s="286">
        <v>5084</v>
      </c>
      <c r="D39" s="286"/>
      <c r="E39" s="151">
        <v>20777</v>
      </c>
    </row>
    <row r="40" spans="2:10" x14ac:dyDescent="0.25">
      <c r="B40" s="291" t="s">
        <v>970</v>
      </c>
      <c r="C40" s="286">
        <v>261</v>
      </c>
      <c r="D40" s="286"/>
      <c r="E40" s="151"/>
    </row>
    <row r="41" spans="2:10" x14ac:dyDescent="0.25">
      <c r="B41" s="290" t="s">
        <v>971</v>
      </c>
      <c r="C41" s="286">
        <v>163</v>
      </c>
      <c r="D41" s="286"/>
      <c r="E41" s="151"/>
      <c r="G41" s="869" t="str">
        <f>CONCATENATE("Desired Carryover Into ",E1+1,"")</f>
        <v>Desired Carryover Into 2016</v>
      </c>
      <c r="H41" s="870"/>
      <c r="I41" s="870"/>
      <c r="J41" s="871"/>
    </row>
    <row r="42" spans="2:10" x14ac:dyDescent="0.25">
      <c r="B42" s="291" t="s">
        <v>57</v>
      </c>
      <c r="C42" s="286">
        <v>1853</v>
      </c>
      <c r="D42" s="286"/>
      <c r="E42" s="151"/>
      <c r="G42" s="475"/>
      <c r="H42" s="54"/>
      <c r="I42" s="517"/>
      <c r="J42" s="476"/>
    </row>
    <row r="43" spans="2:10" x14ac:dyDescent="0.25">
      <c r="B43" s="289" t="s">
        <v>168</v>
      </c>
      <c r="C43" s="286"/>
      <c r="D43" s="286"/>
      <c r="E43" s="151"/>
      <c r="G43" s="477" t="s">
        <v>702</v>
      </c>
      <c r="H43" s="517"/>
      <c r="I43" s="517"/>
      <c r="J43" s="478">
        <v>0</v>
      </c>
    </row>
    <row r="44" spans="2:10" x14ac:dyDescent="0.25">
      <c r="B44" s="289" t="s">
        <v>169</v>
      </c>
      <c r="C44" s="363" t="str">
        <f>IF(AND($C$43&gt;0,$C$8&gt;0),"Not Authorized","")</f>
        <v/>
      </c>
      <c r="D44" s="363" t="str">
        <f>IF(AND($D$43&gt;0,$D$8&gt;0),"Not Authorized","")</f>
        <v/>
      </c>
      <c r="E44" s="296" t="str">
        <f>IF(AND(E57&gt;0,$E$43&gt;0),"Not Authorized","")</f>
        <v/>
      </c>
      <c r="G44" s="475" t="s">
        <v>703</v>
      </c>
      <c r="H44" s="54"/>
      <c r="I44" s="54"/>
      <c r="J44" s="684" t="str">
        <f>IF(J43=0,"",ROUND((J43+E57-G56)/inputOth!E11*1000,3)-G61)</f>
        <v/>
      </c>
    </row>
    <row r="45" spans="2:10" x14ac:dyDescent="0.25">
      <c r="B45" s="63" t="s">
        <v>170</v>
      </c>
      <c r="C45" s="286">
        <v>5010</v>
      </c>
      <c r="D45" s="286"/>
      <c r="E45" s="151"/>
      <c r="G45" s="685" t="str">
        <f>CONCATENATE("",E1," Tot Exp/Non-Appr Must Be:")</f>
        <v>2015 Tot Exp/Non-Appr Must Be:</v>
      </c>
      <c r="H45" s="510"/>
      <c r="I45" s="681"/>
      <c r="J45" s="686">
        <f>IF(J43&gt;0,IF(E54&lt;E23,IF(J43=G56,E54,((J43-G56)*(1-D56))+E23),E54+(J43-G56)),0)</f>
        <v>0</v>
      </c>
    </row>
    <row r="46" spans="2:10" x14ac:dyDescent="0.25">
      <c r="B46" s="63" t="s">
        <v>743</v>
      </c>
      <c r="C46" s="363" t="str">
        <f>IF(C27*0.25&lt;C45,"Exceeds 25%","")</f>
        <v/>
      </c>
      <c r="D46" s="363" t="str">
        <f>IF(D27*0.25&lt;D45,"Exceeds 25%","")</f>
        <v/>
      </c>
      <c r="E46" s="296" t="str">
        <f>IF(E27*0.25+E57&lt;E45,"Exceeds 25%","")</f>
        <v/>
      </c>
      <c r="G46" s="687" t="s">
        <v>832</v>
      </c>
      <c r="H46" s="688"/>
      <c r="I46" s="688"/>
      <c r="J46" s="689">
        <f>IF(J43&gt;0,J45-E54,0)</f>
        <v>0</v>
      </c>
    </row>
    <row r="47" spans="2:10" x14ac:dyDescent="0.25">
      <c r="B47" s="289" t="s">
        <v>210</v>
      </c>
      <c r="C47" s="286"/>
      <c r="D47" s="286"/>
      <c r="E47" s="162" t="str">
        <f>nhood!E6</f>
        <v/>
      </c>
    </row>
    <row r="48" spans="2:10" x14ac:dyDescent="0.25">
      <c r="B48" s="289" t="s">
        <v>208</v>
      </c>
      <c r="C48" s="286"/>
      <c r="D48" s="286">
        <v>4000</v>
      </c>
      <c r="E48" s="151">
        <v>4000</v>
      </c>
      <c r="G48" s="869" t="str">
        <f>CONCATENATE("Projected Carryover Into ",E1+1,"")</f>
        <v>Projected Carryover Into 2016</v>
      </c>
      <c r="H48" s="870"/>
      <c r="I48" s="870"/>
      <c r="J48" s="871"/>
    </row>
    <row r="49" spans="2:11" x14ac:dyDescent="0.25">
      <c r="B49" s="289" t="s">
        <v>699</v>
      </c>
      <c r="C49" s="363" t="str">
        <f>IF(C50*0.1&lt;C48,"Exceed 10% Rule","")</f>
        <v/>
      </c>
      <c r="D49" s="363" t="str">
        <f>IF(D50*0.1&lt;D48,"Exceed 10% Rule","")</f>
        <v/>
      </c>
      <c r="E49" s="296" t="str">
        <f>IF(E50*0.1&lt;E48,"Exceed 10% Rule","")</f>
        <v/>
      </c>
      <c r="G49" s="474"/>
      <c r="H49" s="54"/>
      <c r="I49" s="54"/>
      <c r="J49" s="67"/>
    </row>
    <row r="50" spans="2:11" x14ac:dyDescent="0.25">
      <c r="B50" s="81" t="s">
        <v>266</v>
      </c>
      <c r="C50" s="364">
        <f>SUM(C29:C43,C45,C47:C48)</f>
        <v>72915</v>
      </c>
      <c r="D50" s="364">
        <f>SUM(D29:D43,D45,D47:D48)</f>
        <v>102223</v>
      </c>
      <c r="E50" s="295">
        <f>SUM(E29:E43,E47:E48,E45)</f>
        <v>123000</v>
      </c>
      <c r="G50" s="514">
        <f>D51</f>
        <v>34219</v>
      </c>
      <c r="H50" s="515" t="str">
        <f>CONCATENATE("",E1-1," Ending Cash Balance (est.)")</f>
        <v>2014 Ending Cash Balance (est.)</v>
      </c>
      <c r="I50" s="516"/>
      <c r="J50" s="67"/>
    </row>
    <row r="51" spans="2:11" x14ac:dyDescent="0.25">
      <c r="B51" s="63" t="s">
        <v>62</v>
      </c>
      <c r="C51" s="365">
        <f>C27-C50</f>
        <v>48678</v>
      </c>
      <c r="D51" s="365">
        <f>D27-D50</f>
        <v>34219</v>
      </c>
      <c r="E51" s="288" t="s">
        <v>235</v>
      </c>
      <c r="G51" s="514">
        <f>E26</f>
        <v>11524</v>
      </c>
      <c r="H51" s="517" t="str">
        <f>CONCATENATE("",E1," Non-AV Receipts (est.)")</f>
        <v>2015 Non-AV Receipts (est.)</v>
      </c>
      <c r="I51" s="516"/>
      <c r="J51" s="67"/>
    </row>
    <row r="52" spans="2:11" x14ac:dyDescent="0.2">
      <c r="B52" s="98" t="str">
        <f>CONCATENATE("",E1-2,"/",E1-1,"/",E1," Budget Authority Amount:")</f>
        <v>2013/2014/2015 Budget Authority Amount:</v>
      </c>
      <c r="C52" s="724">
        <f>inputOth!B83</f>
        <v>205374</v>
      </c>
      <c r="D52" s="724">
        <f>inputPrYr!D20</f>
        <v>102223</v>
      </c>
      <c r="E52" s="239">
        <f>E50</f>
        <v>123000</v>
      </c>
      <c r="F52" s="297"/>
      <c r="G52" s="518">
        <f>IF(D56&gt;0,E55,E57)</f>
        <v>77257</v>
      </c>
      <c r="H52" s="517" t="str">
        <f>CONCATENATE("",E1," Ad Valorem Tax (est.)")</f>
        <v>2015 Ad Valorem Tax (est.)</v>
      </c>
      <c r="I52" s="516"/>
      <c r="J52" s="67"/>
      <c r="K52" s="690" t="str">
        <f>IF(G52=E57,"","Note: Does not include Delinquent Taxes")</f>
        <v/>
      </c>
    </row>
    <row r="53" spans="2:11" x14ac:dyDescent="0.25">
      <c r="B53" s="99"/>
      <c r="C53" s="859" t="s">
        <v>696</v>
      </c>
      <c r="D53" s="860"/>
      <c r="E53" s="151"/>
      <c r="F53" s="297" t="str">
        <f>IF(E50/0.95-E50&lt;E53,"Exceeds 5%","")</f>
        <v/>
      </c>
      <c r="G53" s="514">
        <f>SUM(G50:G52)</f>
        <v>123000</v>
      </c>
      <c r="H53" s="517" t="str">
        <f>CONCATENATE("Total ",E1," Resources Available")</f>
        <v>Total 2015 Resources Available</v>
      </c>
      <c r="I53" s="516"/>
      <c r="J53" s="67"/>
    </row>
    <row r="54" spans="2:11" x14ac:dyDescent="0.25">
      <c r="B54" s="470" t="str">
        <f>CONCATENATE(C74,"      ",D74)</f>
        <v xml:space="preserve">      </v>
      </c>
      <c r="C54" s="861" t="s">
        <v>697</v>
      </c>
      <c r="D54" s="862"/>
      <c r="E54" s="239">
        <f>E50+E53</f>
        <v>123000</v>
      </c>
      <c r="G54" s="519"/>
      <c r="H54" s="517"/>
      <c r="I54" s="517"/>
      <c r="J54" s="67"/>
    </row>
    <row r="55" spans="2:11" x14ac:dyDescent="0.25">
      <c r="B55" s="470" t="str">
        <f>CONCATENATE(C75,"       ",D75)</f>
        <v xml:space="preserve">       </v>
      </c>
      <c r="C55" s="473"/>
      <c r="D55" s="472" t="s">
        <v>268</v>
      </c>
      <c r="E55" s="162">
        <f>IF(E54-E27&gt;0,E54-E27,0)</f>
        <v>77257</v>
      </c>
      <c r="G55" s="518">
        <f>ROUND(C50*0.05+C50,0)</f>
        <v>76561</v>
      </c>
      <c r="H55" s="517" t="str">
        <f>CONCATENATE("Less ",E1-2," Expenditures + 5%")</f>
        <v>Less 2013 Expenditures + 5%</v>
      </c>
      <c r="I55" s="516"/>
      <c r="J55" s="67"/>
    </row>
    <row r="56" spans="2:11" x14ac:dyDescent="0.25">
      <c r="B56" s="190"/>
      <c r="C56" s="471" t="s">
        <v>698</v>
      </c>
      <c r="D56" s="683">
        <f>inputOth!$E$77</f>
        <v>0</v>
      </c>
      <c r="E56" s="239">
        <f>ROUND(IF(D56&gt;0,(E55*D56),0),0)</f>
        <v>0</v>
      </c>
      <c r="G56" s="520">
        <f>G53-G55</f>
        <v>46439</v>
      </c>
      <c r="H56" s="521" t="str">
        <f>CONCATENATE("Projected ",E1+1," Carryover (est.)")</f>
        <v>Projected 2016 Carryover (est.)</v>
      </c>
      <c r="I56" s="522"/>
      <c r="J56" s="523"/>
    </row>
    <row r="57" spans="2:11" x14ac:dyDescent="0.25">
      <c r="B57" s="48"/>
      <c r="C57" s="867" t="str">
        <f>CONCATENATE("Amount of  ",$E$1-1," Ad Valorem Tax")</f>
        <v>Amount of  2014 Ad Valorem Tax</v>
      </c>
      <c r="D57" s="868"/>
      <c r="E57" s="162">
        <f>E55+E56</f>
        <v>77257</v>
      </c>
    </row>
    <row r="58" spans="2:11" x14ac:dyDescent="0.2">
      <c r="B58" s="48"/>
      <c r="C58" s="48"/>
      <c r="D58" s="48"/>
      <c r="E58" s="48"/>
      <c r="G58" s="864" t="s">
        <v>833</v>
      </c>
      <c r="H58" s="865"/>
      <c r="I58" s="865"/>
      <c r="J58" s="866"/>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1.9410000000000001</v>
      </c>
      <c r="H60" s="515" t="str">
        <f>CONCATENATE("",E1," Fund Mill Rate")</f>
        <v>2015 Fund Mill Rate</v>
      </c>
      <c r="I60" s="682"/>
      <c r="J60" s="692"/>
      <c r="K60" s="137"/>
    </row>
    <row r="61" spans="2:11" x14ac:dyDescent="0.25">
      <c r="B61" s="190" t="s">
        <v>249</v>
      </c>
      <c r="C61" s="134">
        <v>6</v>
      </c>
      <c r="D61" s="48"/>
      <c r="E61" s="48"/>
      <c r="G61" s="694">
        <f>summ!E18</f>
        <v>1.9410000000000001</v>
      </c>
      <c r="H61" s="515" t="str">
        <f>CONCATENATE("",E1-1," Fund Mill Rate")</f>
        <v>2014 Fund Mill Rate</v>
      </c>
      <c r="I61" s="682"/>
      <c r="J61" s="692"/>
    </row>
    <row r="62" spans="2:11" x14ac:dyDescent="0.25">
      <c r="G62" s="695">
        <f>summ!H36</f>
        <v>17.475999999999999</v>
      </c>
      <c r="H62" s="515" t="str">
        <f>CONCATENATE("Total ",E1," Mill Rate")</f>
        <v>Total 2015 Mill Rate</v>
      </c>
      <c r="I62" s="682"/>
      <c r="J62" s="692"/>
    </row>
    <row r="63" spans="2:11" x14ac:dyDescent="0.25">
      <c r="B63" s="91"/>
      <c r="G63" s="694">
        <f>summ!E36</f>
        <v>17.475999999999999</v>
      </c>
      <c r="H63" s="696" t="str">
        <f>CONCATENATE("Total ",E1-1," Mill Rate")</f>
        <v>Total 2014 Mill Rate</v>
      </c>
      <c r="I63" s="697"/>
      <c r="J63" s="698"/>
    </row>
    <row r="65" spans="3:9" x14ac:dyDescent="0.25">
      <c r="G65" s="753" t="s">
        <v>932</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54" priority="2" stopIfTrue="1" operator="greaterThan">
      <formula>$C$26*0.1</formula>
    </cfRule>
  </conditionalFormatting>
  <conditionalFormatting sqref="D24">
    <cfRule type="cellIs" dxfId="153" priority="3" stopIfTrue="1" operator="greaterThan">
      <formula>$D$26*0.1</formula>
    </cfRule>
  </conditionalFormatting>
  <conditionalFormatting sqref="E53">
    <cfRule type="cellIs" dxfId="152" priority="4" stopIfTrue="1" operator="greaterThan">
      <formula>$E$50/0.95-$E$50</formula>
    </cfRule>
  </conditionalFormatting>
  <conditionalFormatting sqref="E48">
    <cfRule type="cellIs" dxfId="151" priority="5" stopIfTrue="1" operator="greaterThan">
      <formula>$E$50*0.1</formula>
    </cfRule>
  </conditionalFormatting>
  <conditionalFormatting sqref="D48">
    <cfRule type="cellIs" dxfId="150" priority="6" stopIfTrue="1" operator="greaterThan">
      <formula>$D$50*0.1</formula>
    </cfRule>
  </conditionalFormatting>
  <conditionalFormatting sqref="C48">
    <cfRule type="cellIs" dxfId="149" priority="7" stopIfTrue="1" operator="greaterThan">
      <formula>$C$50*0.1</formula>
    </cfRule>
  </conditionalFormatting>
  <conditionalFormatting sqref="C50">
    <cfRule type="cellIs" dxfId="148" priority="8" stopIfTrue="1" operator="greaterThan">
      <formula>$C$52</formula>
    </cfRule>
  </conditionalFormatting>
  <conditionalFormatting sqref="C51">
    <cfRule type="cellIs" dxfId="147" priority="9" stopIfTrue="1" operator="lessThan">
      <formula>0</formula>
    </cfRule>
  </conditionalFormatting>
  <conditionalFormatting sqref="D50">
    <cfRule type="cellIs" dxfId="146" priority="10" stopIfTrue="1" operator="greaterThan">
      <formula>$D$52</formula>
    </cfRule>
  </conditionalFormatting>
  <conditionalFormatting sqref="C45">
    <cfRule type="cellIs" dxfId="145" priority="11" stopIfTrue="1" operator="greaterThan">
      <formula>$C$27*0.25</formula>
    </cfRule>
  </conditionalFormatting>
  <conditionalFormatting sqref="D45">
    <cfRule type="cellIs" dxfId="144" priority="12" stopIfTrue="1" operator="greaterThan">
      <formula>$D$27*0.25</formula>
    </cfRule>
  </conditionalFormatting>
  <conditionalFormatting sqref="D43">
    <cfRule type="expression" dxfId="143" priority="13" stopIfTrue="1">
      <formula>$D$8&gt;0</formula>
    </cfRule>
  </conditionalFormatting>
  <conditionalFormatting sqref="E24">
    <cfRule type="cellIs" dxfId="142" priority="14" stopIfTrue="1" operator="greaterThan">
      <formula>$E$26*0.1+$E$57</formula>
    </cfRule>
  </conditionalFormatting>
  <conditionalFormatting sqref="C43">
    <cfRule type="expression" dxfId="141" priority="15" stopIfTrue="1">
      <formula>$C$8&gt;0</formula>
    </cfRule>
  </conditionalFormatting>
  <conditionalFormatting sqref="E45">
    <cfRule type="cellIs" dxfId="140" priority="16" stopIfTrue="1" operator="greaterThan">
      <formula>$E$27*0.25+$E$57</formula>
    </cfRule>
  </conditionalFormatting>
  <conditionalFormatting sqref="E43">
    <cfRule type="expression" dxfId="139" priority="17" stopIfTrue="1">
      <formula>$E$57&gt;0</formula>
    </cfRule>
  </conditionalFormatting>
  <conditionalFormatting sqref="D51">
    <cfRule type="cellIs" dxfId="138"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B1" workbookViewId="0">
      <selection activeCell="E37" sqref="E37"/>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Pleasant Township</v>
      </c>
      <c r="C1" s="48"/>
      <c r="D1" s="48"/>
      <c r="E1" s="204">
        <f>inputPrYr!D9</f>
        <v>2015</v>
      </c>
    </row>
    <row r="2" spans="2:5" x14ac:dyDescent="0.25">
      <c r="B2" s="513" t="s">
        <v>738</v>
      </c>
      <c r="C2" s="48"/>
      <c r="D2" s="187"/>
      <c r="E2" s="50"/>
    </row>
    <row r="3" spans="2:5" x14ac:dyDescent="0.25">
      <c r="B3" s="55" t="s">
        <v>250</v>
      </c>
      <c r="C3" s="53"/>
      <c r="D3" s="53"/>
      <c r="E3" s="53"/>
    </row>
    <row r="4" spans="2:5" x14ac:dyDescent="0.25">
      <c r="B4" s="48"/>
      <c r="C4" s="359" t="s">
        <v>251</v>
      </c>
      <c r="D4" s="362" t="s">
        <v>252</v>
      </c>
      <c r="E4" s="57" t="s">
        <v>253</v>
      </c>
    </row>
    <row r="5" spans="2:5" x14ac:dyDescent="0.25">
      <c r="B5" s="455" t="str">
        <f>inputPrYr!B23</f>
        <v>Road</v>
      </c>
      <c r="C5" s="360" t="str">
        <f>gen!C5</f>
        <v>Actual for 2013</v>
      </c>
      <c r="D5" s="360" t="str">
        <f>gen!D5</f>
        <v>Estimate for 2014</v>
      </c>
      <c r="E5" s="62" t="str">
        <f>gen!E5</f>
        <v>Year for 2015</v>
      </c>
    </row>
    <row r="6" spans="2:5" x14ac:dyDescent="0.25">
      <c r="B6" s="63" t="s">
        <v>61</v>
      </c>
      <c r="C6" s="286">
        <v>8139</v>
      </c>
      <c r="D6" s="361">
        <f>C44</f>
        <v>697</v>
      </c>
      <c r="E6" s="239">
        <f>D44</f>
        <v>0</v>
      </c>
    </row>
    <row r="7" spans="2:5" x14ac:dyDescent="0.25">
      <c r="B7" s="63" t="s">
        <v>63</v>
      </c>
      <c r="C7" s="361"/>
      <c r="D7" s="361"/>
      <c r="E7" s="288"/>
    </row>
    <row r="8" spans="2:5" x14ac:dyDescent="0.25">
      <c r="B8" s="63" t="s">
        <v>256</v>
      </c>
      <c r="C8" s="286">
        <v>428856</v>
      </c>
      <c r="D8" s="361">
        <f>IF(inputPrYr!H19&gt;0,inputPrYr!G23,inputPrYr!E23)</f>
        <v>363051</v>
      </c>
      <c r="E8" s="288" t="s">
        <v>235</v>
      </c>
    </row>
    <row r="9" spans="2:5" x14ac:dyDescent="0.25">
      <c r="B9" s="63" t="s">
        <v>257</v>
      </c>
      <c r="C9" s="286">
        <v>10898</v>
      </c>
      <c r="D9" s="286"/>
      <c r="E9" s="151"/>
    </row>
    <row r="10" spans="2:5" x14ac:dyDescent="0.25">
      <c r="B10" s="63" t="s">
        <v>258</v>
      </c>
      <c r="C10" s="286">
        <v>5331</v>
      </c>
      <c r="D10" s="286">
        <v>52989</v>
      </c>
      <c r="E10" s="239">
        <f>mvalloc!G14</f>
        <v>51801</v>
      </c>
    </row>
    <row r="11" spans="2:5" x14ac:dyDescent="0.25">
      <c r="B11" s="63" t="s">
        <v>259</v>
      </c>
      <c r="C11" s="286">
        <v>1226</v>
      </c>
      <c r="D11" s="286">
        <v>1069</v>
      </c>
      <c r="E11" s="239">
        <f>mvalloc!I14</f>
        <v>1095</v>
      </c>
    </row>
    <row r="12" spans="2:5" x14ac:dyDescent="0.25">
      <c r="B12" s="63" t="s">
        <v>51</v>
      </c>
      <c r="C12" s="286">
        <v>1108</v>
      </c>
      <c r="D12" s="286">
        <v>1030</v>
      </c>
      <c r="E12" s="239">
        <f>mvalloc!J14</f>
        <v>910</v>
      </c>
    </row>
    <row r="13" spans="2:5" x14ac:dyDescent="0.25">
      <c r="B13" s="63" t="s">
        <v>52</v>
      </c>
      <c r="C13" s="286">
        <v>6657</v>
      </c>
      <c r="D13" s="286">
        <v>5234</v>
      </c>
      <c r="E13" s="239">
        <f>inputOth!E72</f>
        <v>5143</v>
      </c>
    </row>
    <row r="14" spans="2:5" x14ac:dyDescent="0.25">
      <c r="B14" s="291" t="s">
        <v>980</v>
      </c>
      <c r="C14" s="286">
        <v>3776</v>
      </c>
      <c r="D14" s="286"/>
      <c r="E14" s="151"/>
    </row>
    <row r="15" spans="2:5" x14ac:dyDescent="0.25">
      <c r="B15" s="291" t="s">
        <v>981</v>
      </c>
      <c r="C15" s="286">
        <v>600</v>
      </c>
      <c r="D15" s="286"/>
      <c r="E15" s="151"/>
    </row>
    <row r="16" spans="2:5" x14ac:dyDescent="0.25">
      <c r="B16" s="291" t="s">
        <v>982</v>
      </c>
      <c r="C16" s="286">
        <v>4786</v>
      </c>
      <c r="D16" s="286"/>
      <c r="E16" s="151"/>
    </row>
    <row r="17" spans="2:5" x14ac:dyDescent="0.25">
      <c r="B17" s="291" t="s">
        <v>983</v>
      </c>
      <c r="C17" s="286">
        <v>80490</v>
      </c>
      <c r="D17" s="286"/>
      <c r="E17" s="151"/>
    </row>
    <row r="18" spans="2:5" x14ac:dyDescent="0.25">
      <c r="B18" s="291" t="s">
        <v>984</v>
      </c>
      <c r="C18" s="286">
        <v>797</v>
      </c>
      <c r="D18" s="286"/>
      <c r="E18" s="151"/>
    </row>
    <row r="19" spans="2:5" x14ac:dyDescent="0.25">
      <c r="B19" s="291" t="s">
        <v>986</v>
      </c>
      <c r="C19" s="286"/>
      <c r="D19" s="286"/>
      <c r="E19" s="151">
        <v>1071</v>
      </c>
    </row>
    <row r="20" spans="2:5" x14ac:dyDescent="0.25">
      <c r="B20" s="291" t="s">
        <v>262</v>
      </c>
      <c r="C20" s="286"/>
      <c r="D20" s="286"/>
      <c r="E20" s="151"/>
    </row>
    <row r="21" spans="2:5" x14ac:dyDescent="0.25">
      <c r="B21" s="292" t="s">
        <v>208</v>
      </c>
      <c r="C21" s="286"/>
      <c r="D21" s="286"/>
      <c r="E21" s="151"/>
    </row>
    <row r="22" spans="2:5" x14ac:dyDescent="0.25">
      <c r="B22" s="292" t="s">
        <v>209</v>
      </c>
      <c r="C22" s="363" t="str">
        <f>IF(C23*0.1&lt;C21,"Exceed 10% Rule","")</f>
        <v/>
      </c>
      <c r="D22" s="363" t="str">
        <f>IF(D23*0.1&lt;D21,"Exceed 10% Rule","")</f>
        <v/>
      </c>
      <c r="E22" s="296" t="str">
        <f>IF(E23*0.1+E50&lt;E21,"Exceed 10% Rule","")</f>
        <v/>
      </c>
    </row>
    <row r="23" spans="2:5" x14ac:dyDescent="0.25">
      <c r="B23" s="294" t="s">
        <v>263</v>
      </c>
      <c r="C23" s="364">
        <f>SUM(C8:C21)</f>
        <v>544525</v>
      </c>
      <c r="D23" s="364">
        <f>SUM(D8:D21)</f>
        <v>423373</v>
      </c>
      <c r="E23" s="295">
        <f>SUM(E8:E21)</f>
        <v>60020</v>
      </c>
    </row>
    <row r="24" spans="2:5" x14ac:dyDescent="0.25">
      <c r="B24" s="81" t="s">
        <v>264</v>
      </c>
      <c r="C24" s="364">
        <f>C23+C6</f>
        <v>552664</v>
      </c>
      <c r="D24" s="364">
        <f>D23+D6</f>
        <v>424070</v>
      </c>
      <c r="E24" s="295">
        <f>E23+E6</f>
        <v>60020</v>
      </c>
    </row>
    <row r="25" spans="2:5" x14ac:dyDescent="0.25">
      <c r="B25" s="63" t="s">
        <v>265</v>
      </c>
      <c r="C25" s="361"/>
      <c r="D25" s="361"/>
      <c r="E25" s="239"/>
    </row>
    <row r="26" spans="2:5" x14ac:dyDescent="0.25">
      <c r="B26" s="291" t="s">
        <v>991</v>
      </c>
      <c r="C26" s="286"/>
      <c r="D26" s="286">
        <v>4200</v>
      </c>
      <c r="E26" s="151">
        <v>4200</v>
      </c>
    </row>
    <row r="27" spans="2:5" x14ac:dyDescent="0.25">
      <c r="B27" s="291" t="s">
        <v>54</v>
      </c>
      <c r="C27" s="286">
        <v>87480</v>
      </c>
      <c r="D27" s="286">
        <v>5000</v>
      </c>
      <c r="E27" s="151">
        <v>5000</v>
      </c>
    </row>
    <row r="28" spans="2:5" x14ac:dyDescent="0.25">
      <c r="B28" s="291" t="s">
        <v>70</v>
      </c>
      <c r="C28" s="286">
        <v>28355</v>
      </c>
      <c r="D28" s="286">
        <v>75000</v>
      </c>
      <c r="E28" s="151">
        <v>75000</v>
      </c>
    </row>
    <row r="29" spans="2:5" x14ac:dyDescent="0.25">
      <c r="B29" s="290" t="s">
        <v>972</v>
      </c>
      <c r="C29" s="286"/>
      <c r="D29" s="286">
        <v>98006</v>
      </c>
      <c r="E29" s="151">
        <v>104947</v>
      </c>
    </row>
    <row r="30" spans="2:5" x14ac:dyDescent="0.25">
      <c r="B30" s="291" t="s">
        <v>973</v>
      </c>
      <c r="C30" s="286">
        <v>283121</v>
      </c>
      <c r="D30" s="286">
        <v>107000</v>
      </c>
      <c r="E30" s="151">
        <v>107000</v>
      </c>
    </row>
    <row r="31" spans="2:5" x14ac:dyDescent="0.25">
      <c r="B31" s="291" t="s">
        <v>71</v>
      </c>
      <c r="C31" s="286">
        <v>97612</v>
      </c>
      <c r="D31" s="286">
        <v>20000</v>
      </c>
      <c r="E31" s="151">
        <v>20000</v>
      </c>
    </row>
    <row r="32" spans="2:5" x14ac:dyDescent="0.25">
      <c r="B32" s="291" t="s">
        <v>974</v>
      </c>
      <c r="C32" s="286">
        <v>47</v>
      </c>
      <c r="D32" s="286">
        <v>61864</v>
      </c>
      <c r="E32" s="151">
        <v>61864</v>
      </c>
    </row>
    <row r="33" spans="2:11" x14ac:dyDescent="0.25">
      <c r="B33" s="291" t="s">
        <v>971</v>
      </c>
      <c r="C33" s="286">
        <v>51685</v>
      </c>
      <c r="D33" s="286">
        <v>3000</v>
      </c>
      <c r="E33" s="151">
        <v>3000</v>
      </c>
    </row>
    <row r="34" spans="2:11" x14ac:dyDescent="0.25">
      <c r="B34" s="291" t="s">
        <v>975</v>
      </c>
      <c r="C34" s="286"/>
      <c r="D34" s="286">
        <v>27000</v>
      </c>
      <c r="E34" s="151">
        <v>27000</v>
      </c>
      <c r="G34" s="869" t="str">
        <f>CONCATENATE("Desired Carryover Into ",E1+1,"")</f>
        <v>Desired Carryover Into 2016</v>
      </c>
      <c r="H34" s="870"/>
      <c r="I34" s="870"/>
      <c r="J34" s="871"/>
    </row>
    <row r="35" spans="2:11" x14ac:dyDescent="0.25">
      <c r="B35" s="291" t="s">
        <v>976</v>
      </c>
      <c r="C35" s="286">
        <v>3667</v>
      </c>
      <c r="D35" s="286">
        <v>3000</v>
      </c>
      <c r="E35" s="151">
        <v>3000</v>
      </c>
      <c r="G35" s="475"/>
      <c r="H35" s="54"/>
      <c r="I35" s="517"/>
      <c r="J35" s="476"/>
    </row>
    <row r="36" spans="2:11" x14ac:dyDescent="0.25">
      <c r="B36" s="290"/>
      <c r="C36" s="286"/>
      <c r="D36" s="286"/>
      <c r="E36" s="151"/>
      <c r="G36" s="477" t="s">
        <v>702</v>
      </c>
      <c r="H36" s="517"/>
      <c r="I36" s="517"/>
      <c r="J36" s="478">
        <v>0</v>
      </c>
    </row>
    <row r="37" spans="2:11" x14ac:dyDescent="0.25">
      <c r="B37" s="290"/>
      <c r="C37" s="286"/>
      <c r="D37" s="286"/>
      <c r="E37" s="151"/>
      <c r="G37" s="475" t="s">
        <v>703</v>
      </c>
      <c r="H37" s="54"/>
      <c r="I37" s="54"/>
      <c r="J37" s="684" t="str">
        <f>IF(J36=0,"",ROUND((J36+E50-G49)/inputOth!E11*1000,3)-G54)</f>
        <v/>
      </c>
    </row>
    <row r="38" spans="2:11" x14ac:dyDescent="0.25">
      <c r="B38" s="63" t="s">
        <v>56</v>
      </c>
      <c r="C38" s="286"/>
      <c r="D38" s="286"/>
      <c r="E38" s="151"/>
      <c r="G38" s="685" t="str">
        <f>CONCATENATE("",E1," Tot Exp/Non-Appr Must Be:")</f>
        <v>2015 Tot Exp/Non-Appr Must Be:</v>
      </c>
      <c r="H38" s="510"/>
      <c r="I38" s="681"/>
      <c r="J38" s="686">
        <f>IF(J36&gt;0,IF(E47&lt;E24,IF(J36=G49,E47,((J36-G49)*(1-D49))+E24),E47+(J36-G49)),0)</f>
        <v>0</v>
      </c>
    </row>
    <row r="39" spans="2:11" x14ac:dyDescent="0.25">
      <c r="B39" s="63" t="s">
        <v>704</v>
      </c>
      <c r="C39" s="363" t="str">
        <f>IF(C24*0.25&lt;C38,"Exceeds 25%","")</f>
        <v/>
      </c>
      <c r="D39" s="363" t="str">
        <f>IF(D24*0.25&lt;D38,"Exceeds 25%","")</f>
        <v/>
      </c>
      <c r="E39" s="296" t="str">
        <f>IF(E24*0.25+E50&lt;E38,"Exceeds 25%","")</f>
        <v/>
      </c>
      <c r="G39" s="687" t="s">
        <v>832</v>
      </c>
      <c r="H39" s="688"/>
      <c r="I39" s="688"/>
      <c r="J39" s="689">
        <f>IF(J36&gt;0,J38-E47,0)</f>
        <v>0</v>
      </c>
    </row>
    <row r="40" spans="2:11" x14ac:dyDescent="0.25">
      <c r="B40" s="289" t="s">
        <v>210</v>
      </c>
      <c r="C40" s="286"/>
      <c r="D40" s="286"/>
      <c r="E40" s="162" t="str">
        <f>nhood!E9</f>
        <v/>
      </c>
    </row>
    <row r="41" spans="2:11" x14ac:dyDescent="0.25">
      <c r="B41" s="289" t="s">
        <v>208</v>
      </c>
      <c r="C41" s="286"/>
      <c r="D41" s="286">
        <v>20000</v>
      </c>
      <c r="E41" s="151">
        <v>20000</v>
      </c>
      <c r="G41" s="869" t="str">
        <f>CONCATENATE("Projected Carryover Into ",E1+1,"")</f>
        <v>Projected Carryover Into 2016</v>
      </c>
      <c r="H41" s="870"/>
      <c r="I41" s="870"/>
      <c r="J41" s="871"/>
    </row>
    <row r="42" spans="2:11" x14ac:dyDescent="0.25">
      <c r="B42" s="289" t="s">
        <v>699</v>
      </c>
      <c r="C42" s="363" t="str">
        <f>IF(C43*0.1&lt;C41,"Exceed 10% Rule","")</f>
        <v/>
      </c>
      <c r="D42" s="363" t="str">
        <f>IF(D43*0.1&lt;D41,"Exceed 10% Rule","")</f>
        <v/>
      </c>
      <c r="E42" s="296" t="str">
        <f>IF(E43*0.1&lt;E41,"Exceed 10% Rule","")</f>
        <v/>
      </c>
      <c r="G42" s="474"/>
      <c r="H42" s="54"/>
      <c r="I42" s="54"/>
      <c r="J42" s="67"/>
    </row>
    <row r="43" spans="2:11" x14ac:dyDescent="0.25">
      <c r="B43" s="81" t="s">
        <v>266</v>
      </c>
      <c r="C43" s="364">
        <f>SUM(C26:C41)</f>
        <v>551967</v>
      </c>
      <c r="D43" s="364">
        <f>SUM(D26:D41)</f>
        <v>424070</v>
      </c>
      <c r="E43" s="295">
        <f>SUM(E26:E38,E41)</f>
        <v>431011</v>
      </c>
      <c r="G43" s="514">
        <f>D44</f>
        <v>0</v>
      </c>
      <c r="H43" s="515" t="str">
        <f>CONCATENATE("",E1-1," Ending Cash Balance (est.)")</f>
        <v>2014 Ending Cash Balance (est.)</v>
      </c>
      <c r="I43" s="516"/>
      <c r="J43" s="67"/>
    </row>
    <row r="44" spans="2:11" x14ac:dyDescent="0.25">
      <c r="B44" s="63" t="s">
        <v>62</v>
      </c>
      <c r="C44" s="365">
        <f>C24-C43</f>
        <v>697</v>
      </c>
      <c r="D44" s="365">
        <f>D24-D43</f>
        <v>0</v>
      </c>
      <c r="E44" s="288" t="s">
        <v>235</v>
      </c>
      <c r="G44" s="514">
        <f>E23</f>
        <v>60020</v>
      </c>
      <c r="H44" s="517" t="str">
        <f>CONCATENATE("",E1," Non-AV Receipts (est.)")</f>
        <v>2015 Non-AV Receipts (est.)</v>
      </c>
      <c r="I44" s="516"/>
      <c r="J44" s="67"/>
    </row>
    <row r="45" spans="2:11" x14ac:dyDescent="0.2">
      <c r="B45" s="98" t="str">
        <f>CONCATENATE("",E1-2,"/",E1-1,"/",E1," Budget Authority Amount:")</f>
        <v>2013/2014/2015 Budget Authority Amount:</v>
      </c>
      <c r="C45" s="724">
        <f>inputOth!B86</f>
        <v>443312</v>
      </c>
      <c r="D45" s="724">
        <f>inputPrYr!D23</f>
        <v>431512</v>
      </c>
      <c r="E45" s="239">
        <f>E43</f>
        <v>431011</v>
      </c>
      <c r="F45" s="297"/>
      <c r="G45" s="518">
        <f>IF(D49&gt;0,E48,E50)</f>
        <v>370991</v>
      </c>
      <c r="H45" s="517" t="str">
        <f>CONCATENATE("",E1," Ad Valorem Tax (est.)")</f>
        <v>2015 Ad Valorem Tax (est.)</v>
      </c>
      <c r="I45" s="516"/>
      <c r="J45" s="67"/>
      <c r="K45" s="690" t="str">
        <f>IF(G45=E50,"","Note: Does not include Delinquent Taxes")</f>
        <v/>
      </c>
    </row>
    <row r="46" spans="2:11" x14ac:dyDescent="0.25">
      <c r="B46" s="99"/>
      <c r="C46" s="859" t="s">
        <v>696</v>
      </c>
      <c r="D46" s="860"/>
      <c r="E46" s="151"/>
      <c r="F46" s="699" t="str">
        <f>IF(E43/0.95-E43&lt;E46,"Exceeds 5%","")</f>
        <v/>
      </c>
      <c r="G46" s="514">
        <f>SUM(G43:G45)</f>
        <v>431011</v>
      </c>
      <c r="H46" s="517" t="str">
        <f>CONCATENATE("Total ",E1," Resources Available")</f>
        <v>Total 2015 Resources Available</v>
      </c>
      <c r="I46" s="516"/>
      <c r="J46" s="67"/>
    </row>
    <row r="47" spans="2:11" x14ac:dyDescent="0.25">
      <c r="B47" s="470" t="str">
        <f>CONCATENATE(C72,"     ",D72)</f>
        <v xml:space="preserve">See Tab A     </v>
      </c>
      <c r="C47" s="861" t="s">
        <v>697</v>
      </c>
      <c r="D47" s="862"/>
      <c r="E47" s="239">
        <f>E43+E46</f>
        <v>431011</v>
      </c>
      <c r="G47" s="519"/>
      <c r="H47" s="517"/>
      <c r="I47" s="517"/>
      <c r="J47" s="67"/>
    </row>
    <row r="48" spans="2:11" x14ac:dyDescent="0.25">
      <c r="B48" s="470" t="str">
        <f>CONCATENATE(C73,"     ",D73)</f>
        <v xml:space="preserve">     </v>
      </c>
      <c r="C48" s="473"/>
      <c r="D48" s="472" t="s">
        <v>268</v>
      </c>
      <c r="E48" s="162">
        <f>IF(E47-E24&gt;0,E47-E24,0)</f>
        <v>370991</v>
      </c>
      <c r="G48" s="518">
        <f>ROUND(C43*0.05+C43,0)</f>
        <v>579565</v>
      </c>
      <c r="H48" s="517" t="str">
        <f>CONCATENATE("Less ",E1-2," Expenditures + 5%")</f>
        <v>Less 2013 Expenditures + 5%</v>
      </c>
      <c r="I48" s="516"/>
      <c r="J48" s="67"/>
    </row>
    <row r="49" spans="2:10" x14ac:dyDescent="0.25">
      <c r="B49" s="190"/>
      <c r="C49" s="471" t="s">
        <v>698</v>
      </c>
      <c r="D49" s="683">
        <f>inputOth!$E$77</f>
        <v>0</v>
      </c>
      <c r="E49" s="239">
        <f>ROUND(IF(D49&gt;0,(E48*D49),0),0)</f>
        <v>0</v>
      </c>
      <c r="G49" s="520">
        <f>G46-G48</f>
        <v>-148554</v>
      </c>
      <c r="H49" s="521" t="str">
        <f>CONCATENATE("Projected ",E1+1," Carryover (est.)")</f>
        <v>Projected 2016 Carryover (est.)</v>
      </c>
      <c r="I49" s="522"/>
      <c r="J49" s="523"/>
    </row>
    <row r="50" spans="2:10" x14ac:dyDescent="0.25">
      <c r="B50" s="48"/>
      <c r="C50" s="867" t="str">
        <f>CONCATENATE("Amount of  ",$E$1-1," Ad Valorem Tax")</f>
        <v>Amount of  2014 Ad Valorem Tax</v>
      </c>
      <c r="D50" s="868"/>
      <c r="E50" s="162">
        <f>E48+E49</f>
        <v>370991</v>
      </c>
    </row>
    <row r="51" spans="2:10" x14ac:dyDescent="0.2">
      <c r="B51" s="48"/>
      <c r="C51" s="48"/>
      <c r="D51" s="48"/>
      <c r="E51" s="48"/>
      <c r="G51" s="864" t="s">
        <v>833</v>
      </c>
      <c r="H51" s="865"/>
      <c r="I51" s="865"/>
      <c r="J51" s="866"/>
    </row>
    <row r="52" spans="2:10" x14ac:dyDescent="0.25">
      <c r="B52" s="48"/>
      <c r="C52" s="48"/>
      <c r="D52" s="48"/>
      <c r="E52" s="48"/>
      <c r="G52" s="691"/>
      <c r="H52" s="515"/>
      <c r="I52" s="682"/>
      <c r="J52" s="692"/>
    </row>
    <row r="53" spans="2:10" x14ac:dyDescent="0.25">
      <c r="B53" s="138" t="s">
        <v>270</v>
      </c>
      <c r="C53" s="184">
        <f>E1-2</f>
        <v>2013</v>
      </c>
      <c r="D53" s="48"/>
      <c r="E53" s="48"/>
      <c r="G53" s="693">
        <f>summ!H21</f>
        <v>15.535</v>
      </c>
      <c r="H53" s="515" t="str">
        <f>CONCATENATE("",E1," Fund Mill Rate")</f>
        <v>2015 Fund Mill Rate</v>
      </c>
      <c r="I53" s="682"/>
      <c r="J53" s="692"/>
    </row>
    <row r="54" spans="2:10" x14ac:dyDescent="0.25">
      <c r="B54" s="60" t="s">
        <v>271</v>
      </c>
      <c r="C54" s="62" t="s">
        <v>272</v>
      </c>
      <c r="D54" s="48"/>
      <c r="E54" s="48"/>
      <c r="G54" s="694">
        <f>summ!E21</f>
        <v>15.535</v>
      </c>
      <c r="H54" s="515" t="str">
        <f>CONCATENATE("",E1-1," Fund Mill Rate")</f>
        <v>2014 Fund Mill Rate</v>
      </c>
      <c r="I54" s="682"/>
      <c r="J54" s="692"/>
    </row>
    <row r="55" spans="2:10" x14ac:dyDescent="0.25">
      <c r="B55" s="87" t="s">
        <v>254</v>
      </c>
      <c r="C55" s="469">
        <v>0</v>
      </c>
      <c r="D55" s="48"/>
      <c r="E55" s="48"/>
      <c r="G55" s="695">
        <f>summ!H36</f>
        <v>17.475999999999999</v>
      </c>
      <c r="H55" s="515" t="str">
        <f>CONCATENATE("Total ",E1," Mill Rate")</f>
        <v>Total 2015 Mill Rate</v>
      </c>
      <c r="I55" s="682"/>
      <c r="J55" s="692"/>
    </row>
    <row r="56" spans="2:10" x14ac:dyDescent="0.25">
      <c r="B56" s="87" t="s">
        <v>273</v>
      </c>
      <c r="C56" s="311"/>
      <c r="D56" s="48"/>
      <c r="E56" s="48"/>
      <c r="G56" s="694">
        <f>summ!E36</f>
        <v>17.475999999999999</v>
      </c>
      <c r="H56" s="696" t="str">
        <f>CONCATENATE("Total ",E1-1," Mill Rate")</f>
        <v>Total 2014 Mill Rate</v>
      </c>
      <c r="I56" s="697"/>
      <c r="J56" s="698"/>
    </row>
    <row r="57" spans="2:10" x14ac:dyDescent="0.25">
      <c r="B57" s="87" t="s">
        <v>274</v>
      </c>
      <c r="C57" s="464">
        <f>IF(C38&gt;0,C38,0)</f>
        <v>0</v>
      </c>
      <c r="D57" s="302" t="str">
        <f>IF(C38&gt;(C24*0.25),"Exceeds 25% of Resources Available","")</f>
        <v/>
      </c>
      <c r="E57" s="48"/>
    </row>
    <row r="58" spans="2:10" x14ac:dyDescent="0.25">
      <c r="B58" s="87" t="s">
        <v>172</v>
      </c>
      <c r="C58" s="463">
        <f>IF(gen!C43&gt;0,gen!C43,0)</f>
        <v>0</v>
      </c>
      <c r="D58" s="872" t="str">
        <f>IF(AND(gen!C43&gt;0,gen!C45&gt;0),"Not Auth. Two General Transfers - Only One","")</f>
        <v/>
      </c>
      <c r="E58" s="48"/>
      <c r="G58" s="756" t="s">
        <v>932</v>
      </c>
      <c r="H58" s="710"/>
      <c r="I58" s="709" t="str">
        <f>cert!E41</f>
        <v>No</v>
      </c>
    </row>
    <row r="59" spans="2:10" x14ac:dyDescent="0.25">
      <c r="B59" s="87" t="s">
        <v>173</v>
      </c>
      <c r="C59" s="464">
        <f>IF(gen!C45&gt;0,gen!C45,0)</f>
        <v>5010</v>
      </c>
      <c r="D59" s="873"/>
      <c r="E59" s="48"/>
    </row>
    <row r="60" spans="2:10" x14ac:dyDescent="0.25">
      <c r="B60" s="153"/>
      <c r="C60" s="469"/>
      <c r="D60" s="48"/>
      <c r="E60" s="48"/>
    </row>
    <row r="61" spans="2:10" x14ac:dyDescent="0.25">
      <c r="B61" s="153" t="s">
        <v>262</v>
      </c>
      <c r="C61" s="469"/>
      <c r="D61" s="48"/>
      <c r="E61" s="48"/>
    </row>
    <row r="62" spans="2:10" x14ac:dyDescent="0.25">
      <c r="B62" s="153" t="s">
        <v>261</v>
      </c>
      <c r="C62" s="469"/>
      <c r="D62" s="48"/>
      <c r="E62" s="48"/>
    </row>
    <row r="63" spans="2:10" x14ac:dyDescent="0.25">
      <c r="B63" s="303" t="s">
        <v>264</v>
      </c>
      <c r="C63" s="462">
        <f>SUM(C55,C57:C62)</f>
        <v>5010</v>
      </c>
      <c r="D63" s="48"/>
      <c r="E63" s="48"/>
    </row>
    <row r="64" spans="2:10" x14ac:dyDescent="0.25">
      <c r="B64" s="303" t="s">
        <v>266</v>
      </c>
      <c r="C64" s="469"/>
      <c r="D64" s="48"/>
      <c r="E64" s="48"/>
    </row>
    <row r="65" spans="2:5" x14ac:dyDescent="0.25">
      <c r="B65" s="303" t="s">
        <v>267</v>
      </c>
      <c r="C65" s="462">
        <f>C63-C64</f>
        <v>5010</v>
      </c>
      <c r="D65" s="48"/>
      <c r="E65" s="48"/>
    </row>
    <row r="66" spans="2:5" x14ac:dyDescent="0.25">
      <c r="B66" s="48"/>
      <c r="C66" s="48"/>
      <c r="D66" s="48"/>
      <c r="E66" s="48"/>
    </row>
    <row r="67" spans="2:5" x14ac:dyDescent="0.25">
      <c r="B67" s="190" t="s">
        <v>249</v>
      </c>
      <c r="C67" s="305">
        <v>7</v>
      </c>
      <c r="D67" s="48"/>
      <c r="E67" s="48"/>
    </row>
    <row r="69" spans="2:5" x14ac:dyDescent="0.25">
      <c r="B69" s="91"/>
    </row>
    <row r="72" spans="2:5" hidden="1" x14ac:dyDescent="0.25">
      <c r="C72" s="137" t="str">
        <f>IF(C43&gt;C45,"See Tab A","")</f>
        <v>See Tab A</v>
      </c>
      <c r="D72" s="137" t="str">
        <f>IF(D43&gt;D45,"See Tab C","")</f>
        <v/>
      </c>
    </row>
    <row r="73" spans="2:5" hidden="1" x14ac:dyDescent="0.25">
      <c r="C73" s="137" t="str">
        <f>IF(C44&lt;0,"See Tab B","")</f>
        <v/>
      </c>
      <c r="D73" s="137" t="str">
        <f>IF(D44&lt;0,"See Tab D","")</f>
        <v/>
      </c>
    </row>
  </sheetData>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Pleasant Township</v>
      </c>
      <c r="C1" s="55" t="s">
        <v>275</v>
      </c>
      <c r="D1" s="48"/>
      <c r="E1" s="204">
        <f>inputPrYr!D9</f>
        <v>2015</v>
      </c>
    </row>
    <row r="2" spans="2:5" x14ac:dyDescent="0.25">
      <c r="B2" s="513" t="s">
        <v>738</v>
      </c>
      <c r="C2" s="48"/>
      <c r="D2" s="48"/>
      <c r="E2" s="306"/>
    </row>
    <row r="3" spans="2:5" x14ac:dyDescent="0.25">
      <c r="B3" s="48"/>
      <c r="C3" s="53"/>
      <c r="D3" s="53"/>
      <c r="E3" s="48"/>
    </row>
    <row r="4" spans="2:5" x14ac:dyDescent="0.25">
      <c r="B4" s="55" t="s">
        <v>250</v>
      </c>
      <c r="C4" s="359" t="s">
        <v>251</v>
      </c>
      <c r="D4" s="362" t="s">
        <v>252</v>
      </c>
      <c r="E4" s="57" t="s">
        <v>253</v>
      </c>
    </row>
    <row r="5" spans="2:5" x14ac:dyDescent="0.25">
      <c r="B5" s="455" t="str">
        <f>inputPrYr!B24</f>
        <v>Special Road</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IF(inputPrYr!H19&gt;0,inputPrYr!G24,inputPrYr!E24)</f>
        <v>0</v>
      </c>
      <c r="E8" s="288" t="s">
        <v>235</v>
      </c>
    </row>
    <row r="9" spans="2:5" x14ac:dyDescent="0.25">
      <c r="B9" s="63" t="s">
        <v>257</v>
      </c>
      <c r="C9" s="286"/>
      <c r="D9" s="286"/>
      <c r="E9" s="151"/>
    </row>
    <row r="10" spans="2:5" x14ac:dyDescent="0.25">
      <c r="B10" s="63" t="s">
        <v>258</v>
      </c>
      <c r="C10" s="286"/>
      <c r="D10" s="286"/>
      <c r="E10" s="239">
        <f>mvalloc!G15</f>
        <v>0</v>
      </c>
    </row>
    <row r="11" spans="2:5" x14ac:dyDescent="0.25">
      <c r="B11" s="63" t="s">
        <v>259</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nhood!E10</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summ!H22</f>
        <v xml:space="preserve"> </v>
      </c>
      <c r="H43" s="633" t="str">
        <f>CONCATENATE("",E1," Fund Mill Rate")</f>
        <v>2015 Fund Mill Rate</v>
      </c>
      <c r="I43" s="655"/>
      <c r="J43" s="656"/>
      <c r="K43" s="582"/>
    </row>
    <row r="44" spans="2:11" x14ac:dyDescent="0.25">
      <c r="B44" s="48"/>
      <c r="C44" s="359" t="s">
        <v>251</v>
      </c>
      <c r="D44" s="362" t="s">
        <v>252</v>
      </c>
      <c r="E44" s="57" t="s">
        <v>253</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17.475999999999999</v>
      </c>
      <c r="H45" s="633" t="str">
        <f>CONCATENATE("Total ",E1," Mill Rate")</f>
        <v>Total 2015 Mill Rate</v>
      </c>
      <c r="I45" s="655"/>
      <c r="J45" s="656"/>
      <c r="K45" s="582"/>
    </row>
    <row r="46" spans="2:11" x14ac:dyDescent="0.25">
      <c r="B46" s="63" t="s">
        <v>61</v>
      </c>
      <c r="C46" s="286"/>
      <c r="D46" s="361">
        <f>C74</f>
        <v>0</v>
      </c>
      <c r="E46" s="239">
        <f>D74</f>
        <v>0</v>
      </c>
      <c r="G46" s="658">
        <f>summ!E36</f>
        <v>17.475999999999999</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IF(inputPrYr!H19&gt;0,inputPrYr!G25,inputPrYr!E25)</f>
        <v>0</v>
      </c>
      <c r="E48" s="288" t="s">
        <v>235</v>
      </c>
      <c r="G48" s="757"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mvalloc!G16</f>
        <v>0</v>
      </c>
      <c r="G50" s="582"/>
      <c r="H50" s="582"/>
      <c r="I50" s="582"/>
      <c r="J50" s="582"/>
      <c r="K50" s="582"/>
    </row>
    <row r="51" spans="2:11" x14ac:dyDescent="0.25">
      <c r="B51" s="63" t="s">
        <v>259</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nhood!E11</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301"/>
      <c r="D81" s="48"/>
      <c r="E81" s="48"/>
      <c r="G81" s="851" t="s">
        <v>833</v>
      </c>
      <c r="H81" s="852"/>
      <c r="I81" s="852"/>
      <c r="J81" s="853"/>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17.475999999999999</v>
      </c>
      <c r="H89" s="633" t="str">
        <f>CONCATENATE("Total ",E1," Mill Rate")</f>
        <v>Total 2015 Mill Rate</v>
      </c>
      <c r="I89" s="655"/>
      <c r="J89" s="656"/>
    </row>
    <row r="90" spans="2:11" x14ac:dyDescent="0.25">
      <c r="G90" s="658">
        <f>summ!E36</f>
        <v>17.475999999999999</v>
      </c>
      <c r="H90" s="661" t="str">
        <f>CONCATENATE("Total ",E1-1," Mill Rate")</f>
        <v>Total 2014 Mill Rate</v>
      </c>
      <c r="I90" s="662"/>
      <c r="J90" s="663"/>
    </row>
    <row r="92" spans="2:11" x14ac:dyDescent="0.25">
      <c r="G92" s="758" t="s">
        <v>932</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workbookViewId="0">
      <selection activeCell="P134" sqref="P13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Pleasant Township</v>
      </c>
      <c r="C1" s="48"/>
      <c r="D1" s="48"/>
      <c r="E1" s="204">
        <f>inputPrYr!D9</f>
        <v>2015</v>
      </c>
    </row>
    <row r="2" spans="2:5" x14ac:dyDescent="0.25">
      <c r="B2" s="513" t="s">
        <v>738</v>
      </c>
      <c r="C2" s="48"/>
      <c r="D2" s="187"/>
      <c r="E2" s="307"/>
    </row>
    <row r="3" spans="2:5" x14ac:dyDescent="0.25">
      <c r="B3" s="48"/>
      <c r="C3" s="53"/>
      <c r="D3" s="53"/>
      <c r="E3" s="53"/>
    </row>
    <row r="4" spans="2:5" x14ac:dyDescent="0.25">
      <c r="B4" s="55" t="s">
        <v>250</v>
      </c>
      <c r="C4" s="359" t="s">
        <v>251</v>
      </c>
      <c r="D4" s="362" t="s">
        <v>252</v>
      </c>
      <c r="E4" s="57" t="s">
        <v>253</v>
      </c>
    </row>
    <row r="5" spans="2:5" x14ac:dyDescent="0.25">
      <c r="B5" s="455" t="str">
        <f>inputPrYr!B26</f>
        <v>Fire Protection</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IF(inputPrYr!H19&gt;0,inputPrYr!G26,inputPrYr!E26)</f>
        <v>0</v>
      </c>
      <c r="E8" s="288" t="s">
        <v>235</v>
      </c>
    </row>
    <row r="9" spans="2:5" x14ac:dyDescent="0.25">
      <c r="B9" s="63" t="s">
        <v>257</v>
      </c>
      <c r="C9" s="286"/>
      <c r="D9" s="286"/>
      <c r="E9" s="151"/>
    </row>
    <row r="10" spans="2:5" x14ac:dyDescent="0.25">
      <c r="B10" s="63" t="s">
        <v>258</v>
      </c>
      <c r="C10" s="286"/>
      <c r="D10" s="286"/>
      <c r="E10" s="239">
        <f>mvalloc!G17</f>
        <v>0</v>
      </c>
    </row>
    <row r="11" spans="2:5" x14ac:dyDescent="0.25">
      <c r="B11" s="63" t="s">
        <v>259</v>
      </c>
      <c r="C11" s="286"/>
      <c r="D11" s="286"/>
      <c r="E11" s="239">
        <f>mvalloc!I17</f>
        <v>0</v>
      </c>
    </row>
    <row r="12" spans="2:5" x14ac:dyDescent="0.25">
      <c r="B12" s="63" t="s">
        <v>51</v>
      </c>
      <c r="C12" s="286"/>
      <c r="D12" s="286"/>
      <c r="E12" s="239">
        <f>mvalloc!J17</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nhood!E12</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0</v>
      </c>
      <c r="D35" s="724">
        <f>inputPrYr!$D26</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summ!H24</f>
        <v xml:space="preserve"> </v>
      </c>
      <c r="H43" s="633" t="str">
        <f>CONCATENATE("",E1," Fund Mill Rate")</f>
        <v>2015 Fund Mill Rate</v>
      </c>
      <c r="I43" s="655"/>
      <c r="J43" s="656"/>
      <c r="K43" s="582"/>
    </row>
    <row r="44" spans="2:11" x14ac:dyDescent="0.25">
      <c r="B44" s="48"/>
      <c r="C44" s="359" t="s">
        <v>251</v>
      </c>
      <c r="D44" s="362" t="s">
        <v>252</v>
      </c>
      <c r="E44" s="57" t="s">
        <v>253</v>
      </c>
      <c r="G44" s="658" t="str">
        <f>summ!E24</f>
        <v xml:space="preserve">  </v>
      </c>
      <c r="H44" s="633" t="str">
        <f>CONCATENATE("",E1-1," Fund Mill Rate")</f>
        <v>2014 Fund Mill Rate</v>
      </c>
      <c r="I44" s="655"/>
      <c r="J44" s="656"/>
      <c r="K44" s="582"/>
    </row>
    <row r="45" spans="2:11" x14ac:dyDescent="0.25">
      <c r="B45" s="456">
        <f>inputPrYr!B27</f>
        <v>0</v>
      </c>
      <c r="C45" s="360" t="str">
        <f>C5</f>
        <v>Actual for 2013</v>
      </c>
      <c r="D45" s="360" t="str">
        <f>D5</f>
        <v>Estimate for 2014</v>
      </c>
      <c r="E45" s="62" t="str">
        <f>E5</f>
        <v>Year for 2015</v>
      </c>
      <c r="G45" s="660">
        <f>summ!H36</f>
        <v>17.475999999999999</v>
      </c>
      <c r="H45" s="633" t="str">
        <f>CONCATENATE("Total ",E1," Mill Rate")</f>
        <v>Total 2015 Mill Rate</v>
      </c>
      <c r="I45" s="655"/>
      <c r="J45" s="656"/>
      <c r="K45" s="582"/>
    </row>
    <row r="46" spans="2:11" x14ac:dyDescent="0.25">
      <c r="B46" s="63" t="s">
        <v>61</v>
      </c>
      <c r="C46" s="286"/>
      <c r="D46" s="361">
        <f>C74</f>
        <v>0</v>
      </c>
      <c r="E46" s="239">
        <f>D74</f>
        <v>0</v>
      </c>
      <c r="G46" s="658">
        <f>summ!E36</f>
        <v>17.475999999999999</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IF(inputPrYr!H19&gt;0,inputPrYr!G27,inputPrYr!E27)</f>
        <v>0</v>
      </c>
      <c r="E48" s="288" t="s">
        <v>235</v>
      </c>
      <c r="G48" s="759"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mvalloc!G18</f>
        <v>0</v>
      </c>
      <c r="G50" s="582"/>
      <c r="H50" s="582"/>
      <c r="I50" s="582"/>
      <c r="J50" s="582"/>
      <c r="K50" s="582"/>
    </row>
    <row r="51" spans="2:11" x14ac:dyDescent="0.25">
      <c r="B51" s="63" t="s">
        <v>259</v>
      </c>
      <c r="C51" s="286"/>
      <c r="D51" s="286"/>
      <c r="E51" s="239">
        <f>mvalloc!I18</f>
        <v>0</v>
      </c>
      <c r="G51" s="582"/>
      <c r="H51" s="582"/>
      <c r="I51" s="582"/>
      <c r="J51" s="582"/>
      <c r="K51" s="582"/>
    </row>
    <row r="52" spans="2:11" x14ac:dyDescent="0.25">
      <c r="B52" s="63" t="s">
        <v>51</v>
      </c>
      <c r="C52" s="286"/>
      <c r="D52" s="286"/>
      <c r="E52" s="239">
        <f>mvalloc!J18</f>
        <v>0</v>
      </c>
      <c r="G52" s="582"/>
      <c r="H52" s="582"/>
      <c r="I52" s="582"/>
      <c r="J52" s="582"/>
      <c r="K52" s="582"/>
    </row>
    <row r="53" spans="2:11" x14ac:dyDescent="0.25">
      <c r="B53" s="291"/>
      <c r="C53" s="286"/>
      <c r="D53" s="286"/>
      <c r="E53" s="151"/>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nhood!E13</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0</v>
      </c>
      <c r="D75" s="545">
        <f>inputPrYr!$D27</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32">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301"/>
      <c r="D81" s="48"/>
      <c r="E81" s="48"/>
      <c r="G81" s="851" t="s">
        <v>833</v>
      </c>
      <c r="H81" s="852"/>
      <c r="I81" s="852"/>
      <c r="J81" s="853"/>
      <c r="K81" s="582"/>
    </row>
    <row r="82" spans="2:11" x14ac:dyDescent="0.25">
      <c r="B82" s="95"/>
      <c r="G82" s="654"/>
      <c r="H82" s="633"/>
      <c r="I82" s="655"/>
      <c r="J82" s="656"/>
      <c r="K82" s="582"/>
    </row>
    <row r="83" spans="2:11" x14ac:dyDescent="0.25">
      <c r="G83" s="657" t="str">
        <f>summ!H25</f>
        <v xml:space="preserve"> </v>
      </c>
      <c r="H83" s="633" t="str">
        <f>CONCATENATE("",E1," Fund Mill Rate")</f>
        <v>2015 Fund Mill Rate</v>
      </c>
      <c r="I83" s="655"/>
      <c r="J83" s="656"/>
      <c r="K83" s="582"/>
    </row>
    <row r="84" spans="2:11" x14ac:dyDescent="0.25">
      <c r="G84" s="658" t="str">
        <f>summ!E25</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17.475999999999999</v>
      </c>
      <c r="H89" s="633" t="str">
        <f>CONCATENATE("Total ",E1," Mill Rate")</f>
        <v>Total 2015 Mill Rate</v>
      </c>
      <c r="I89" s="655"/>
      <c r="J89" s="656"/>
    </row>
    <row r="90" spans="2:11" x14ac:dyDescent="0.25">
      <c r="G90" s="658">
        <f>summ!E36</f>
        <v>17.475999999999999</v>
      </c>
      <c r="H90" s="661" t="str">
        <f>CONCATENATE("Total ",E1-1," Mill Rate")</f>
        <v>Total 2014 Mill Rate</v>
      </c>
      <c r="I90" s="662"/>
      <c r="J90" s="663"/>
    </row>
    <row r="92" spans="2:11" x14ac:dyDescent="0.25">
      <c r="G92" s="760" t="s">
        <v>932</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Pleasant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inputPrYr!B28</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IF(inputPrYr!H19&gt;0,inputPrYr!G28,inputPrYr!E28)</f>
        <v>0</v>
      </c>
      <c r="E8" s="288" t="s">
        <v>235</v>
      </c>
    </row>
    <row r="9" spans="2:5" x14ac:dyDescent="0.25">
      <c r="B9" s="63" t="s">
        <v>257</v>
      </c>
      <c r="C9" s="286"/>
      <c r="D9" s="286"/>
      <c r="E9" s="151"/>
    </row>
    <row r="10" spans="2:5" x14ac:dyDescent="0.25">
      <c r="B10" s="63" t="s">
        <v>258</v>
      </c>
      <c r="C10" s="286"/>
      <c r="D10" s="286"/>
      <c r="E10" s="239">
        <f>mvalloc!G19</f>
        <v>0</v>
      </c>
    </row>
    <row r="11" spans="2:5" x14ac:dyDescent="0.25">
      <c r="B11" s="63" t="s">
        <v>259</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nhood!E14</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summ!H26</f>
        <v xml:space="preserve"> </v>
      </c>
      <c r="H43" s="633" t="str">
        <f>CONCATENATE("",E1," Fund Mill Rate")</f>
        <v>2015 Fund Mill Rate</v>
      </c>
      <c r="I43" s="655"/>
      <c r="J43" s="656"/>
      <c r="K43" s="582"/>
    </row>
    <row r="44" spans="2:11" x14ac:dyDescent="0.25">
      <c r="B44" s="48"/>
      <c r="C44" s="359" t="s">
        <v>251</v>
      </c>
      <c r="D44" s="362" t="s">
        <v>252</v>
      </c>
      <c r="E44" s="57" t="s">
        <v>253</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17.475999999999999</v>
      </c>
      <c r="H45" s="633" t="str">
        <f>CONCATENATE("Total ",E1," Mill Rate")</f>
        <v>Total 2015 Mill Rate</v>
      </c>
      <c r="I45" s="655"/>
      <c r="J45" s="656"/>
      <c r="K45" s="582"/>
    </row>
    <row r="46" spans="2:11" x14ac:dyDescent="0.25">
      <c r="B46" s="63" t="s">
        <v>61</v>
      </c>
      <c r="C46" s="286"/>
      <c r="D46" s="361">
        <f>C74</f>
        <v>0</v>
      </c>
      <c r="E46" s="239">
        <f>D74</f>
        <v>0</v>
      </c>
      <c r="G46" s="658">
        <f>summ!E36</f>
        <v>17.475999999999999</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IF(inputPrYr!H19&gt;0,inputPrYr!G29,inputPrYr!E29)</f>
        <v>0</v>
      </c>
      <c r="E48" s="288" t="s">
        <v>235</v>
      </c>
      <c r="G48" s="761"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mvalloc!G20</f>
        <v>0</v>
      </c>
      <c r="G50" s="582"/>
      <c r="H50" s="582"/>
      <c r="I50" s="582"/>
      <c r="J50" s="582"/>
      <c r="K50" s="582"/>
    </row>
    <row r="51" spans="2:11" x14ac:dyDescent="0.25">
      <c r="B51" s="63" t="s">
        <v>259</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nhood!E15</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191"/>
      <c r="D81" s="48"/>
      <c r="E81" s="48"/>
      <c r="G81" s="851" t="s">
        <v>833</v>
      </c>
      <c r="H81" s="852"/>
      <c r="I81" s="852"/>
      <c r="J81" s="853"/>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17.475999999999999</v>
      </c>
      <c r="H89" s="633" t="str">
        <f>CONCATENATE("Total ",E1," Mill Rate")</f>
        <v>Total 2015 Mill Rate</v>
      </c>
      <c r="I89" s="655"/>
      <c r="J89" s="656"/>
    </row>
    <row r="90" spans="2:11" x14ac:dyDescent="0.25">
      <c r="G90" s="658">
        <f>summ!E36</f>
        <v>17.475999999999999</v>
      </c>
      <c r="H90" s="661" t="str">
        <f>CONCATENATE("Total ",E1-1," Mill Rate")</f>
        <v>Total 2014 Mill Rate</v>
      </c>
      <c r="I90" s="662"/>
      <c r="J90" s="663"/>
    </row>
    <row r="92" spans="2:11" x14ac:dyDescent="0.25">
      <c r="G92" s="762" t="s">
        <v>932</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Pleasant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inputPrYr!B30</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IF(inputPrYr!H19&gt;0,inputPrYr!G30,inputPrYr!E30)</f>
        <v>0</v>
      </c>
      <c r="E8" s="288" t="s">
        <v>235</v>
      </c>
    </row>
    <row r="9" spans="2:5" x14ac:dyDescent="0.25">
      <c r="B9" s="63" t="s">
        <v>257</v>
      </c>
      <c r="C9" s="286"/>
      <c r="D9" s="286"/>
      <c r="E9" s="151"/>
    </row>
    <row r="10" spans="2:5" x14ac:dyDescent="0.25">
      <c r="B10" s="63" t="s">
        <v>258</v>
      </c>
      <c r="C10" s="286"/>
      <c r="D10" s="286"/>
      <c r="E10" s="239">
        <f>mvalloc!G21</f>
        <v>0</v>
      </c>
    </row>
    <row r="11" spans="2:5" x14ac:dyDescent="0.25">
      <c r="B11" s="63" t="s">
        <v>259</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54" t="str">
        <f>CONCATENATE("Desired Carryover Into ",E1+1,"")</f>
        <v>Desired Carryover Into 2016</v>
      </c>
      <c r="H24" s="855"/>
      <c r="I24" s="855"/>
      <c r="J24" s="856"/>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nhood!E16</f>
        <v/>
      </c>
      <c r="G30" s="582"/>
      <c r="H30" s="582"/>
      <c r="I30" s="582"/>
      <c r="J30" s="582"/>
      <c r="K30" s="582"/>
    </row>
    <row r="31" spans="2:11" x14ac:dyDescent="0.25">
      <c r="B31" s="289" t="s">
        <v>208</v>
      </c>
      <c r="C31" s="286"/>
      <c r="D31" s="286"/>
      <c r="E31" s="151"/>
      <c r="G31" s="854" t="str">
        <f>CONCATENATE("Projected Carryover Into ",E1+1,"")</f>
        <v>Projected Carryover Into 2016</v>
      </c>
      <c r="H31" s="857"/>
      <c r="I31" s="857"/>
      <c r="J31" s="858"/>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9" t="s">
        <v>696</v>
      </c>
      <c r="D36" s="860"/>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61" t="s">
        <v>697</v>
      </c>
      <c r="D37" s="862"/>
      <c r="E37" s="239">
        <f>E33+E36</f>
        <v>0</v>
      </c>
      <c r="G37" s="643"/>
      <c r="H37" s="616"/>
      <c r="I37" s="616"/>
      <c r="J37" s="629"/>
      <c r="K37" s="582"/>
    </row>
    <row r="38" spans="2:11" x14ac:dyDescent="0.25">
      <c r="B38" s="470" t="str">
        <f>CONCATENATE(C86,"     ",D86)</f>
        <v xml:space="preserve">     </v>
      </c>
      <c r="C38" s="473"/>
      <c r="D38" s="472" t="s">
        <v>268</v>
      </c>
      <c r="E38" s="162">
        <f>IF(E37-E21&gt;0,E37-E21,0)</f>
        <v>0</v>
      </c>
      <c r="G38" s="639">
        <f>ROUND(C33*0.05+C33,0)</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67" t="str">
        <f>CONCATENATE("Amount of  ",$E$1-1," Ad Valorem Tax")</f>
        <v>Amount of  2014 Ad Valorem Tax</v>
      </c>
      <c r="D40" s="868"/>
      <c r="E40" s="162">
        <f>E38+E39</f>
        <v>0</v>
      </c>
      <c r="G40" s="582"/>
      <c r="H40" s="582"/>
      <c r="I40" s="582"/>
      <c r="J40" s="582"/>
      <c r="K40" s="582"/>
    </row>
    <row r="41" spans="2:11" x14ac:dyDescent="0.25">
      <c r="B41" s="48"/>
      <c r="C41" s="529"/>
      <c r="D41" s="48"/>
      <c r="E41" s="48"/>
      <c r="G41" s="851" t="s">
        <v>833</v>
      </c>
      <c r="H41" s="852"/>
      <c r="I41" s="852"/>
      <c r="J41" s="853"/>
      <c r="K41" s="582"/>
    </row>
    <row r="42" spans="2:11" x14ac:dyDescent="0.25">
      <c r="B42" s="48"/>
      <c r="C42" s="529"/>
      <c r="D42" s="48"/>
      <c r="E42" s="48"/>
      <c r="G42" s="654"/>
      <c r="H42" s="633"/>
      <c r="I42" s="655"/>
      <c r="J42" s="656"/>
      <c r="K42" s="582"/>
    </row>
    <row r="43" spans="2:11" x14ac:dyDescent="0.25">
      <c r="B43" s="55" t="s">
        <v>250</v>
      </c>
      <c r="C43" s="53"/>
      <c r="D43" s="53"/>
      <c r="E43" s="53"/>
      <c r="G43" s="657" t="str">
        <f>summ!H28</f>
        <v xml:space="preserve"> </v>
      </c>
      <c r="H43" s="633" t="str">
        <f>CONCATENATE("",E1," Fund Mill Rate")</f>
        <v>2015 Fund Mill Rate</v>
      </c>
      <c r="I43" s="655"/>
      <c r="J43" s="656"/>
      <c r="K43" s="582"/>
    </row>
    <row r="44" spans="2:11" x14ac:dyDescent="0.25">
      <c r="B44" s="48"/>
      <c r="C44" s="359" t="s">
        <v>251</v>
      </c>
      <c r="D44" s="362" t="s">
        <v>252</v>
      </c>
      <c r="E44" s="57" t="s">
        <v>253</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17.475999999999999</v>
      </c>
      <c r="H45" s="633" t="str">
        <f>CONCATENATE("Total ",E1," Mill Rate")</f>
        <v>Total 2015 Mill Rate</v>
      </c>
      <c r="I45" s="655"/>
      <c r="J45" s="656"/>
      <c r="K45" s="582"/>
    </row>
    <row r="46" spans="2:11" x14ac:dyDescent="0.25">
      <c r="B46" s="63" t="s">
        <v>61</v>
      </c>
      <c r="C46" s="286"/>
      <c r="D46" s="361">
        <f>C74</f>
        <v>0</v>
      </c>
      <c r="E46" s="239">
        <f>D74</f>
        <v>0</v>
      </c>
      <c r="G46" s="658">
        <f>summ!E36</f>
        <v>17.475999999999999</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IF(inputPrYr!H19&gt;0,inputPrYr!G31,inputPrYr!E31)</f>
        <v>0</v>
      </c>
      <c r="E48" s="288" t="s">
        <v>235</v>
      </c>
      <c r="G48" s="763"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mvalloc!G22</f>
        <v>0</v>
      </c>
      <c r="G50" s="582"/>
      <c r="H50" s="582"/>
      <c r="I50" s="582"/>
      <c r="J50" s="582"/>
      <c r="K50" s="582"/>
    </row>
    <row r="51" spans="2:11" x14ac:dyDescent="0.25">
      <c r="B51" s="63" t="s">
        <v>259</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54" t="str">
        <f>CONCATENATE("Desired Carryover Into ",E1+1,"")</f>
        <v>Desired Carryover Into 2016</v>
      </c>
      <c r="H64" s="855"/>
      <c r="I64" s="855"/>
      <c r="J64" s="856"/>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nhood!E17</f>
        <v/>
      </c>
      <c r="G70" s="582"/>
      <c r="H70" s="582"/>
      <c r="I70" s="582"/>
      <c r="J70" s="582"/>
      <c r="K70" s="582"/>
    </row>
    <row r="71" spans="2:11" x14ac:dyDescent="0.25">
      <c r="B71" s="289" t="s">
        <v>208</v>
      </c>
      <c r="C71" s="286"/>
      <c r="D71" s="286"/>
      <c r="E71" s="151"/>
      <c r="G71" s="854" t="str">
        <f>CONCATENATE("Projected Carryover Into ",E1+1,"")</f>
        <v>Projected Carryover Into 2016</v>
      </c>
      <c r="H71" s="863"/>
      <c r="I71" s="863"/>
      <c r="J71" s="858"/>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9" t="s">
        <v>696</v>
      </c>
      <c r="D76" s="860"/>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61" t="s">
        <v>697</v>
      </c>
      <c r="D77" s="862"/>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67" t="str">
        <f>CONCATENATE("Amount of  ",$E$1-1," Ad Valorem Tax")</f>
        <v>Amount of  2014 Ad Valorem Tax</v>
      </c>
      <c r="D80" s="868"/>
      <c r="E80" s="162">
        <f>E78+E79</f>
        <v>0</v>
      </c>
      <c r="G80" s="582"/>
      <c r="H80" s="582"/>
      <c r="I80" s="582"/>
      <c r="J80" s="582"/>
      <c r="K80" s="582"/>
    </row>
    <row r="81" spans="2:11" x14ac:dyDescent="0.25">
      <c r="B81" s="190" t="s">
        <v>249</v>
      </c>
      <c r="C81" s="191"/>
      <c r="D81" s="48"/>
      <c r="E81" s="48"/>
      <c r="G81" s="851" t="s">
        <v>833</v>
      </c>
      <c r="H81" s="852"/>
      <c r="I81" s="852"/>
      <c r="J81" s="853"/>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17.475999999999999</v>
      </c>
      <c r="H89" s="633" t="str">
        <f>CONCATENATE("Total ",E1," Mill Rate")</f>
        <v>Total 2015 Mill Rate</v>
      </c>
      <c r="I89" s="655"/>
      <c r="J89" s="656"/>
    </row>
    <row r="90" spans="2:11" x14ac:dyDescent="0.25">
      <c r="G90" s="658">
        <f>summ!E36</f>
        <v>17.475999999999999</v>
      </c>
      <c r="H90" s="661" t="str">
        <f>CONCATENATE("Total ",E1-1," Mill Rate")</f>
        <v>Total 2014 Mill Rate</v>
      </c>
      <c r="I90" s="662"/>
      <c r="J90" s="663"/>
    </row>
    <row r="92" spans="2:11" x14ac:dyDescent="0.25">
      <c r="G92" s="764" t="s">
        <v>932</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topLeftCell="A52" workbookViewId="0">
      <selection activeCell="E70" sqref="E70"/>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125</v>
      </c>
      <c r="B1" s="48"/>
      <c r="C1" s="48"/>
      <c r="D1" s="48"/>
      <c r="E1" s="48"/>
    </row>
    <row r="2" spans="1:8" x14ac:dyDescent="0.25">
      <c r="A2" s="138" t="s">
        <v>205</v>
      </c>
      <c r="B2" s="48"/>
      <c r="C2" s="48"/>
      <c r="D2" s="48"/>
      <c r="E2" s="48"/>
    </row>
    <row r="3" spans="1:8" x14ac:dyDescent="0.25">
      <c r="A3" s="138" t="s">
        <v>203</v>
      </c>
      <c r="B3" s="48"/>
      <c r="C3" s="48"/>
      <c r="D3" s="713" t="s">
        <v>959</v>
      </c>
      <c r="E3" s="54"/>
    </row>
    <row r="4" spans="1:8" x14ac:dyDescent="0.25">
      <c r="A4" s="138" t="s">
        <v>204</v>
      </c>
      <c r="B4" s="48"/>
      <c r="C4" s="48"/>
      <c r="D4" s="713" t="s">
        <v>960</v>
      </c>
      <c r="E4" s="54"/>
    </row>
    <row r="5" spans="1:8" x14ac:dyDescent="0.25">
      <c r="A5" s="48"/>
      <c r="B5" s="48"/>
      <c r="C5" s="48"/>
      <c r="D5" s="48"/>
      <c r="E5" s="48"/>
    </row>
    <row r="6" spans="1:8" x14ac:dyDescent="0.25">
      <c r="A6" s="139" t="s">
        <v>126</v>
      </c>
      <c r="B6" s="48"/>
      <c r="C6" s="48"/>
      <c r="D6" s="160" t="s">
        <v>961</v>
      </c>
      <c r="E6" s="48"/>
    </row>
    <row r="7" spans="1:8" x14ac:dyDescent="0.25">
      <c r="A7" s="139" t="s">
        <v>127</v>
      </c>
      <c r="B7" s="48"/>
      <c r="C7" s="48"/>
      <c r="D7" s="160"/>
      <c r="E7" s="48"/>
    </row>
    <row r="8" spans="1:8" x14ac:dyDescent="0.25">
      <c r="A8" s="48"/>
      <c r="B8" s="48"/>
      <c r="C8" s="48"/>
      <c r="D8" s="48"/>
      <c r="E8" s="48"/>
    </row>
    <row r="9" spans="1:8" x14ac:dyDescent="0.25">
      <c r="A9" s="139" t="s">
        <v>77</v>
      </c>
      <c r="B9" s="48"/>
      <c r="C9" s="48"/>
      <c r="D9" s="140">
        <v>2015</v>
      </c>
      <c r="E9" s="48"/>
    </row>
    <row r="10" spans="1:8" x14ac:dyDescent="0.25">
      <c r="A10" s="48"/>
      <c r="B10" s="48"/>
      <c r="C10" s="48"/>
      <c r="D10" s="48"/>
      <c r="E10" s="48"/>
    </row>
    <row r="11" spans="1:8" x14ac:dyDescent="0.25">
      <c r="A11" s="141" t="s">
        <v>79</v>
      </c>
      <c r="B11" s="142"/>
      <c r="C11" s="142"/>
      <c r="D11" s="142"/>
      <c r="E11" s="142"/>
      <c r="F11" s="48"/>
      <c r="G11" s="788" t="s">
        <v>774</v>
      </c>
      <c r="H11" s="789"/>
    </row>
    <row r="12" spans="1:8" x14ac:dyDescent="0.25">
      <c r="A12" s="141" t="s">
        <v>143</v>
      </c>
      <c r="B12" s="142"/>
      <c r="C12" s="142"/>
      <c r="D12" s="142"/>
      <c r="E12" s="142"/>
      <c r="F12" s="48"/>
      <c r="G12" s="790"/>
      <c r="H12" s="789"/>
    </row>
    <row r="13" spans="1:8" x14ac:dyDescent="0.25">
      <c r="A13" s="48"/>
      <c r="B13" s="48"/>
      <c r="C13" s="48"/>
      <c r="D13" s="48"/>
      <c r="E13" s="48"/>
      <c r="F13" s="48"/>
      <c r="G13" s="790"/>
      <c r="H13" s="789"/>
    </row>
    <row r="14" spans="1:8" x14ac:dyDescent="0.25">
      <c r="A14" s="786" t="s">
        <v>87</v>
      </c>
      <c r="B14" s="787"/>
      <c r="C14" s="787"/>
      <c r="D14" s="787"/>
      <c r="E14" s="787"/>
      <c r="F14" s="48"/>
      <c r="G14" s="790"/>
      <c r="H14" s="789"/>
    </row>
    <row r="15" spans="1:8" x14ac:dyDescent="0.25">
      <c r="A15" s="138"/>
      <c r="B15" s="48"/>
      <c r="C15" s="48"/>
      <c r="D15" s="48"/>
      <c r="E15" s="48"/>
      <c r="F15" s="48"/>
      <c r="G15" s="790"/>
      <c r="H15" s="789"/>
    </row>
    <row r="16" spans="1:8" x14ac:dyDescent="0.25">
      <c r="A16" s="143" t="s">
        <v>78</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299</v>
      </c>
      <c r="B18" s="147"/>
      <c r="C18" s="51"/>
      <c r="D18" s="148">
        <f>D9-1</f>
        <v>2014</v>
      </c>
      <c r="E18" s="148">
        <f>D9-2</f>
        <v>2013</v>
      </c>
      <c r="G18" s="208" t="s">
        <v>775</v>
      </c>
      <c r="H18" s="71" t="s">
        <v>269</v>
      </c>
    </row>
    <row r="19" spans="1:8" x14ac:dyDescent="0.25">
      <c r="A19" s="55" t="s">
        <v>217</v>
      </c>
      <c r="B19" s="48"/>
      <c r="C19" s="149" t="s">
        <v>216</v>
      </c>
      <c r="D19" s="150" t="s">
        <v>329</v>
      </c>
      <c r="E19" s="150" t="s">
        <v>256</v>
      </c>
      <c r="G19" s="210" t="str">
        <f>CONCATENATE("",E18," Ad Valorem Tax")</f>
        <v>2013 Ad Valorem Tax</v>
      </c>
      <c r="H19" s="553">
        <v>0</v>
      </c>
    </row>
    <row r="20" spans="1:8" x14ac:dyDescent="0.25">
      <c r="A20" s="48"/>
      <c r="B20" s="87" t="s">
        <v>218</v>
      </c>
      <c r="C20" s="66" t="s">
        <v>219</v>
      </c>
      <c r="D20" s="151">
        <v>102223</v>
      </c>
      <c r="E20" s="151">
        <v>76454</v>
      </c>
      <c r="G20" s="239">
        <f>IF(H19&gt;0,ROUND(E20-(E20*H19),0),0)</f>
        <v>0</v>
      </c>
    </row>
    <row r="21" spans="1:8" x14ac:dyDescent="0.25">
      <c r="A21" s="48"/>
      <c r="B21" s="87" t="s">
        <v>290</v>
      </c>
      <c r="C21" s="66" t="s">
        <v>84</v>
      </c>
      <c r="D21" s="151"/>
      <c r="E21" s="151"/>
      <c r="G21" s="239">
        <f>IF(H19&gt;0,ROUND(E21-(E21*H19),0),0)</f>
        <v>0</v>
      </c>
    </row>
    <row r="22" spans="1:8" x14ac:dyDescent="0.25">
      <c r="A22" s="48"/>
      <c r="B22" s="87" t="s">
        <v>747</v>
      </c>
      <c r="C22" s="66" t="s">
        <v>748</v>
      </c>
      <c r="D22" s="151"/>
      <c r="E22" s="151"/>
      <c r="G22" s="239">
        <f>IF(H19&gt;0,ROUND(E22-(E22*H19),0),0)</f>
        <v>0</v>
      </c>
    </row>
    <row r="23" spans="1:8" x14ac:dyDescent="0.25">
      <c r="A23" s="48"/>
      <c r="B23" s="87" t="s">
        <v>220</v>
      </c>
      <c r="C23" s="152" t="s">
        <v>206</v>
      </c>
      <c r="D23" s="151">
        <v>431512</v>
      </c>
      <c r="E23" s="151">
        <v>363051</v>
      </c>
      <c r="G23" s="239">
        <f>IF(H19&gt;0,ROUND(E23-(E23*H19),0),0)</f>
        <v>0</v>
      </c>
    </row>
    <row r="24" spans="1:8" x14ac:dyDescent="0.25">
      <c r="A24" s="48"/>
      <c r="B24" s="87" t="s">
        <v>297</v>
      </c>
      <c r="C24" s="71" t="s">
        <v>298</v>
      </c>
      <c r="D24" s="151"/>
      <c r="E24" s="151"/>
      <c r="G24" s="239">
        <f>IF(H19&gt;0,ROUND(E24-(E24*H19),0),0)</f>
        <v>0</v>
      </c>
    </row>
    <row r="25" spans="1:8" x14ac:dyDescent="0.25">
      <c r="A25" s="48"/>
      <c r="B25" s="87" t="s">
        <v>158</v>
      </c>
      <c r="C25" s="71" t="s">
        <v>159</v>
      </c>
      <c r="D25" s="151"/>
      <c r="E25" s="151"/>
      <c r="G25" s="239">
        <f>IF(H19&gt;0,ROUND(E25-(E25*H19),0),0)</f>
        <v>0</v>
      </c>
    </row>
    <row r="26" spans="1:8" x14ac:dyDescent="0.25">
      <c r="A26" s="48"/>
      <c r="B26" s="186" t="s">
        <v>357</v>
      </c>
      <c r="C26" s="71" t="s">
        <v>358</v>
      </c>
      <c r="D26" s="151"/>
      <c r="E26" s="151"/>
      <c r="G26" s="239">
        <f>IF(H19&gt;0,ROUND(E26-(E26*H19),0),0)</f>
        <v>0</v>
      </c>
    </row>
    <row r="27" spans="1:8" x14ac:dyDescent="0.25">
      <c r="A27" s="48"/>
      <c r="B27" s="153"/>
      <c r="C27" s="454"/>
      <c r="D27" s="151"/>
      <c r="E27" s="151"/>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439505</v>
      </c>
    </row>
    <row r="33" spans="1:5" x14ac:dyDescent="0.25">
      <c r="A33" s="54"/>
      <c r="B33" s="54"/>
      <c r="C33" s="54"/>
      <c r="D33" s="158"/>
      <c r="E33" s="159"/>
    </row>
    <row r="34" spans="1:5" x14ac:dyDescent="0.25">
      <c r="A34" s="48" t="s">
        <v>73</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533735</v>
      </c>
      <c r="E39" s="48"/>
    </row>
    <row r="40" spans="1:5" x14ac:dyDescent="0.25">
      <c r="A40" s="90" t="s">
        <v>324</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78</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1.944</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16.02</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c r="E55" s="48"/>
    </row>
    <row r="56" spans="1:5" x14ac:dyDescent="0.25">
      <c r="A56" s="48"/>
      <c r="B56" s="87">
        <f t="shared" si="0"/>
        <v>0</v>
      </c>
      <c r="C56" s="48"/>
      <c r="D56" s="165"/>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17.963999999999999</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440310</v>
      </c>
    </row>
    <row r="64" spans="1:5" x14ac:dyDescent="0.25">
      <c r="A64" s="168" t="str">
        <f>CONCATENATE("Assessed Valuation (",D9-2," budget column):")</f>
        <v>Assessed Valuation (2013 budget column):</v>
      </c>
      <c r="B64" s="144"/>
      <c r="C64" s="48"/>
      <c r="D64" s="48"/>
      <c r="E64" s="714">
        <v>38571678</v>
      </c>
    </row>
    <row r="65" spans="1:5" x14ac:dyDescent="0.25">
      <c r="A65" s="48"/>
      <c r="B65" s="48"/>
      <c r="C65" s="48"/>
      <c r="D65" s="48"/>
      <c r="E65" s="169"/>
    </row>
    <row r="66" spans="1:5" x14ac:dyDescent="0.25">
      <c r="A66" s="170" t="s">
        <v>144</v>
      </c>
      <c r="B66" s="170"/>
      <c r="C66" s="171"/>
      <c r="D66" s="172">
        <f>D9-3</f>
        <v>2012</v>
      </c>
      <c r="E66" s="172">
        <f>D9-2</f>
        <v>2013</v>
      </c>
    </row>
    <row r="67" spans="1:5" x14ac:dyDescent="0.25">
      <c r="A67" s="170" t="s">
        <v>93</v>
      </c>
      <c r="B67" s="170"/>
      <c r="C67" s="173"/>
      <c r="D67" s="161"/>
      <c r="E67" s="161"/>
    </row>
    <row r="68" spans="1:5" x14ac:dyDescent="0.25">
      <c r="A68" s="174" t="s">
        <v>140</v>
      </c>
      <c r="B68" s="174"/>
      <c r="C68" s="175"/>
      <c r="D68" s="161"/>
      <c r="E68" s="161"/>
    </row>
    <row r="69" spans="1:5" x14ac:dyDescent="0.25">
      <c r="A69" s="174" t="s">
        <v>94</v>
      </c>
      <c r="B69" s="174"/>
      <c r="C69" s="175"/>
      <c r="D69" s="161">
        <v>245000</v>
      </c>
      <c r="E69" s="161">
        <v>236647</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Pleasant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455">
        <f>inputPrYr!B35</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304">
        <f>C6+C15</f>
        <v>0</v>
      </c>
      <c r="D16" s="304">
        <f>D6+D15</f>
        <v>0</v>
      </c>
      <c r="E16" s="304">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456">
        <f>inputPrYr!B36</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249</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Pleasant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158">
        <f>inputPrYr!B37</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295">
        <f>C6+C15</f>
        <v>0</v>
      </c>
      <c r="D16" s="295">
        <f>D6+D15</f>
        <v>0</v>
      </c>
      <c r="E16" s="295">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219">
        <f>inputPrYr!B38</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700</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Pleasant Township</v>
      </c>
      <c r="B1" s="100"/>
      <c r="C1" s="94"/>
      <c r="D1" s="94"/>
      <c r="E1" s="94"/>
      <c r="F1" s="101" t="s">
        <v>312</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313</v>
      </c>
      <c r="B3" s="94"/>
      <c r="C3" s="94"/>
      <c r="D3" s="94"/>
      <c r="E3" s="94"/>
      <c r="F3" s="100"/>
      <c r="G3" s="94"/>
      <c r="H3" s="94"/>
      <c r="I3" s="94"/>
      <c r="J3" s="94"/>
      <c r="K3" s="94"/>
    </row>
    <row r="4" spans="1:11" x14ac:dyDescent="0.25">
      <c r="A4" s="94" t="s">
        <v>314</v>
      </c>
      <c r="B4" s="94"/>
      <c r="C4" s="94" t="s">
        <v>315</v>
      </c>
      <c r="D4" s="94"/>
      <c r="E4" s="94" t="s">
        <v>316</v>
      </c>
      <c r="F4" s="100"/>
      <c r="G4" s="94" t="s">
        <v>317</v>
      </c>
      <c r="H4" s="94"/>
      <c r="I4" s="94" t="s">
        <v>318</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319</v>
      </c>
      <c r="B6" s="107"/>
      <c r="C6" s="108" t="s">
        <v>319</v>
      </c>
      <c r="D6" s="109"/>
      <c r="E6" s="108" t="s">
        <v>319</v>
      </c>
      <c r="F6" s="110"/>
      <c r="G6" s="108" t="s">
        <v>319</v>
      </c>
      <c r="H6" s="104"/>
      <c r="I6" s="108" t="s">
        <v>319</v>
      </c>
      <c r="J6" s="94"/>
      <c r="K6" s="111" t="s">
        <v>221</v>
      </c>
    </row>
    <row r="7" spans="1:11" x14ac:dyDescent="0.25">
      <c r="A7" s="112" t="s">
        <v>320</v>
      </c>
      <c r="B7" s="113"/>
      <c r="C7" s="114" t="s">
        <v>320</v>
      </c>
      <c r="D7" s="113"/>
      <c r="E7" s="114" t="s">
        <v>320</v>
      </c>
      <c r="F7" s="113"/>
      <c r="G7" s="114" t="s">
        <v>320</v>
      </c>
      <c r="H7" s="113"/>
      <c r="I7" s="114" t="s">
        <v>320</v>
      </c>
      <c r="J7" s="113"/>
      <c r="K7" s="115">
        <f>SUM(B7+D7+F7+H7+J7)</f>
        <v>0</v>
      </c>
    </row>
    <row r="8" spans="1:11" x14ac:dyDescent="0.25">
      <c r="A8" s="116" t="s">
        <v>63</v>
      </c>
      <c r="B8" s="117"/>
      <c r="C8" s="116" t="s">
        <v>63</v>
      </c>
      <c r="D8" s="118"/>
      <c r="E8" s="116" t="s">
        <v>63</v>
      </c>
      <c r="F8" s="100"/>
      <c r="G8" s="116" t="s">
        <v>63</v>
      </c>
      <c r="H8" s="94"/>
      <c r="I8" s="116" t="s">
        <v>63</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263</v>
      </c>
      <c r="B17" s="115">
        <f>SUM(B9:B16)</f>
        <v>0</v>
      </c>
      <c r="C17" s="116" t="s">
        <v>263</v>
      </c>
      <c r="D17" s="115">
        <f>SUM(D9:D16)</f>
        <v>0</v>
      </c>
      <c r="E17" s="116" t="s">
        <v>263</v>
      </c>
      <c r="F17" s="129">
        <f>SUM(F9:F16)</f>
        <v>0</v>
      </c>
      <c r="G17" s="116" t="s">
        <v>263</v>
      </c>
      <c r="H17" s="115">
        <f>SUM(H9:H16)</f>
        <v>0</v>
      </c>
      <c r="I17" s="116" t="s">
        <v>263</v>
      </c>
      <c r="J17" s="115">
        <f>SUM(J9:J16)</f>
        <v>0</v>
      </c>
      <c r="K17" s="115">
        <f>SUM(B17+D17+F17+H17+J17)</f>
        <v>0</v>
      </c>
    </row>
    <row r="18" spans="1:12" x14ac:dyDescent="0.25">
      <c r="A18" s="116" t="s">
        <v>264</v>
      </c>
      <c r="B18" s="115">
        <f>SUM(B7+B17)</f>
        <v>0</v>
      </c>
      <c r="C18" s="116" t="s">
        <v>264</v>
      </c>
      <c r="D18" s="115">
        <f>SUM(D7+D17)</f>
        <v>0</v>
      </c>
      <c r="E18" s="116" t="s">
        <v>264</v>
      </c>
      <c r="F18" s="115">
        <f>SUM(F7+F17)</f>
        <v>0</v>
      </c>
      <c r="G18" s="116" t="s">
        <v>264</v>
      </c>
      <c r="H18" s="115">
        <f>SUM(H7+H17)</f>
        <v>0</v>
      </c>
      <c r="I18" s="116" t="s">
        <v>264</v>
      </c>
      <c r="J18" s="115">
        <f>SUM(J7+J17)</f>
        <v>0</v>
      </c>
      <c r="K18" s="115">
        <f>SUM(B18+D18+F18+H18+J18)</f>
        <v>0</v>
      </c>
    </row>
    <row r="19" spans="1:12" x14ac:dyDescent="0.25">
      <c r="A19" s="116" t="s">
        <v>265</v>
      </c>
      <c r="B19" s="117"/>
      <c r="C19" s="116" t="s">
        <v>265</v>
      </c>
      <c r="D19" s="118"/>
      <c r="E19" s="116" t="s">
        <v>265</v>
      </c>
      <c r="F19" s="100"/>
      <c r="G19" s="116" t="s">
        <v>265</v>
      </c>
      <c r="H19" s="94"/>
      <c r="I19" s="116" t="s">
        <v>265</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266</v>
      </c>
      <c r="B28" s="115">
        <f>SUM(B20:B27)</f>
        <v>0</v>
      </c>
      <c r="C28" s="116" t="s">
        <v>266</v>
      </c>
      <c r="D28" s="115">
        <f>SUM(D20:D27)</f>
        <v>0</v>
      </c>
      <c r="E28" s="116" t="s">
        <v>266</v>
      </c>
      <c r="F28" s="129">
        <f>SUM(F20:F27)</f>
        <v>0</v>
      </c>
      <c r="G28" s="116" t="s">
        <v>266</v>
      </c>
      <c r="H28" s="129">
        <f>SUM(H20:H27)</f>
        <v>0</v>
      </c>
      <c r="I28" s="116" t="s">
        <v>266</v>
      </c>
      <c r="J28" s="115">
        <f>SUM(J20:J27)</f>
        <v>0</v>
      </c>
      <c r="K28" s="115">
        <f>SUM(B28+D28+F28+H28+J28)</f>
        <v>0</v>
      </c>
    </row>
    <row r="29" spans="1:12" x14ac:dyDescent="0.25">
      <c r="A29" s="116" t="s">
        <v>321</v>
      </c>
      <c r="B29" s="115">
        <f>SUM(B18-B28)</f>
        <v>0</v>
      </c>
      <c r="C29" s="116" t="s">
        <v>321</v>
      </c>
      <c r="D29" s="115">
        <f>SUM(D18-D28)</f>
        <v>0</v>
      </c>
      <c r="E29" s="116" t="s">
        <v>321</v>
      </c>
      <c r="F29" s="115">
        <f>SUM(F18-F28)</f>
        <v>0</v>
      </c>
      <c r="G29" s="116" t="s">
        <v>321</v>
      </c>
      <c r="H29" s="115">
        <f>SUM(H18-H28)</f>
        <v>0</v>
      </c>
      <c r="I29" s="116" t="s">
        <v>321</v>
      </c>
      <c r="J29" s="115">
        <f>SUM(J18-J28)</f>
        <v>0</v>
      </c>
      <c r="K29" s="130">
        <f>SUM(B29+D29+F29+H29+J29)</f>
        <v>0</v>
      </c>
      <c r="L29" s="95" t="s">
        <v>322</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322</v>
      </c>
    </row>
    <row r="31" spans="1:12" x14ac:dyDescent="0.25">
      <c r="A31" s="94"/>
      <c r="B31" s="131"/>
      <c r="C31" s="94"/>
      <c r="D31" s="100"/>
      <c r="E31" s="94"/>
      <c r="F31" s="94"/>
      <c r="G31" s="132" t="s">
        <v>323</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249</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330</v>
      </c>
    </row>
    <row r="2" spans="1:1" ht="53.25" customHeight="1" x14ac:dyDescent="0.25">
      <c r="A2" s="196" t="s">
        <v>331</v>
      </c>
    </row>
    <row r="3" spans="1:1" x14ac:dyDescent="0.25">
      <c r="A3" s="331"/>
    </row>
    <row r="4" spans="1:1" ht="58.5" customHeight="1" x14ac:dyDescent="0.25">
      <c r="A4" s="196" t="s">
        <v>332</v>
      </c>
    </row>
    <row r="5" spans="1:1" x14ac:dyDescent="0.25">
      <c r="A5" s="95"/>
    </row>
    <row r="6" spans="1:1" ht="55.5" customHeight="1" x14ac:dyDescent="0.25">
      <c r="A6" s="196" t="s">
        <v>333</v>
      </c>
    </row>
    <row r="7" spans="1:1" x14ac:dyDescent="0.25">
      <c r="A7" s="331"/>
    </row>
    <row r="8" spans="1:1" ht="42.75" customHeight="1" x14ac:dyDescent="0.25">
      <c r="A8" s="196" t="s">
        <v>334</v>
      </c>
    </row>
    <row r="9" spans="1:1" x14ac:dyDescent="0.25">
      <c r="A9" s="95"/>
    </row>
    <row r="10" spans="1:1" ht="31.5" x14ac:dyDescent="0.25">
      <c r="A10" s="196" t="s">
        <v>335</v>
      </c>
    </row>
    <row r="11" spans="1:1" x14ac:dyDescent="0.25">
      <c r="A11" s="331"/>
    </row>
    <row r="12" spans="1:1" ht="69.75" customHeight="1" x14ac:dyDescent="0.25">
      <c r="A12" s="196" t="s">
        <v>336</v>
      </c>
    </row>
    <row r="13" spans="1:1" x14ac:dyDescent="0.25">
      <c r="A13" s="331"/>
    </row>
    <row r="14" spans="1:1" ht="40.5" customHeight="1" x14ac:dyDescent="0.25">
      <c r="A14" s="196" t="s">
        <v>337</v>
      </c>
    </row>
    <row r="15" spans="1:1" x14ac:dyDescent="0.25">
      <c r="A15" s="95"/>
    </row>
    <row r="16" spans="1:1" ht="56.25" customHeight="1" x14ac:dyDescent="0.25">
      <c r="A16" s="196" t="s">
        <v>338</v>
      </c>
    </row>
    <row r="17" spans="1:1" x14ac:dyDescent="0.25">
      <c r="A17" s="331"/>
    </row>
    <row r="18" spans="1:1" ht="54.75" customHeight="1" x14ac:dyDescent="0.25">
      <c r="A18" s="196" t="s">
        <v>339</v>
      </c>
    </row>
    <row r="19" spans="1:1" x14ac:dyDescent="0.25">
      <c r="A19" s="331"/>
    </row>
    <row r="20" spans="1:1" ht="55.5" customHeight="1" x14ac:dyDescent="0.25">
      <c r="A20" s="196" t="s">
        <v>340</v>
      </c>
    </row>
    <row r="21" spans="1:1" x14ac:dyDescent="0.25">
      <c r="A21" s="331"/>
    </row>
    <row r="22" spans="1:1" ht="76.5" customHeight="1" x14ac:dyDescent="0.25">
      <c r="A22" s="196" t="s">
        <v>341</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topLeftCell="A22" workbookViewId="0">
      <selection activeCell="E36" sqref="E36"/>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09"/>
      <c r="C2" s="809"/>
      <c r="D2" s="809"/>
      <c r="E2" s="809"/>
      <c r="F2" s="809"/>
      <c r="G2" s="809"/>
      <c r="H2" s="809"/>
    </row>
    <row r="3" spans="1:9" x14ac:dyDescent="0.25">
      <c r="A3" s="48"/>
      <c r="B3" s="48"/>
      <c r="C3" s="48"/>
      <c r="D3" s="48"/>
      <c r="E3" s="48"/>
      <c r="F3" s="55" t="s">
        <v>277</v>
      </c>
      <c r="G3" s="55" t="s">
        <v>278</v>
      </c>
      <c r="H3" s="48"/>
    </row>
    <row r="4" spans="1:9" x14ac:dyDescent="0.25">
      <c r="A4" s="820" t="s">
        <v>279</v>
      </c>
      <c r="B4" s="820"/>
      <c r="C4" s="820"/>
      <c r="D4" s="820"/>
      <c r="E4" s="820"/>
      <c r="F4" s="820"/>
      <c r="G4" s="820"/>
      <c r="H4" s="820"/>
    </row>
    <row r="5" spans="1:9" x14ac:dyDescent="0.25">
      <c r="A5" s="822" t="str">
        <f>inputPrYr!D3</f>
        <v>Pleasant Township</v>
      </c>
      <c r="B5" s="822"/>
      <c r="C5" s="822"/>
      <c r="D5" s="822"/>
      <c r="E5" s="822"/>
      <c r="F5" s="822"/>
      <c r="G5" s="822"/>
      <c r="H5" s="822"/>
    </row>
    <row r="6" spans="1:9" x14ac:dyDescent="0.25">
      <c r="A6" s="822" t="str">
        <f>inputPrYr!D4</f>
        <v>Butler County</v>
      </c>
      <c r="B6" s="822"/>
      <c r="C6" s="822"/>
      <c r="D6" s="822"/>
      <c r="E6" s="822"/>
      <c r="F6" s="822"/>
      <c r="G6" s="822"/>
      <c r="H6" s="822"/>
    </row>
    <row r="7" spans="1:9" x14ac:dyDescent="0.25">
      <c r="A7" s="889" t="str">
        <f>CONCATENATE("will meet on ",inputBudSum!B8," at ",inputBudSum!B10," at ",inputBudSum!B12," for the purpose of hearing and")</f>
        <v>will meet on August 13, 2014 at 6:30 p.m. at Fire District #3 at 911 N. Rose Hill Rd., Rose Hill for the purpose of hearing and</v>
      </c>
      <c r="B7" s="889"/>
      <c r="C7" s="889"/>
      <c r="D7" s="889"/>
      <c r="E7" s="889"/>
      <c r="F7" s="889"/>
      <c r="G7" s="889"/>
      <c r="H7" s="889"/>
    </row>
    <row r="8" spans="1:9" x14ac:dyDescent="0.25">
      <c r="A8" s="820" t="s">
        <v>381</v>
      </c>
      <c r="B8" s="821"/>
      <c r="C8" s="821"/>
      <c r="D8" s="821"/>
      <c r="E8" s="821"/>
      <c r="F8" s="821"/>
      <c r="G8" s="821"/>
      <c r="H8" s="821"/>
    </row>
    <row r="9" spans="1:9" x14ac:dyDescent="0.25">
      <c r="A9" s="830" t="str">
        <f>CONCATENATE("Detailed budget information is available at ",inputBudSum!B15," and will be available at this hearing.")</f>
        <v>Detailed budget information is available at Julie Winslow's residence at 15644 SW Mulberry Rd., Rose Hill and will be available at this hearing.</v>
      </c>
      <c r="B9" s="809"/>
      <c r="C9" s="809"/>
      <c r="D9" s="809"/>
      <c r="E9" s="809"/>
      <c r="F9" s="809"/>
      <c r="G9" s="809"/>
      <c r="H9" s="809"/>
    </row>
    <row r="10" spans="1:9" x14ac:dyDescent="0.25">
      <c r="A10" s="833" t="s">
        <v>24</v>
      </c>
      <c r="B10" s="821"/>
      <c r="C10" s="821"/>
      <c r="D10" s="821"/>
      <c r="E10" s="821"/>
      <c r="F10" s="821"/>
      <c r="G10" s="821"/>
      <c r="H10" s="821"/>
    </row>
    <row r="11" spans="1:9" x14ac:dyDescent="0.25">
      <c r="A11" s="820" t="str">
        <f>CONCATENATE("Proposed Budget ",H1," Expenditures and Amount of ",H1-1," Ad Valorem Tax establish the maximum limits")</f>
        <v>Proposed Budget 2015 Expenditures and Amount of 2014 Ad Valorem Tax establish the maximum limits</v>
      </c>
      <c r="B11" s="821"/>
      <c r="C11" s="821"/>
      <c r="D11" s="821"/>
      <c r="E11" s="821"/>
      <c r="F11" s="821"/>
      <c r="G11" s="821"/>
      <c r="H11" s="821"/>
    </row>
    <row r="12" spans="1:9" x14ac:dyDescent="0.25">
      <c r="A12" s="820" t="str">
        <f>CONCATENATE("of the ",H1," budget.  Estimated Tax Rate is subject to change depending on the final assessed valuation.")</f>
        <v>of the 2015 budget.  Estimated Tax Rate is subject to change depending on the final assessed valuation.</v>
      </c>
      <c r="B12" s="821"/>
      <c r="C12" s="821"/>
      <c r="D12" s="821"/>
      <c r="E12" s="821"/>
      <c r="F12" s="821"/>
      <c r="G12" s="821"/>
      <c r="H12" s="821"/>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272</v>
      </c>
      <c r="D15" s="57"/>
      <c r="E15" s="57" t="s">
        <v>272</v>
      </c>
      <c r="F15" s="185"/>
      <c r="G15" s="824" t="str">
        <f>CONCATENATE("Amount of ",H1-1," Ad Valorem Tax")</f>
        <v>Amount of 2014 Ad Valorem Tax</v>
      </c>
      <c r="H15" s="57" t="s">
        <v>280</v>
      </c>
      <c r="I15" s="178"/>
    </row>
    <row r="16" spans="1:9" x14ac:dyDescent="0.25">
      <c r="A16" s="58"/>
      <c r="B16" s="59"/>
      <c r="C16" s="59" t="s">
        <v>281</v>
      </c>
      <c r="D16" s="59"/>
      <c r="E16" s="59" t="s">
        <v>281</v>
      </c>
      <c r="F16" s="466" t="s">
        <v>153</v>
      </c>
      <c r="G16" s="887"/>
      <c r="H16" s="59" t="s">
        <v>281</v>
      </c>
      <c r="I16" s="178"/>
    </row>
    <row r="17" spans="1:13" x14ac:dyDescent="0.25">
      <c r="A17" s="62" t="s">
        <v>231</v>
      </c>
      <c r="B17" s="62" t="s">
        <v>282</v>
      </c>
      <c r="C17" s="62" t="s">
        <v>283</v>
      </c>
      <c r="D17" s="62" t="s">
        <v>282</v>
      </c>
      <c r="E17" s="62" t="s">
        <v>283</v>
      </c>
      <c r="F17" s="465" t="s">
        <v>695</v>
      </c>
      <c r="G17" s="888"/>
      <c r="H17" s="62" t="s">
        <v>283</v>
      </c>
      <c r="I17" s="178"/>
      <c r="J17" s="493"/>
    </row>
    <row r="18" spans="1:13" x14ac:dyDescent="0.25">
      <c r="A18" s="73" t="str">
        <f>inputPrYr!B20</f>
        <v>General</v>
      </c>
      <c r="B18" s="73">
        <f>IF(gen!$C$50&lt;&gt;0,gen!$C$50,"  ")</f>
        <v>72915</v>
      </c>
      <c r="C18" s="76">
        <f>IF(inputPrYr!D49&gt;0,inputPrYr!D49,"  ")</f>
        <v>1.944</v>
      </c>
      <c r="D18" s="73">
        <f>IF(gen!$D$50&lt;&gt;0,gen!$D$50,"  ")</f>
        <v>102223</v>
      </c>
      <c r="E18" s="76">
        <f>IF(inputOth!D37&gt;0,inputOth!D37,"  ")</f>
        <v>1.9410000000000001</v>
      </c>
      <c r="F18" s="73">
        <f>IF(gen!$E$50&lt;&gt;0,gen!$E$50,"  ")</f>
        <v>123000</v>
      </c>
      <c r="G18" s="73">
        <f>IF(gen!$E$57&lt;&gt;0,gen!$E$57,"")</f>
        <v>77257</v>
      </c>
      <c r="H18" s="76">
        <f>IF(gen!E57&gt;0,ROUND(G18/F40*1000,3)," ")</f>
        <v>1.9410000000000001</v>
      </c>
      <c r="I18" s="178"/>
      <c r="J18" s="493"/>
    </row>
    <row r="19" spans="1:13" x14ac:dyDescent="0.25">
      <c r="A19" s="73" t="s">
        <v>290</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551967</v>
      </c>
      <c r="C21" s="76">
        <f>IF(inputPrYr!D52&gt;0,inputPrYr!D52,"  ")</f>
        <v>16.02</v>
      </c>
      <c r="D21" s="73">
        <f>IF(road!$D$43&lt;&gt;0,road!$D$43,"  ")</f>
        <v>424070</v>
      </c>
      <c r="E21" s="76">
        <f>IF(inputOth!D40&gt;0,inputOth!D40,"  ")</f>
        <v>15.535</v>
      </c>
      <c r="F21" s="73">
        <f>IF(road!$E$43&lt;&gt;0,road!$E$43,"  ")</f>
        <v>431011</v>
      </c>
      <c r="G21" s="73">
        <f>IF(road!$E$50&lt;&gt;0,road!$E$50,"  ")</f>
        <v>370991</v>
      </c>
      <c r="H21" s="76">
        <f>IF(road!E50&gt;0,ROUND(G21/F41*1000,3)," ")</f>
        <v>15.535</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IF(levypage10!$C$33&lt;&gt;0,levypage10!$C$33,"  ")</f>
        <v xml:space="preserve">  </v>
      </c>
      <c r="C24" s="76" t="str">
        <f>IF(inputPrYr!D55&gt;0,inputPrYr!D55,"  ")</f>
        <v xml:space="preserve">  </v>
      </c>
      <c r="D24" s="73" t="str">
        <f>IF(levypage10!$D$33&lt;&gt;0,levypage10!$D$33,"  ")</f>
        <v xml:space="preserve">  </v>
      </c>
      <c r="E24" s="76" t="str">
        <f>IF(inputOth!D43&gt;0,inputOth!D43,"  ")</f>
        <v xml:space="preserve">  </v>
      </c>
      <c r="F24" s="73" t="str">
        <f>IF(levypage10!$E$33&lt;&gt;0,levypage10!$E$33,"  ")</f>
        <v xml:space="preserve">  </v>
      </c>
      <c r="G24" s="73" t="str">
        <f>IF(levypage10!$E$40&lt;&gt;0,levypage10!$E$40,"  ")</f>
        <v xml:space="preserve">  </v>
      </c>
      <c r="H24" s="76" t="str">
        <f>IF(levypage10!E40&gt;0,ROUND(G24/F41*1000,3)," ")</f>
        <v xml:space="preserve"> </v>
      </c>
      <c r="J24" s="877" t="str">
        <f>CONCATENATE("Estimated Value Of One Mill For ",H1,"")</f>
        <v>Estimated Value Of One Mill For 2015</v>
      </c>
      <c r="K24" s="882"/>
      <c r="L24" s="882"/>
      <c r="M24" s="883"/>
    </row>
    <row r="25" spans="1:13" x14ac:dyDescent="0.25">
      <c r="A25" s="73" t="str">
        <f>IF(inputPrYr!$B27&gt;"  ",inputPrYr!$B27,"  ")</f>
        <v xml:space="preserve">  </v>
      </c>
      <c r="B25" s="73" t="str">
        <f>IF(levypage10!$C$73&lt;&gt;0,levypage10!$C$73,"  ")</f>
        <v xml:space="preserve">  </v>
      </c>
      <c r="C25" s="76" t="str">
        <f>IF(inputPrYr!D56&gt;0,inputPrYr!D56,"  ")</f>
        <v xml:space="preserve">  </v>
      </c>
      <c r="D25" s="73" t="str">
        <f>IF(levypage10!$D$73&lt;&gt;0,levypage10!$D$73,"  ")</f>
        <v xml:space="preserve">  </v>
      </c>
      <c r="E25" s="76" t="str">
        <f>IF(inputOth!D44&gt;0,inputOth!D44,"  ")</f>
        <v xml:space="preserve">  </v>
      </c>
      <c r="F25" s="73" t="str">
        <f>IF(levypage10!$E$73&lt;&gt;0,levypage10!$E$73,"  ")</f>
        <v xml:space="preserve">  </v>
      </c>
      <c r="G25" s="73" t="str">
        <f>IF(levypage10!$E$80&lt;&gt;0,levypage10!$E$80,"  ")</f>
        <v xml:space="preserve">  </v>
      </c>
      <c r="H25" s="76" t="str">
        <f>IF(levypage10!E80&gt;0,ROUND(G25/F40*1000,3)," ")</f>
        <v xml:space="preserve"> </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707</v>
      </c>
      <c r="K26" s="54"/>
      <c r="L26" s="54"/>
      <c r="M26" s="489">
        <f>ROUND(F40/1000,0)</f>
        <v>39803</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708</v>
      </c>
      <c r="K27" s="13"/>
      <c r="L27" s="13"/>
      <c r="M27" s="489">
        <f>ROUND(F41/1000,0)</f>
        <v>23880</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77" t="str">
        <f>CONCATENATE("Want The Mill Rate The Same As For ",H1-1,"?")</f>
        <v>Want The Mill Rate The Same As For 2014?</v>
      </c>
      <c r="K29" s="878"/>
      <c r="L29" s="878"/>
      <c r="M29" s="879"/>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17.475999999999999</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714</v>
      </c>
      <c r="K33" s="484"/>
      <c r="L33" s="484"/>
      <c r="M33" s="483">
        <f>M45*-1</f>
        <v>-11</v>
      </c>
    </row>
    <row r="34" spans="1:15" x14ac:dyDescent="0.25">
      <c r="A34" s="73" t="str">
        <f>IF((inputPrYr!$B41&gt;"  "),(nonbud!$A3),"  ")</f>
        <v xml:space="preserve">  </v>
      </c>
      <c r="B34" s="700" t="str">
        <f>IF((nonbud!$K$28)&lt;&gt;0,(nonbud!$K$28),"  ")</f>
        <v xml:space="preserve">  </v>
      </c>
      <c r="C34" s="311"/>
      <c r="D34" s="73"/>
      <c r="E34" s="76"/>
      <c r="F34" s="73"/>
      <c r="G34" s="73"/>
      <c r="H34" s="76"/>
      <c r="J34" s="482" t="s">
        <v>715</v>
      </c>
      <c r="K34" s="479"/>
      <c r="L34" s="479"/>
      <c r="M34" s="481">
        <f>M46*-1</f>
        <v>0</v>
      </c>
    </row>
    <row r="35" spans="1:15" ht="16.5" thickBot="1" x14ac:dyDescent="0.3">
      <c r="A35" s="87" t="s">
        <v>233</v>
      </c>
      <c r="B35" s="448" t="str">
        <f>IF(road!C64&lt;&gt;0,road!C64,"  ")</f>
        <v xml:space="preserve">  </v>
      </c>
      <c r="C35" s="449"/>
      <c r="D35" s="449"/>
      <c r="E35" s="449"/>
      <c r="F35" s="449"/>
      <c r="G35" s="449"/>
      <c r="H35" s="449"/>
      <c r="J35" s="480"/>
      <c r="K35" s="480"/>
      <c r="L35" s="480"/>
      <c r="M35" s="480"/>
    </row>
    <row r="36" spans="1:15" x14ac:dyDescent="0.25">
      <c r="A36" s="87" t="s">
        <v>234</v>
      </c>
      <c r="B36" s="446">
        <f t="shared" ref="B36:H36" si="0">SUM(B18:B35)</f>
        <v>624882</v>
      </c>
      <c r="C36" s="447">
        <f t="shared" si="0"/>
        <v>17.963999999999999</v>
      </c>
      <c r="D36" s="446">
        <f t="shared" si="0"/>
        <v>526293</v>
      </c>
      <c r="E36" s="447">
        <f t="shared" si="0"/>
        <v>17.475999999999999</v>
      </c>
      <c r="F36" s="446">
        <f t="shared" si="0"/>
        <v>554011</v>
      </c>
      <c r="G36" s="446">
        <f t="shared" si="0"/>
        <v>448248</v>
      </c>
      <c r="H36" s="447">
        <f t="shared" si="0"/>
        <v>17.475999999999999</v>
      </c>
      <c r="J36" s="877" t="str">
        <f>CONCATENATE("Impact On Keeping The Same Mill Rate As For ",H1-1,"")</f>
        <v>Impact On Keeping The Same Mill Rate As For 2014</v>
      </c>
      <c r="K36" s="880"/>
      <c r="L36" s="880"/>
      <c r="M36" s="881"/>
    </row>
    <row r="37" spans="1:15" x14ac:dyDescent="0.25">
      <c r="A37" s="87" t="s">
        <v>284</v>
      </c>
      <c r="B37" s="73">
        <f>transfer!C29</f>
        <v>5010</v>
      </c>
      <c r="C37" s="48"/>
      <c r="D37" s="73">
        <f>transfer!D29</f>
        <v>0</v>
      </c>
      <c r="E37" s="187"/>
      <c r="F37" s="73">
        <f>transfer!E29</f>
        <v>0</v>
      </c>
      <c r="G37" s="48"/>
      <c r="H37" s="48"/>
      <c r="J37" s="488"/>
      <c r="K37" s="9"/>
      <c r="L37" s="9"/>
      <c r="M37" s="487"/>
    </row>
    <row r="38" spans="1:15" ht="16.5" thickBot="1" x14ac:dyDescent="0.3">
      <c r="A38" s="87" t="s">
        <v>285</v>
      </c>
      <c r="B38" s="450">
        <f>B36-B37</f>
        <v>619872</v>
      </c>
      <c r="C38" s="48"/>
      <c r="D38" s="450">
        <f>D36-D37</f>
        <v>526293</v>
      </c>
      <c r="E38" s="48"/>
      <c r="F38" s="450">
        <f>F36-F37</f>
        <v>554011</v>
      </c>
      <c r="G38" s="48"/>
      <c r="H38" s="48"/>
      <c r="J38" s="488" t="str">
        <f>CONCATENATE("",H1," Ad Valorem Tax Rev(Township Only):")</f>
        <v>2015 Ad Valorem Tax Rev(Township Only):</v>
      </c>
      <c r="K38" s="9"/>
      <c r="L38" s="9"/>
      <c r="M38" s="491">
        <f>SUM(G21:G24)</f>
        <v>370991</v>
      </c>
    </row>
    <row r="39" spans="1:15" ht="16.5" thickTop="1" x14ac:dyDescent="0.25">
      <c r="A39" s="87" t="s">
        <v>0</v>
      </c>
      <c r="B39" s="209">
        <f>inputPrYr!E63</f>
        <v>440310</v>
      </c>
      <c r="C39" s="187"/>
      <c r="D39" s="209">
        <f>inputPrYr!E32</f>
        <v>439505</v>
      </c>
      <c r="E39" s="48"/>
      <c r="F39" s="451" t="s">
        <v>235</v>
      </c>
      <c r="G39" s="48"/>
      <c r="H39" s="48"/>
      <c r="J39" s="488" t="str">
        <f>CONCATENATE("",H1," Ad Valorem Tax Rev(Township Tot):")</f>
        <v>2015 Ad Valorem Tax Rev(Township Tot):</v>
      </c>
      <c r="K39" s="9"/>
      <c r="L39" s="9"/>
      <c r="M39" s="504">
        <f>SUM(G18,G19,G20,G25,G26,G27,G28,G29)</f>
        <v>77257</v>
      </c>
    </row>
    <row r="40" spans="1:15" x14ac:dyDescent="0.25">
      <c r="A40" s="87" t="s">
        <v>160</v>
      </c>
      <c r="B40" s="73">
        <f>inputPrYr!E64</f>
        <v>38571678</v>
      </c>
      <c r="C40" s="187"/>
      <c r="D40" s="73">
        <f>inputOth!E55</f>
        <v>39380442</v>
      </c>
      <c r="E40" s="187"/>
      <c r="F40" s="73">
        <f>inputOth!E11</f>
        <v>39802815</v>
      </c>
      <c r="G40" s="48"/>
      <c r="H40" s="48"/>
      <c r="J40" s="488" t="str">
        <f>CONCATENATE("Total ",H1," Ad Valorem Tax Revenue:")</f>
        <v>Total 2015 Ad Valorem Tax Revenue:</v>
      </c>
      <c r="K40" s="54"/>
      <c r="L40" s="54"/>
      <c r="M40" s="505">
        <f>M38+M39</f>
        <v>448248</v>
      </c>
    </row>
    <row r="41" spans="1:15" x14ac:dyDescent="0.25">
      <c r="A41" s="63" t="s">
        <v>215</v>
      </c>
      <c r="B41" s="188"/>
      <c r="C41" s="48"/>
      <c r="D41" s="158"/>
      <c r="E41" s="48"/>
      <c r="F41" s="73">
        <f>inputOth!E8</f>
        <v>23880242</v>
      </c>
      <c r="G41" s="48"/>
      <c r="H41" s="48"/>
      <c r="J41" s="488" t="str">
        <f>CONCATENATE("",H1-1," Ad Valorem Tax Rev(Township Only):")</f>
        <v>2014 Ad Valorem Tax Rev(Township Only):</v>
      </c>
      <c r="K41" s="9"/>
      <c r="L41" s="9"/>
      <c r="M41" s="506">
        <f>ROUND(SUM(E21:E24)*F41/1000,0)</f>
        <v>370980</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77257</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448237</v>
      </c>
      <c r="O43" s="498"/>
    </row>
    <row r="44" spans="1:15" x14ac:dyDescent="0.25">
      <c r="A44" s="55" t="s">
        <v>2</v>
      </c>
      <c r="B44" s="189">
        <f>H1-3</f>
        <v>2012</v>
      </c>
      <c r="C44" s="48"/>
      <c r="D44" s="189">
        <f>H1-2</f>
        <v>2013</v>
      </c>
      <c r="E44" s="48"/>
      <c r="F44" s="189">
        <f>H1-1</f>
        <v>2014</v>
      </c>
      <c r="G44" s="48"/>
      <c r="H44" s="48"/>
      <c r="J44" s="485" t="s">
        <v>705</v>
      </c>
      <c r="K44" s="484"/>
      <c r="L44" s="484"/>
      <c r="M44" s="483">
        <f>M40-M43</f>
        <v>11</v>
      </c>
    </row>
    <row r="45" spans="1:15" x14ac:dyDescent="0.25">
      <c r="A45" s="55" t="s">
        <v>3</v>
      </c>
      <c r="B45" s="66">
        <f>inputPrYr!D67</f>
        <v>0</v>
      </c>
      <c r="C45" s="52"/>
      <c r="D45" s="66">
        <f>inputPrYr!E67</f>
        <v>0</v>
      </c>
      <c r="E45" s="52"/>
      <c r="F45" s="66">
        <f>debt!F11</f>
        <v>0</v>
      </c>
      <c r="G45" s="48"/>
      <c r="H45" s="48"/>
      <c r="J45" s="509" t="s">
        <v>710</v>
      </c>
      <c r="K45" s="510"/>
      <c r="L45" s="510"/>
      <c r="M45" s="505">
        <f>M38-M41</f>
        <v>11</v>
      </c>
    </row>
    <row r="46" spans="1:15" x14ac:dyDescent="0.25">
      <c r="A46" s="55" t="s">
        <v>261</v>
      </c>
      <c r="B46" s="66">
        <f>inputPrYr!D68</f>
        <v>0</v>
      </c>
      <c r="C46" s="52"/>
      <c r="D46" s="66">
        <f>inputPrYr!E68</f>
        <v>0</v>
      </c>
      <c r="E46" s="52"/>
      <c r="F46" s="66">
        <f>debt!F15</f>
        <v>0</v>
      </c>
      <c r="G46" s="48"/>
      <c r="H46" s="48"/>
      <c r="J46" s="482" t="s">
        <v>709</v>
      </c>
      <c r="K46" s="479"/>
      <c r="L46" s="479"/>
      <c r="M46" s="481">
        <f>M39-M42</f>
        <v>0</v>
      </c>
    </row>
    <row r="47" spans="1:15" x14ac:dyDescent="0.25">
      <c r="A47" s="55" t="s">
        <v>701</v>
      </c>
      <c r="B47" s="66">
        <f>inputPrYr!D69</f>
        <v>245000</v>
      </c>
      <c r="C47" s="52"/>
      <c r="D47" s="66">
        <f>inputPrYr!E69</f>
        <v>236647</v>
      </c>
      <c r="E47" s="52"/>
      <c r="F47" s="66">
        <f>debt!G36</f>
        <v>179854</v>
      </c>
      <c r="G47" s="48"/>
      <c r="H47" s="48"/>
    </row>
    <row r="48" spans="1:15" ht="16.5" thickBot="1" x14ac:dyDescent="0.3">
      <c r="A48" s="55" t="s">
        <v>4</v>
      </c>
      <c r="B48" s="83">
        <f>SUM(B45:B47)</f>
        <v>245000</v>
      </c>
      <c r="C48" s="52"/>
      <c r="D48" s="83">
        <f>SUM(D45:D47)</f>
        <v>236647</v>
      </c>
      <c r="E48" s="52"/>
      <c r="F48" s="83">
        <f>SUM(F45:F47)</f>
        <v>179854</v>
      </c>
      <c r="G48" s="48"/>
      <c r="H48" s="48"/>
      <c r="J48" s="877" t="s">
        <v>706</v>
      </c>
      <c r="K48" s="878"/>
      <c r="L48" s="878"/>
      <c r="M48" s="879"/>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4" t="str">
        <f>inputBudSum!B4</f>
        <v>Sharon Gash</v>
      </c>
      <c r="B51" s="884"/>
      <c r="C51" s="48"/>
      <c r="D51" s="48"/>
      <c r="E51" s="48"/>
      <c r="F51" s="48"/>
      <c r="G51" s="48"/>
      <c r="H51" s="48"/>
      <c r="J51" s="488" t="str">
        <f>CONCATENATE("Current ",$H$1," Estimated Mill Rate:")</f>
        <v>Current 2015 Estimated Mill Rate:</v>
      </c>
      <c r="K51" s="9"/>
      <c r="L51" s="9"/>
      <c r="M51" s="501">
        <f>IF(M50=0,0,$H$36)</f>
        <v>17.475999999999999</v>
      </c>
    </row>
    <row r="52" spans="1:13" x14ac:dyDescent="0.25">
      <c r="A52" s="885" t="str">
        <f>inputBudSum!B6</f>
        <v>Treasurer</v>
      </c>
      <c r="B52" s="886"/>
      <c r="C52" s="48"/>
      <c r="D52" s="48"/>
      <c r="E52" s="48"/>
      <c r="F52" s="48"/>
      <c r="G52" s="48"/>
      <c r="H52" s="48"/>
      <c r="J52" s="488" t="s">
        <v>711</v>
      </c>
      <c r="K52" s="9"/>
      <c r="L52" s="9"/>
      <c r="M52" s="502">
        <f>M50-M51</f>
        <v>-5.4759999999999991</v>
      </c>
    </row>
    <row r="53" spans="1:13" x14ac:dyDescent="0.25">
      <c r="A53" s="48"/>
      <c r="B53" s="48"/>
      <c r="C53" s="48"/>
      <c r="D53" s="48"/>
      <c r="E53" s="48"/>
      <c r="F53" s="48"/>
      <c r="G53" s="48"/>
      <c r="H53" s="48"/>
      <c r="J53" s="474" t="s">
        <v>712</v>
      </c>
      <c r="K53" s="54"/>
      <c r="L53" s="54"/>
      <c r="M53" s="499">
        <f>IF(M50=0,0,ROUND(SUM(H21:H24)/M51,2))</f>
        <v>0.89</v>
      </c>
    </row>
    <row r="54" spans="1:13" x14ac:dyDescent="0.25">
      <c r="A54" s="48"/>
      <c r="B54" s="190" t="s">
        <v>249</v>
      </c>
      <c r="C54" s="191">
        <v>8</v>
      </c>
      <c r="D54" s="48"/>
      <c r="E54" s="48"/>
      <c r="F54" s="48"/>
      <c r="G54" s="48"/>
      <c r="H54" s="48"/>
      <c r="J54" s="474" t="s">
        <v>713</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714</v>
      </c>
      <c r="K56" s="510"/>
      <c r="L56" s="510"/>
      <c r="M56" s="505">
        <f>ROUND(F41*M52*M53/1000,0)</f>
        <v>-116384</v>
      </c>
    </row>
    <row r="57" spans="1:13" x14ac:dyDescent="0.25">
      <c r="A57" s="95"/>
      <c r="B57" s="95"/>
      <c r="C57" s="95"/>
      <c r="D57" s="95"/>
      <c r="E57" s="95"/>
      <c r="F57" s="95"/>
      <c r="G57" s="95"/>
      <c r="J57" s="482" t="s">
        <v>715</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A52:B52"/>
    <mergeCell ref="A9:H9"/>
    <mergeCell ref="A2:H2"/>
    <mergeCell ref="A8:H8"/>
    <mergeCell ref="A10:H10"/>
    <mergeCell ref="A11:H11"/>
    <mergeCell ref="A12:H12"/>
    <mergeCell ref="A4:H4"/>
    <mergeCell ref="G15:G17"/>
    <mergeCell ref="A7:H7"/>
    <mergeCell ref="A6:H6"/>
    <mergeCell ref="A5:H5"/>
    <mergeCell ref="J29:M29"/>
    <mergeCell ref="J36:M36"/>
    <mergeCell ref="J48:M48"/>
    <mergeCell ref="J24:M24"/>
    <mergeCell ref="A51:B51"/>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Pleasant Township</v>
      </c>
      <c r="B1" s="48"/>
      <c r="C1" s="48"/>
      <c r="D1" s="48"/>
      <c r="E1" s="48"/>
      <c r="F1" s="48">
        <f>inputPrYr!D9</f>
        <v>2015</v>
      </c>
    </row>
    <row r="2" spans="1:6" x14ac:dyDescent="0.25">
      <c r="A2" s="48"/>
      <c r="B2" s="48"/>
      <c r="C2" s="48"/>
      <c r="D2" s="48"/>
      <c r="E2" s="48"/>
      <c r="F2" s="48"/>
    </row>
    <row r="3" spans="1:6" x14ac:dyDescent="0.25">
      <c r="A3" s="48"/>
      <c r="B3" s="823" t="str">
        <f>CONCATENATE("",F1," Neighborhood Revitalization Rebate")</f>
        <v>2015 Neighborhood Revitalization Rebate</v>
      </c>
      <c r="C3" s="831"/>
      <c r="D3" s="831"/>
      <c r="E3" s="831"/>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207</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39802815</v>
      </c>
      <c r="E21" s="48"/>
      <c r="F21" s="171"/>
    </row>
    <row r="22" spans="1:6" x14ac:dyDescent="0.25">
      <c r="A22" s="48"/>
      <c r="B22" s="48"/>
      <c r="C22" s="48"/>
      <c r="D22" s="48"/>
      <c r="E22" s="48"/>
      <c r="F22" s="171"/>
    </row>
    <row r="23" spans="1:6" x14ac:dyDescent="0.25">
      <c r="A23" s="48"/>
      <c r="B23" s="892" t="s">
        <v>352</v>
      </c>
      <c r="C23" s="892"/>
      <c r="D23" s="321">
        <f>IF(D21&gt;0,(D21*0.001),"")</f>
        <v>39802.815000000002</v>
      </c>
      <c r="E23" s="48"/>
      <c r="F23" s="171"/>
    </row>
    <row r="24" spans="1:6" x14ac:dyDescent="0.25">
      <c r="A24" s="48"/>
      <c r="B24" s="99"/>
      <c r="C24" s="99"/>
      <c r="D24" s="322"/>
      <c r="E24" s="48"/>
      <c r="F24" s="171"/>
    </row>
    <row r="25" spans="1:6" x14ac:dyDescent="0.25">
      <c r="A25" s="890" t="s">
        <v>353</v>
      </c>
      <c r="B25" s="809"/>
      <c r="C25" s="809"/>
      <c r="D25" s="323">
        <f>inputOth!E33</f>
        <v>411578</v>
      </c>
      <c r="E25" s="159"/>
      <c r="F25" s="159"/>
    </row>
    <row r="26" spans="1:6" x14ac:dyDescent="0.25">
      <c r="A26" s="159"/>
      <c r="B26" s="159"/>
      <c r="C26" s="159"/>
      <c r="D26" s="324"/>
      <c r="E26" s="159"/>
      <c r="F26" s="159"/>
    </row>
    <row r="27" spans="1:6" x14ac:dyDescent="0.25">
      <c r="A27" s="159"/>
      <c r="B27" s="890" t="s">
        <v>354</v>
      </c>
      <c r="C27" s="891"/>
      <c r="D27" s="325">
        <f>IF(D25&gt;0,(D25*0.001),"")</f>
        <v>411.57800000000003</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590</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249</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933</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Pleasant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934</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Pleasant Township</v>
      </c>
      <c r="D6" s="900"/>
      <c r="E6" s="900"/>
      <c r="F6" s="900"/>
      <c r="G6" s="900"/>
      <c r="H6" s="901"/>
    </row>
    <row r="7" spans="3:8" x14ac:dyDescent="0.25">
      <c r="C7" s="905" t="s">
        <v>935</v>
      </c>
      <c r="D7" s="906"/>
      <c r="E7" s="906"/>
      <c r="F7" s="906"/>
      <c r="G7" s="906"/>
      <c r="H7" s="907"/>
    </row>
    <row r="8" spans="3:8" x14ac:dyDescent="0.25">
      <c r="C8" s="905" t="s">
        <v>936</v>
      </c>
      <c r="D8" s="906"/>
      <c r="E8" s="906"/>
      <c r="F8" s="906"/>
      <c r="G8" s="906"/>
      <c r="H8" s="907"/>
    </row>
    <row r="9" spans="3:8" x14ac:dyDescent="0.25">
      <c r="C9" s="772" t="str">
        <f>CONCATENATE(H2-1," Budget")</f>
        <v>2014 Budget</v>
      </c>
      <c r="D9" s="776" t="s">
        <v>242</v>
      </c>
      <c r="E9" s="778">
        <f>inputPrYr!E32</f>
        <v>439505</v>
      </c>
      <c r="F9" s="770"/>
      <c r="G9" s="770"/>
      <c r="H9" s="771"/>
    </row>
    <row r="10" spans="3:8" x14ac:dyDescent="0.25">
      <c r="C10" s="772" t="str">
        <f>CONCATENATE(H2," Budget")</f>
        <v>2015 Budget</v>
      </c>
      <c r="D10" s="776" t="s">
        <v>242</v>
      </c>
      <c r="E10" s="779">
        <f>cert!E39</f>
        <v>448248</v>
      </c>
      <c r="F10" s="770"/>
      <c r="G10" s="770"/>
      <c r="H10" s="771"/>
    </row>
    <row r="11" spans="3:8" x14ac:dyDescent="0.25">
      <c r="C11" s="772"/>
      <c r="D11" s="770"/>
      <c r="E11" s="770" t="s">
        <v>937</v>
      </c>
      <c r="F11" s="780"/>
      <c r="G11" s="775" t="s">
        <v>938</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382</v>
      </c>
      <c r="B3" s="345"/>
      <c r="C3" s="345"/>
      <c r="D3" s="345"/>
      <c r="E3" s="345"/>
      <c r="F3" s="345"/>
      <c r="G3" s="345"/>
      <c r="H3" s="345"/>
      <c r="I3" s="345"/>
      <c r="J3" s="345"/>
      <c r="K3" s="345"/>
      <c r="L3" s="345"/>
    </row>
    <row r="5" spans="1:12" x14ac:dyDescent="0.25">
      <c r="A5" s="346" t="s">
        <v>383</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384</v>
      </c>
    </row>
    <row r="9" spans="1:12" x14ac:dyDescent="0.25">
      <c r="A9" s="346" t="s">
        <v>385</v>
      </c>
    </row>
    <row r="10" spans="1:12" x14ac:dyDescent="0.25">
      <c r="A10" s="346" t="s">
        <v>386</v>
      </c>
    </row>
    <row r="11" spans="1:12" x14ac:dyDescent="0.25">
      <c r="A11" s="346"/>
    </row>
    <row r="12" spans="1:12" x14ac:dyDescent="0.25">
      <c r="A12" s="346"/>
    </row>
    <row r="13" spans="1:12" x14ac:dyDescent="0.25">
      <c r="A13" s="347" t="s">
        <v>387</v>
      </c>
    </row>
    <row r="15" spans="1:12" x14ac:dyDescent="0.25">
      <c r="A15" s="346" t="s">
        <v>388</v>
      </c>
    </row>
    <row r="16" spans="1:12" x14ac:dyDescent="0.25">
      <c r="A16" s="346" t="str">
        <f>CONCATENATE("(i.e. an audit has not been completed, or the ",inputPrYr!D9," adopted")</f>
        <v>(i.e. an audit has not been completed, or the 2015 adopted</v>
      </c>
    </row>
    <row r="17" spans="1:1" x14ac:dyDescent="0.25">
      <c r="A17" s="346" t="s">
        <v>389</v>
      </c>
    </row>
    <row r="18" spans="1:1" x14ac:dyDescent="0.25">
      <c r="A18" s="346" t="s">
        <v>390</v>
      </c>
    </row>
    <row r="19" spans="1:1" x14ac:dyDescent="0.25">
      <c r="A19" s="346" t="s">
        <v>391</v>
      </c>
    </row>
    <row r="21" spans="1:1" x14ac:dyDescent="0.25">
      <c r="A21" s="347" t="s">
        <v>392</v>
      </c>
    </row>
    <row r="22" spans="1:1" x14ac:dyDescent="0.25">
      <c r="A22" s="347"/>
    </row>
    <row r="23" spans="1:1" x14ac:dyDescent="0.25">
      <c r="A23" s="346" t="s">
        <v>393</v>
      </c>
    </row>
    <row r="24" spans="1:1" x14ac:dyDescent="0.25">
      <c r="A24" s="346" t="s">
        <v>394</v>
      </c>
    </row>
    <row r="25" spans="1:1" x14ac:dyDescent="0.25">
      <c r="A25" s="346" t="str">
        <f>CONCATENATE("particular fund.  If your ",inputPrYr!D9-2," budget was amended, did you")</f>
        <v>particular fund.  If your 2013 budget was amended, did you</v>
      </c>
    </row>
    <row r="26" spans="1:1" x14ac:dyDescent="0.25">
      <c r="A26" s="346" t="s">
        <v>395</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396</v>
      </c>
    </row>
    <row r="30" spans="1:1" x14ac:dyDescent="0.25">
      <c r="A30" s="346" t="s">
        <v>397</v>
      </c>
    </row>
    <row r="31" spans="1:1" x14ac:dyDescent="0.25">
      <c r="A31" s="346" t="s">
        <v>398</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399</v>
      </c>
    </row>
    <row r="35" spans="1:1" x14ac:dyDescent="0.25">
      <c r="A35" s="346" t="s">
        <v>400</v>
      </c>
    </row>
    <row r="36" spans="1:1" x14ac:dyDescent="0.25">
      <c r="A36" s="346"/>
    </row>
    <row r="37" spans="1:1" x14ac:dyDescent="0.25">
      <c r="A37" s="346" t="s">
        <v>401</v>
      </c>
    </row>
    <row r="38" spans="1:1" x14ac:dyDescent="0.25">
      <c r="A38" s="346" t="s">
        <v>402</v>
      </c>
    </row>
    <row r="39" spans="1:1" x14ac:dyDescent="0.25">
      <c r="A39" s="346" t="s">
        <v>403</v>
      </c>
    </row>
    <row r="40" spans="1:1" x14ac:dyDescent="0.25">
      <c r="A40" s="346" t="s">
        <v>404</v>
      </c>
    </row>
    <row r="41" spans="1:1" x14ac:dyDescent="0.25">
      <c r="A41" s="346" t="s">
        <v>405</v>
      </c>
    </row>
    <row r="42" spans="1:1" x14ac:dyDescent="0.25">
      <c r="A42" s="346" t="s">
        <v>406</v>
      </c>
    </row>
    <row r="43" spans="1:1" x14ac:dyDescent="0.25">
      <c r="A43" s="346" t="s">
        <v>407</v>
      </c>
    </row>
    <row r="44" spans="1:1" x14ac:dyDescent="0.25">
      <c r="A44" s="346" t="s">
        <v>408</v>
      </c>
    </row>
    <row r="45" spans="1:1" x14ac:dyDescent="0.25">
      <c r="A45" s="346"/>
    </row>
    <row r="46" spans="1:1" x14ac:dyDescent="0.25">
      <c r="A46" s="346" t="s">
        <v>409</v>
      </c>
    </row>
    <row r="47" spans="1:1" x14ac:dyDescent="0.25">
      <c r="A47" s="346" t="s">
        <v>410</v>
      </c>
    </row>
    <row r="48" spans="1:1" x14ac:dyDescent="0.25">
      <c r="A48" s="346" t="s">
        <v>411</v>
      </c>
    </row>
    <row r="49" spans="1:1" x14ac:dyDescent="0.25">
      <c r="A49" s="346"/>
    </row>
    <row r="50" spans="1:1" x14ac:dyDescent="0.25">
      <c r="A50" s="346" t="s">
        <v>412</v>
      </c>
    </row>
    <row r="51" spans="1:1" x14ac:dyDescent="0.25">
      <c r="A51" s="346" t="s">
        <v>413</v>
      </c>
    </row>
    <row r="52" spans="1:1" x14ac:dyDescent="0.25">
      <c r="A52" s="346" t="s">
        <v>414</v>
      </c>
    </row>
    <row r="53" spans="1:1" x14ac:dyDescent="0.25">
      <c r="A53" s="346"/>
    </row>
    <row r="54" spans="1:1" x14ac:dyDescent="0.25">
      <c r="A54" s="347" t="s">
        <v>415</v>
      </c>
    </row>
    <row r="55" spans="1:1" x14ac:dyDescent="0.25">
      <c r="A55" s="346"/>
    </row>
    <row r="56" spans="1:1" x14ac:dyDescent="0.25">
      <c r="A56" s="346" t="s">
        <v>416</v>
      </c>
    </row>
    <row r="57" spans="1:1" x14ac:dyDescent="0.25">
      <c r="A57" s="346" t="s">
        <v>417</v>
      </c>
    </row>
    <row r="58" spans="1:1" x14ac:dyDescent="0.25">
      <c r="A58" s="346" t="s">
        <v>418</v>
      </c>
    </row>
    <row r="59" spans="1:1" x14ac:dyDescent="0.25">
      <c r="A59" s="346" t="s">
        <v>419</v>
      </c>
    </row>
    <row r="60" spans="1:1" x14ac:dyDescent="0.25">
      <c r="A60" s="346" t="s">
        <v>420</v>
      </c>
    </row>
    <row r="61" spans="1:1" x14ac:dyDescent="0.25">
      <c r="A61" s="346" t="s">
        <v>421</v>
      </c>
    </row>
    <row r="62" spans="1:1" x14ac:dyDescent="0.25">
      <c r="A62" s="346" t="s">
        <v>422</v>
      </c>
    </row>
    <row r="63" spans="1:1" x14ac:dyDescent="0.25">
      <c r="A63" s="346" t="s">
        <v>423</v>
      </c>
    </row>
    <row r="64" spans="1:1" x14ac:dyDescent="0.25">
      <c r="A64" s="346" t="s">
        <v>424</v>
      </c>
    </row>
    <row r="65" spans="1:1" x14ac:dyDescent="0.25">
      <c r="A65" s="346" t="s">
        <v>425</v>
      </c>
    </row>
    <row r="66" spans="1:1" x14ac:dyDescent="0.25">
      <c r="A66" s="346" t="s">
        <v>426</v>
      </c>
    </row>
    <row r="67" spans="1:1" x14ac:dyDescent="0.25">
      <c r="A67" s="346" t="s">
        <v>427</v>
      </c>
    </row>
    <row r="68" spans="1:1" x14ac:dyDescent="0.25">
      <c r="A68" s="346" t="s">
        <v>428</v>
      </c>
    </row>
    <row r="69" spans="1:1" x14ac:dyDescent="0.25">
      <c r="A69" s="346"/>
    </row>
    <row r="70" spans="1:1" x14ac:dyDescent="0.25">
      <c r="A70" s="346" t="s">
        <v>429</v>
      </c>
    </row>
    <row r="71" spans="1:1" x14ac:dyDescent="0.25">
      <c r="A71" s="346" t="s">
        <v>430</v>
      </c>
    </row>
    <row r="72" spans="1:1" x14ac:dyDescent="0.25">
      <c r="A72" s="346" t="s">
        <v>431</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432</v>
      </c>
    </row>
    <row r="77" spans="1:1" x14ac:dyDescent="0.25">
      <c r="A77" s="346" t="str">
        <f>CONCATENATE("(i.e. an audit for ",inputPrYr!D9-2," has been completed, or the ",inputPrYr!D9)</f>
        <v>(i.e. an audit for 2013 has been completed, or the 2015</v>
      </c>
    </row>
    <row r="78" spans="1:1" x14ac:dyDescent="0.25">
      <c r="A78" s="346" t="s">
        <v>433</v>
      </c>
    </row>
    <row r="79" spans="1:1" x14ac:dyDescent="0.25">
      <c r="A79" s="346" t="s">
        <v>434</v>
      </c>
    </row>
    <row r="80" spans="1:1" x14ac:dyDescent="0.25">
      <c r="A80" s="346"/>
    </row>
    <row r="81" spans="1:1" x14ac:dyDescent="0.25">
      <c r="A81" s="346" t="s">
        <v>435</v>
      </c>
    </row>
    <row r="82" spans="1:1" x14ac:dyDescent="0.25">
      <c r="A82" s="346" t="s">
        <v>436</v>
      </c>
    </row>
    <row r="83" spans="1:1" x14ac:dyDescent="0.25">
      <c r="A83" s="346" t="s">
        <v>437</v>
      </c>
    </row>
    <row r="84" spans="1:1" x14ac:dyDescent="0.25">
      <c r="A84" s="346"/>
    </row>
    <row r="85" spans="1:1" x14ac:dyDescent="0.25">
      <c r="A85" s="346" t="s">
        <v>438</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82" workbookViewId="0">
      <selection activeCell="B86" sqref="B86"/>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Pleasant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87</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135</v>
      </c>
      <c r="B8" s="13"/>
      <c r="C8" s="13"/>
      <c r="D8" s="13"/>
      <c r="E8" s="2">
        <v>23880242</v>
      </c>
    </row>
    <row r="9" spans="1:5" x14ac:dyDescent="0.25">
      <c r="A9" s="14" t="str">
        <f>inputPrYr!D6</f>
        <v>City of Rose Hill</v>
      </c>
      <c r="B9" s="15"/>
      <c r="C9" s="15"/>
      <c r="D9" s="15"/>
      <c r="E9" s="715">
        <v>15922573</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39802815</v>
      </c>
    </row>
    <row r="12" spans="1:5" x14ac:dyDescent="0.25">
      <c r="A12" s="38" t="str">
        <f>CONCATENATE("New Improvements for ",E1-1,":")</f>
        <v>New Improvements for 2014:</v>
      </c>
      <c r="B12" s="9"/>
      <c r="C12" s="9"/>
      <c r="D12" s="9"/>
      <c r="E12" s="23"/>
    </row>
    <row r="13" spans="1:5" x14ac:dyDescent="0.25">
      <c r="A13" s="12" t="s">
        <v>135</v>
      </c>
      <c r="B13" s="13"/>
      <c r="C13" s="13"/>
      <c r="D13" s="13"/>
      <c r="E13" s="716">
        <v>174524</v>
      </c>
    </row>
    <row r="14" spans="1:5" x14ac:dyDescent="0.25">
      <c r="A14" s="14" t="str">
        <f>inputPrYr!$D$6</f>
        <v>City of Rose Hill</v>
      </c>
      <c r="B14" s="13"/>
      <c r="C14" s="13"/>
      <c r="D14" s="13"/>
      <c r="E14" s="716">
        <v>227511</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402035</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135</v>
      </c>
      <c r="B18" s="13"/>
      <c r="C18" s="13"/>
      <c r="D18" s="13"/>
      <c r="E18" s="716">
        <v>422503</v>
      </c>
    </row>
    <row r="19" spans="1:5" x14ac:dyDescent="0.25">
      <c r="A19" s="14" t="str">
        <f>inputPrYr!$D$6</f>
        <v>City of Rose Hill</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422503</v>
      </c>
    </row>
    <row r="22" spans="1:5" x14ac:dyDescent="0.25">
      <c r="A22" s="38" t="str">
        <f>CONCATENATE("Property that has changed in use for ",E1-1,":")</f>
        <v>Property that has changed in use for 2014:</v>
      </c>
      <c r="B22" s="9"/>
      <c r="C22" s="9"/>
      <c r="D22" s="9"/>
      <c r="E22" s="23"/>
    </row>
    <row r="23" spans="1:5" x14ac:dyDescent="0.25">
      <c r="A23" s="12" t="s">
        <v>135</v>
      </c>
      <c r="B23" s="13"/>
      <c r="C23" s="13"/>
      <c r="D23" s="13"/>
      <c r="E23" s="716">
        <v>153241</v>
      </c>
    </row>
    <row r="24" spans="1:5" x14ac:dyDescent="0.25">
      <c r="A24" s="14" t="str">
        <f>inputPrYr!$D$6</f>
        <v>City of Rose Hill</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153241</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135</v>
      </c>
      <c r="B28" s="13"/>
      <c r="C28" s="13"/>
      <c r="D28" s="13"/>
      <c r="E28" s="716">
        <v>759812</v>
      </c>
    </row>
    <row r="29" spans="1:5" x14ac:dyDescent="0.25">
      <c r="A29" s="14" t="str">
        <f>inputPrYr!$D$6</f>
        <v>City of Rose Hill</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759812</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411578</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231</v>
      </c>
      <c r="B36" s="800"/>
      <c r="C36" s="20"/>
      <c r="D36" s="25" t="s">
        <v>243</v>
      </c>
      <c r="E36" s="24"/>
    </row>
    <row r="37" spans="1:5" x14ac:dyDescent="0.25">
      <c r="A37" s="12" t="str">
        <f>inputPrYr!B20</f>
        <v>General</v>
      </c>
      <c r="B37" s="13"/>
      <c r="C37" s="9"/>
      <c r="D37" s="717">
        <v>1.9410000000000001</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15.535</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c r="E43" s="24"/>
    </row>
    <row r="44" spans="1:5" x14ac:dyDescent="0.25">
      <c r="A44" s="12">
        <f>inputPrYr!B27</f>
        <v>0</v>
      </c>
      <c r="B44" s="15"/>
      <c r="C44" s="9"/>
      <c r="D44" s="718"/>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221</v>
      </c>
      <c r="C49" s="9"/>
      <c r="D49" s="30">
        <f>SUM(D37:D48)</f>
        <v>17.475999999999999</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135</v>
      </c>
      <c r="B52" s="13"/>
      <c r="C52" s="13"/>
      <c r="D52" s="13"/>
      <c r="E52" s="3">
        <v>39380442</v>
      </c>
    </row>
    <row r="53" spans="1:5" x14ac:dyDescent="0.25">
      <c r="A53" s="15" t="str">
        <f>inputPrYr!D6</f>
        <v>City of Rose Hill</v>
      </c>
      <c r="B53" s="15"/>
      <c r="C53" s="15"/>
      <c r="D53" s="19"/>
      <c r="E53" s="3">
        <v>0</v>
      </c>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39380442</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128</v>
      </c>
      <c r="B58" s="13"/>
      <c r="C58" s="13"/>
      <c r="D58" s="7"/>
      <c r="E58" s="6"/>
    </row>
    <row r="59" spans="1:5" x14ac:dyDescent="0.25">
      <c r="A59" s="12" t="s">
        <v>88</v>
      </c>
      <c r="B59" s="13"/>
      <c r="C59" s="13"/>
      <c r="D59" s="27"/>
      <c r="E59" s="2">
        <v>57933</v>
      </c>
    </row>
    <row r="60" spans="1:5" x14ac:dyDescent="0.25">
      <c r="A60" s="14" t="s">
        <v>222</v>
      </c>
      <c r="B60" s="15"/>
      <c r="C60" s="15"/>
      <c r="D60" s="28"/>
      <c r="E60" s="2">
        <v>1269</v>
      </c>
    </row>
    <row r="61" spans="1:5" x14ac:dyDescent="0.25">
      <c r="A61" s="14" t="s">
        <v>89</v>
      </c>
      <c r="B61" s="15"/>
      <c r="C61" s="15"/>
      <c r="D61" s="28"/>
      <c r="E61" s="2">
        <v>1098</v>
      </c>
    </row>
    <row r="62" spans="1:5" x14ac:dyDescent="0.25">
      <c r="A62" s="32" t="s">
        <v>132</v>
      </c>
      <c r="B62" s="33"/>
      <c r="C62" s="15"/>
      <c r="D62" s="28"/>
      <c r="E62" s="21"/>
    </row>
    <row r="63" spans="1:5" x14ac:dyDescent="0.25">
      <c r="A63" s="12" t="s">
        <v>129</v>
      </c>
      <c r="B63" s="15"/>
      <c r="C63" s="15"/>
      <c r="D63" s="28"/>
      <c r="E63" s="2">
        <v>4777</v>
      </c>
    </row>
    <row r="64" spans="1:5" x14ac:dyDescent="0.25">
      <c r="A64" s="14" t="s">
        <v>130</v>
      </c>
      <c r="B64" s="15"/>
      <c r="C64" s="15"/>
      <c r="D64" s="28"/>
      <c r="E64" s="2">
        <v>56</v>
      </c>
    </row>
    <row r="65" spans="1:5" x14ac:dyDescent="0.25">
      <c r="A65" s="14" t="s">
        <v>131</v>
      </c>
      <c r="B65" s="15"/>
      <c r="C65" s="15"/>
      <c r="D65" s="28"/>
      <c r="E65" s="2">
        <v>4</v>
      </c>
    </row>
    <row r="66" spans="1:5" x14ac:dyDescent="0.25">
      <c r="A66" s="32" t="s">
        <v>133</v>
      </c>
      <c r="B66" s="33"/>
      <c r="C66" s="15"/>
      <c r="D66" s="28"/>
      <c r="E66" s="21"/>
    </row>
    <row r="67" spans="1:5" x14ac:dyDescent="0.25">
      <c r="A67" s="12" t="s">
        <v>129</v>
      </c>
      <c r="B67" s="15"/>
      <c r="C67" s="15"/>
      <c r="D67" s="28"/>
      <c r="E67" s="2"/>
    </row>
    <row r="68" spans="1:5" x14ac:dyDescent="0.25">
      <c r="A68" s="14" t="s">
        <v>130</v>
      </c>
      <c r="B68" s="15"/>
      <c r="C68" s="15"/>
      <c r="D68" s="28"/>
      <c r="E68" s="2"/>
    </row>
    <row r="69" spans="1:5" x14ac:dyDescent="0.25">
      <c r="A69" s="14" t="s">
        <v>131</v>
      </c>
      <c r="B69" s="15"/>
      <c r="C69" s="15"/>
      <c r="D69" s="28"/>
      <c r="E69" s="2"/>
    </row>
    <row r="70" spans="1:5" x14ac:dyDescent="0.25">
      <c r="A70" s="14"/>
      <c r="B70" s="15"/>
      <c r="C70" s="15"/>
      <c r="D70" s="28"/>
      <c r="E70" s="21"/>
    </row>
    <row r="71" spans="1:5" x14ac:dyDescent="0.25">
      <c r="A71" s="14" t="s">
        <v>90</v>
      </c>
      <c r="B71" s="15"/>
      <c r="C71" s="15"/>
      <c r="D71" s="28"/>
      <c r="E71" s="2"/>
    </row>
    <row r="72" spans="1:5" x14ac:dyDescent="0.25">
      <c r="A72" s="14" t="s">
        <v>52</v>
      </c>
      <c r="B72" s="13"/>
      <c r="C72" s="13"/>
      <c r="D72" s="27"/>
      <c r="E72" s="2">
        <v>5143</v>
      </c>
    </row>
    <row r="73" spans="1:5" ht="33" customHeight="1" x14ac:dyDescent="0.25">
      <c r="A73" s="803" t="s">
        <v>134</v>
      </c>
      <c r="B73" s="804"/>
      <c r="C73" s="804"/>
      <c r="D73" s="804"/>
      <c r="E73" s="804"/>
    </row>
    <row r="74" spans="1:5" x14ac:dyDescent="0.25">
      <c r="A74" s="4"/>
      <c r="B74" s="4"/>
      <c r="C74" s="4"/>
      <c r="D74" s="4"/>
      <c r="E74" s="4"/>
    </row>
    <row r="75" spans="1:5" x14ac:dyDescent="0.25">
      <c r="A75" s="11" t="s">
        <v>91</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773</v>
      </c>
      <c r="B77" s="16"/>
      <c r="C77" s="9"/>
      <c r="D77" s="9"/>
      <c r="E77" s="552">
        <v>0</v>
      </c>
    </row>
    <row r="78" spans="1:5" ht="34.5" customHeight="1" x14ac:dyDescent="0.25">
      <c r="A78" s="795" t="s">
        <v>92</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152</v>
      </c>
      <c r="B82" s="42" t="s">
        <v>153</v>
      </c>
      <c r="C82" s="43" t="s">
        <v>154</v>
      </c>
      <c r="D82" s="44"/>
      <c r="E82" s="44"/>
    </row>
    <row r="83" spans="1:5" x14ac:dyDescent="0.25">
      <c r="A83" s="45" t="str">
        <f>inputPrYr!B20</f>
        <v>General</v>
      </c>
      <c r="B83" s="3">
        <v>205374</v>
      </c>
      <c r="C83" s="43" t="s">
        <v>155</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443312</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439</v>
      </c>
      <c r="B3" s="345"/>
      <c r="C3" s="345"/>
      <c r="D3" s="345"/>
      <c r="E3" s="345"/>
      <c r="F3" s="345"/>
      <c r="G3" s="345"/>
      <c r="H3" s="348"/>
      <c r="I3" s="348"/>
      <c r="J3" s="348"/>
    </row>
    <row r="5" spans="1:10" x14ac:dyDescent="0.25">
      <c r="A5" s="346" t="s">
        <v>440</v>
      </c>
    </row>
    <row r="6" spans="1:10" x14ac:dyDescent="0.25">
      <c r="A6" t="str">
        <f>CONCATENATE(inputPrYr!D9-2," expenditures show that you finished the year with a ")</f>
        <v xml:space="preserve">2013 expenditures show that you finished the year with a </v>
      </c>
    </row>
    <row r="7" spans="1:10" x14ac:dyDescent="0.25">
      <c r="A7" t="s">
        <v>441</v>
      </c>
    </row>
    <row r="9" spans="1:10" x14ac:dyDescent="0.25">
      <c r="A9" t="s">
        <v>442</v>
      </c>
    </row>
    <row r="10" spans="1:10" x14ac:dyDescent="0.25">
      <c r="A10" t="s">
        <v>443</v>
      </c>
    </row>
    <row r="11" spans="1:10" x14ac:dyDescent="0.25">
      <c r="A11" t="s">
        <v>444</v>
      </c>
    </row>
    <row r="13" spans="1:10" x14ac:dyDescent="0.25">
      <c r="A13" s="347" t="s">
        <v>445</v>
      </c>
    </row>
    <row r="14" spans="1:10" x14ac:dyDescent="0.25">
      <c r="A14" s="347"/>
    </row>
    <row r="15" spans="1:10" x14ac:dyDescent="0.25">
      <c r="A15" s="346" t="s">
        <v>446</v>
      </c>
    </row>
    <row r="16" spans="1:10" x14ac:dyDescent="0.25">
      <c r="A16" s="346" t="s">
        <v>447</v>
      </c>
    </row>
    <row r="17" spans="1:1" x14ac:dyDescent="0.25">
      <c r="A17" s="346" t="s">
        <v>448</v>
      </c>
    </row>
    <row r="18" spans="1:1" x14ac:dyDescent="0.25">
      <c r="A18" s="346"/>
    </row>
    <row r="19" spans="1:1" x14ac:dyDescent="0.25">
      <c r="A19" s="347" t="s">
        <v>449</v>
      </c>
    </row>
    <row r="20" spans="1:1" x14ac:dyDescent="0.25">
      <c r="A20" s="347"/>
    </row>
    <row r="21" spans="1:1" x14ac:dyDescent="0.25">
      <c r="A21" s="346" t="s">
        <v>450</v>
      </c>
    </row>
    <row r="22" spans="1:1" x14ac:dyDescent="0.25">
      <c r="A22" s="346" t="s">
        <v>451</v>
      </c>
    </row>
    <row r="23" spans="1:1" x14ac:dyDescent="0.25">
      <c r="A23" s="346" t="s">
        <v>452</v>
      </c>
    </row>
    <row r="24" spans="1:1" x14ac:dyDescent="0.25">
      <c r="A24" s="346"/>
    </row>
    <row r="25" spans="1:1" x14ac:dyDescent="0.25">
      <c r="A25" s="347" t="s">
        <v>453</v>
      </c>
    </row>
    <row r="26" spans="1:1" x14ac:dyDescent="0.25">
      <c r="A26" s="347"/>
    </row>
    <row r="27" spans="1:1" x14ac:dyDescent="0.25">
      <c r="A27" s="346" t="s">
        <v>454</v>
      </c>
    </row>
    <row r="28" spans="1:1" x14ac:dyDescent="0.25">
      <c r="A28" s="346" t="s">
        <v>455</v>
      </c>
    </row>
    <row r="29" spans="1:1" x14ac:dyDescent="0.25">
      <c r="A29" s="346" t="s">
        <v>456</v>
      </c>
    </row>
    <row r="30" spans="1:1" x14ac:dyDescent="0.25">
      <c r="A30" s="346"/>
    </row>
    <row r="31" spans="1:1" x14ac:dyDescent="0.25">
      <c r="A31" s="347" t="s">
        <v>457</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458</v>
      </c>
      <c r="B35" s="346"/>
      <c r="C35" s="346"/>
      <c r="D35" s="346"/>
      <c r="E35" s="346"/>
      <c r="F35" s="346"/>
      <c r="G35" s="346"/>
      <c r="H35" s="346"/>
    </row>
    <row r="36" spans="1:8" x14ac:dyDescent="0.25">
      <c r="A36" s="346" t="s">
        <v>459</v>
      </c>
      <c r="B36" s="346"/>
      <c r="C36" s="346"/>
      <c r="D36" s="346"/>
      <c r="E36" s="346"/>
      <c r="F36" s="346"/>
      <c r="G36" s="346"/>
      <c r="H36" s="346"/>
    </row>
    <row r="37" spans="1:8" x14ac:dyDescent="0.25">
      <c r="A37" s="346" t="s">
        <v>460</v>
      </c>
      <c r="B37" s="346"/>
      <c r="C37" s="346"/>
      <c r="D37" s="346"/>
      <c r="E37" s="346"/>
      <c r="F37" s="346"/>
      <c r="G37" s="346"/>
      <c r="H37" s="346"/>
    </row>
    <row r="38" spans="1:8" x14ac:dyDescent="0.25">
      <c r="A38" s="346" t="s">
        <v>461</v>
      </c>
      <c r="B38" s="346"/>
      <c r="C38" s="346"/>
      <c r="D38" s="346"/>
      <c r="E38" s="346"/>
      <c r="F38" s="346"/>
      <c r="G38" s="346"/>
      <c r="H38" s="346"/>
    </row>
    <row r="39" spans="1:8" x14ac:dyDescent="0.25">
      <c r="A39" s="346" t="s">
        <v>462</v>
      </c>
      <c r="B39" s="346"/>
      <c r="C39" s="346"/>
      <c r="D39" s="346"/>
      <c r="E39" s="346"/>
      <c r="F39" s="346"/>
      <c r="G39" s="346"/>
      <c r="H39" s="346"/>
    </row>
    <row r="40" spans="1:8" x14ac:dyDescent="0.25">
      <c r="A40" s="346"/>
      <c r="B40" s="346"/>
      <c r="C40" s="346"/>
      <c r="D40" s="346"/>
      <c r="E40" s="346"/>
      <c r="F40" s="346"/>
      <c r="G40" s="346"/>
      <c r="H40" s="346"/>
    </row>
    <row r="41" spans="1:8" x14ac:dyDescent="0.25">
      <c r="A41" s="346" t="s">
        <v>463</v>
      </c>
      <c r="B41" s="346"/>
      <c r="C41" s="346"/>
      <c r="D41" s="346"/>
      <c r="E41" s="346"/>
      <c r="F41" s="346"/>
      <c r="G41" s="346"/>
      <c r="H41" s="346"/>
    </row>
    <row r="42" spans="1:8" x14ac:dyDescent="0.25">
      <c r="A42" s="346" t="s">
        <v>464</v>
      </c>
      <c r="B42" s="346"/>
      <c r="C42" s="346"/>
      <c r="D42" s="346"/>
      <c r="E42" s="346"/>
      <c r="F42" s="346"/>
      <c r="G42" s="346"/>
      <c r="H42" s="346"/>
    </row>
    <row r="43" spans="1:8" x14ac:dyDescent="0.25">
      <c r="A43" s="346" t="s">
        <v>465</v>
      </c>
      <c r="B43" s="346"/>
      <c r="C43" s="346"/>
      <c r="D43" s="346"/>
      <c r="E43" s="346"/>
      <c r="F43" s="346"/>
      <c r="G43" s="346"/>
      <c r="H43" s="346"/>
    </row>
    <row r="44" spans="1:8" x14ac:dyDescent="0.25">
      <c r="A44" s="346" t="s">
        <v>466</v>
      </c>
      <c r="B44" s="346"/>
      <c r="C44" s="346"/>
      <c r="D44" s="346"/>
      <c r="E44" s="346"/>
      <c r="F44" s="346"/>
      <c r="G44" s="346"/>
      <c r="H44" s="346"/>
    </row>
    <row r="45" spans="1:8" x14ac:dyDescent="0.25">
      <c r="A45" s="346"/>
      <c r="B45" s="346"/>
      <c r="C45" s="346"/>
      <c r="D45" s="346"/>
      <c r="E45" s="346"/>
      <c r="F45" s="346"/>
      <c r="G45" s="346"/>
      <c r="H45" s="346"/>
    </row>
    <row r="46" spans="1:8" x14ac:dyDescent="0.25">
      <c r="A46" s="346" t="s">
        <v>467</v>
      </c>
      <c r="B46" s="346"/>
      <c r="C46" s="346"/>
      <c r="D46" s="346"/>
      <c r="E46" s="346"/>
      <c r="F46" s="346"/>
      <c r="G46" s="346"/>
      <c r="H46" s="346"/>
    </row>
    <row r="47" spans="1:8" x14ac:dyDescent="0.25">
      <c r="A47" s="346" t="s">
        <v>468</v>
      </c>
      <c r="B47" s="346"/>
      <c r="C47" s="346"/>
      <c r="D47" s="346"/>
      <c r="E47" s="346"/>
      <c r="F47" s="346"/>
      <c r="G47" s="346"/>
      <c r="H47" s="346"/>
    </row>
    <row r="48" spans="1:8" x14ac:dyDescent="0.25">
      <c r="A48" s="346" t="s">
        <v>469</v>
      </c>
      <c r="B48" s="346"/>
      <c r="C48" s="346"/>
      <c r="D48" s="346"/>
      <c r="E48" s="346"/>
      <c r="F48" s="346"/>
      <c r="G48" s="346"/>
      <c r="H48" s="346"/>
    </row>
    <row r="49" spans="1:8" x14ac:dyDescent="0.25">
      <c r="A49" s="346" t="s">
        <v>470</v>
      </c>
      <c r="B49" s="346"/>
      <c r="C49" s="346"/>
      <c r="D49" s="346"/>
      <c r="E49" s="346"/>
      <c r="F49" s="346"/>
      <c r="G49" s="346"/>
      <c r="H49" s="346"/>
    </row>
    <row r="50" spans="1:8" x14ac:dyDescent="0.25">
      <c r="A50" s="346" t="s">
        <v>471</v>
      </c>
      <c r="B50" s="346"/>
      <c r="C50" s="346"/>
      <c r="D50" s="346"/>
      <c r="E50" s="346"/>
      <c r="F50" s="346"/>
      <c r="G50" s="346"/>
      <c r="H50" s="346"/>
    </row>
    <row r="51" spans="1:8" x14ac:dyDescent="0.25">
      <c r="A51" s="346"/>
      <c r="B51" s="346"/>
      <c r="C51" s="346"/>
      <c r="D51" s="346"/>
      <c r="E51" s="346"/>
      <c r="F51" s="346"/>
      <c r="G51" s="346"/>
      <c r="H51" s="346"/>
    </row>
    <row r="52" spans="1:8" x14ac:dyDescent="0.25">
      <c r="A52" s="347" t="s">
        <v>472</v>
      </c>
      <c r="B52" s="347"/>
      <c r="C52" s="347"/>
      <c r="D52" s="347"/>
      <c r="E52" s="347"/>
      <c r="F52" s="347"/>
      <c r="G52" s="347"/>
      <c r="H52" s="346"/>
    </row>
    <row r="53" spans="1:8" x14ac:dyDescent="0.25">
      <c r="A53" s="347" t="s">
        <v>473</v>
      </c>
      <c r="B53" s="347"/>
      <c r="C53" s="347"/>
      <c r="D53" s="347"/>
      <c r="E53" s="347"/>
      <c r="F53" s="347"/>
      <c r="G53" s="347"/>
      <c r="H53" s="346"/>
    </row>
    <row r="54" spans="1:8" x14ac:dyDescent="0.25">
      <c r="A54" s="346"/>
      <c r="B54" s="346"/>
      <c r="C54" s="346"/>
      <c r="D54" s="346"/>
      <c r="E54" s="346"/>
      <c r="F54" s="346"/>
      <c r="G54" s="346"/>
      <c r="H54" s="346"/>
    </row>
    <row r="55" spans="1:8" x14ac:dyDescent="0.25">
      <c r="A55" s="346" t="s">
        <v>474</v>
      </c>
      <c r="B55" s="346"/>
      <c r="C55" s="346"/>
      <c r="D55" s="346"/>
      <c r="E55" s="346"/>
      <c r="F55" s="346"/>
      <c r="G55" s="346"/>
      <c r="H55" s="346"/>
    </row>
    <row r="56" spans="1:8" x14ac:dyDescent="0.25">
      <c r="A56" s="346" t="s">
        <v>475</v>
      </c>
      <c r="B56" s="346"/>
      <c r="C56" s="346"/>
      <c r="D56" s="346"/>
      <c r="E56" s="346"/>
      <c r="F56" s="346"/>
      <c r="G56" s="346"/>
      <c r="H56" s="346"/>
    </row>
    <row r="57" spans="1:8" x14ac:dyDescent="0.25">
      <c r="A57" s="346" t="s">
        <v>476</v>
      </c>
      <c r="B57" s="346"/>
      <c r="C57" s="346"/>
      <c r="D57" s="346"/>
      <c r="E57" s="346"/>
      <c r="F57" s="346"/>
      <c r="G57" s="346"/>
      <c r="H57" s="346"/>
    </row>
    <row r="58" spans="1:8" x14ac:dyDescent="0.25">
      <c r="A58" s="346" t="s">
        <v>477</v>
      </c>
      <c r="B58" s="346"/>
      <c r="C58" s="346"/>
      <c r="D58" s="346"/>
      <c r="E58" s="346"/>
      <c r="F58" s="346"/>
      <c r="G58" s="346"/>
      <c r="H58" s="346"/>
    </row>
    <row r="59" spans="1:8" x14ac:dyDescent="0.25">
      <c r="A59" s="346"/>
      <c r="B59" s="346"/>
      <c r="C59" s="346"/>
      <c r="D59" s="346"/>
      <c r="E59" s="346"/>
      <c r="F59" s="346"/>
      <c r="G59" s="346"/>
      <c r="H59" s="346"/>
    </row>
    <row r="60" spans="1:8" x14ac:dyDescent="0.25">
      <c r="A60" s="346" t="s">
        <v>478</v>
      </c>
      <c r="B60" s="346"/>
      <c r="C60" s="346"/>
      <c r="D60" s="346"/>
      <c r="E60" s="346"/>
      <c r="F60" s="346"/>
      <c r="G60" s="346"/>
      <c r="H60" s="346"/>
    </row>
    <row r="61" spans="1:8" x14ac:dyDescent="0.25">
      <c r="A61" s="346" t="s">
        <v>479</v>
      </c>
      <c r="B61" s="346"/>
      <c r="C61" s="346"/>
      <c r="D61" s="346"/>
      <c r="E61" s="346"/>
      <c r="F61" s="346"/>
      <c r="G61" s="346"/>
      <c r="H61" s="346"/>
    </row>
    <row r="62" spans="1:8" x14ac:dyDescent="0.25">
      <c r="A62" s="346" t="s">
        <v>480</v>
      </c>
      <c r="B62" s="346"/>
      <c r="C62" s="346"/>
      <c r="D62" s="346"/>
      <c r="E62" s="346"/>
      <c r="F62" s="346"/>
      <c r="G62" s="346"/>
      <c r="H62" s="346"/>
    </row>
    <row r="63" spans="1:8" x14ac:dyDescent="0.25">
      <c r="A63" s="346" t="s">
        <v>481</v>
      </c>
      <c r="B63" s="346"/>
      <c r="C63" s="346"/>
      <c r="D63" s="346"/>
      <c r="E63" s="346"/>
      <c r="F63" s="346"/>
      <c r="G63" s="346"/>
      <c r="H63" s="346"/>
    </row>
    <row r="64" spans="1:8" x14ac:dyDescent="0.25">
      <c r="A64" s="346" t="s">
        <v>482</v>
      </c>
      <c r="B64" s="346"/>
      <c r="C64" s="346"/>
      <c r="D64" s="346"/>
      <c r="E64" s="346"/>
      <c r="F64" s="346"/>
      <c r="G64" s="346"/>
      <c r="H64" s="346"/>
    </row>
    <row r="65" spans="1:8" x14ac:dyDescent="0.25">
      <c r="A65" s="346" t="s">
        <v>483</v>
      </c>
      <c r="B65" s="346"/>
      <c r="C65" s="346"/>
      <c r="D65" s="346"/>
      <c r="E65" s="346"/>
      <c r="F65" s="346"/>
      <c r="G65" s="346"/>
      <c r="H65" s="346"/>
    </row>
    <row r="66" spans="1:8" x14ac:dyDescent="0.25">
      <c r="A66" s="346"/>
      <c r="B66" s="346"/>
      <c r="C66" s="346"/>
      <c r="D66" s="346"/>
      <c r="E66" s="346"/>
      <c r="F66" s="346"/>
      <c r="G66" s="346"/>
      <c r="H66" s="346"/>
    </row>
    <row r="67" spans="1:8" x14ac:dyDescent="0.25">
      <c r="A67" s="346" t="s">
        <v>484</v>
      </c>
      <c r="B67" s="346"/>
      <c r="C67" s="346"/>
      <c r="D67" s="346"/>
      <c r="E67" s="346"/>
      <c r="F67" s="346"/>
      <c r="G67" s="346"/>
      <c r="H67" s="346"/>
    </row>
    <row r="68" spans="1:8" x14ac:dyDescent="0.25">
      <c r="A68" s="346" t="s">
        <v>485</v>
      </c>
      <c r="B68" s="346"/>
      <c r="C68" s="346"/>
      <c r="D68" s="346"/>
      <c r="E68" s="346"/>
      <c r="F68" s="346"/>
      <c r="G68" s="346"/>
      <c r="H68" s="346"/>
    </row>
    <row r="69" spans="1:8" x14ac:dyDescent="0.25">
      <c r="A69" s="346" t="s">
        <v>486</v>
      </c>
      <c r="B69" s="346"/>
      <c r="C69" s="346"/>
      <c r="D69" s="346"/>
      <c r="E69" s="346"/>
      <c r="F69" s="346"/>
      <c r="G69" s="346"/>
      <c r="H69" s="346"/>
    </row>
    <row r="70" spans="1:8" x14ac:dyDescent="0.25">
      <c r="A70" s="346" t="s">
        <v>487</v>
      </c>
      <c r="B70" s="346"/>
      <c r="C70" s="346"/>
      <c r="D70" s="346"/>
      <c r="E70" s="346"/>
      <c r="F70" s="346"/>
      <c r="G70" s="346"/>
      <c r="H70" s="346"/>
    </row>
    <row r="71" spans="1:8" x14ac:dyDescent="0.25">
      <c r="A71" s="346" t="s">
        <v>488</v>
      </c>
      <c r="B71" s="346"/>
      <c r="C71" s="346"/>
      <c r="D71" s="346"/>
      <c r="E71" s="346"/>
      <c r="F71" s="346"/>
      <c r="G71" s="346"/>
      <c r="H71" s="346"/>
    </row>
    <row r="72" spans="1:8" x14ac:dyDescent="0.25">
      <c r="A72" s="346" t="s">
        <v>489</v>
      </c>
      <c r="B72" s="346"/>
      <c r="C72" s="346"/>
      <c r="D72" s="346"/>
      <c r="E72" s="346"/>
      <c r="F72" s="346"/>
      <c r="G72" s="346"/>
      <c r="H72" s="346"/>
    </row>
    <row r="73" spans="1:8" x14ac:dyDescent="0.25">
      <c r="A73" s="346" t="s">
        <v>490</v>
      </c>
      <c r="B73" s="346"/>
      <c r="C73" s="346"/>
      <c r="D73" s="346"/>
      <c r="E73" s="346"/>
      <c r="F73" s="346"/>
      <c r="G73" s="346"/>
      <c r="H73" s="346"/>
    </row>
    <row r="74" spans="1:8" x14ac:dyDescent="0.25">
      <c r="A74" s="346"/>
      <c r="B74" s="346"/>
      <c r="C74" s="346"/>
      <c r="D74" s="346"/>
      <c r="E74" s="346"/>
      <c r="F74" s="346"/>
      <c r="G74" s="346"/>
      <c r="H74" s="346"/>
    </row>
    <row r="75" spans="1:8" x14ac:dyDescent="0.25">
      <c r="A75" s="346" t="s">
        <v>491</v>
      </c>
      <c r="B75" s="346"/>
      <c r="C75" s="346"/>
      <c r="D75" s="346"/>
      <c r="E75" s="346"/>
      <c r="F75" s="346"/>
      <c r="G75" s="346"/>
      <c r="H75" s="346"/>
    </row>
    <row r="76" spans="1:8" x14ac:dyDescent="0.25">
      <c r="A76" s="346" t="s">
        <v>492</v>
      </c>
      <c r="B76" s="346"/>
      <c r="C76" s="346"/>
      <c r="D76" s="346"/>
      <c r="E76" s="346"/>
      <c r="F76" s="346"/>
      <c r="G76" s="346"/>
      <c r="H76" s="346"/>
    </row>
    <row r="77" spans="1:8" x14ac:dyDescent="0.25">
      <c r="A77" s="346" t="s">
        <v>493</v>
      </c>
      <c r="B77" s="346"/>
      <c r="C77" s="346"/>
      <c r="D77" s="346"/>
      <c r="E77" s="346"/>
      <c r="F77" s="346"/>
      <c r="G77" s="346"/>
      <c r="H77" s="346"/>
    </row>
    <row r="78" spans="1:8" x14ac:dyDescent="0.25">
      <c r="A78" s="346"/>
      <c r="B78" s="346"/>
      <c r="C78" s="346"/>
      <c r="D78" s="346"/>
      <c r="E78" s="346"/>
      <c r="F78" s="346"/>
      <c r="G78" s="346"/>
      <c r="H78" s="346"/>
    </row>
    <row r="79" spans="1:8" x14ac:dyDescent="0.25">
      <c r="A79" s="346" t="s">
        <v>438</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494</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383</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495</v>
      </c>
      <c r="I7" s="345"/>
      <c r="J7" s="345"/>
      <c r="K7" s="345"/>
      <c r="L7" s="345"/>
    </row>
    <row r="8" spans="1:12" x14ac:dyDescent="0.25">
      <c r="A8" s="346"/>
      <c r="I8" s="345"/>
      <c r="J8" s="345"/>
      <c r="K8" s="345"/>
      <c r="L8" s="345"/>
    </row>
    <row r="9" spans="1:12" x14ac:dyDescent="0.25">
      <c r="A9" s="346" t="s">
        <v>496</v>
      </c>
      <c r="I9" s="345"/>
      <c r="J9" s="345"/>
      <c r="K9" s="345"/>
      <c r="L9" s="345"/>
    </row>
    <row r="10" spans="1:12" x14ac:dyDescent="0.25">
      <c r="A10" s="346" t="s">
        <v>497</v>
      </c>
      <c r="I10" s="345"/>
      <c r="J10" s="345"/>
      <c r="K10" s="345"/>
      <c r="L10" s="345"/>
    </row>
    <row r="11" spans="1:12" x14ac:dyDescent="0.25">
      <c r="A11" s="346" t="s">
        <v>498</v>
      </c>
      <c r="I11" s="345"/>
      <c r="J11" s="345"/>
      <c r="K11" s="345"/>
      <c r="L11" s="345"/>
    </row>
    <row r="12" spans="1:12" x14ac:dyDescent="0.25">
      <c r="A12" s="346" t="s">
        <v>499</v>
      </c>
      <c r="I12" s="345"/>
      <c r="J12" s="345"/>
      <c r="K12" s="345"/>
      <c r="L12" s="345"/>
    </row>
    <row r="13" spans="1:12" x14ac:dyDescent="0.25">
      <c r="A13" s="346" t="s">
        <v>500</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501</v>
      </c>
    </row>
    <row r="16" spans="1:12" x14ac:dyDescent="0.25">
      <c r="A16" s="347" t="s">
        <v>502</v>
      </c>
    </row>
    <row r="17" spans="1:7" x14ac:dyDescent="0.25">
      <c r="A17" s="347"/>
    </row>
    <row r="18" spans="1:7" x14ac:dyDescent="0.25">
      <c r="A18" s="346" t="s">
        <v>503</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504</v>
      </c>
      <c r="B20" s="346"/>
      <c r="C20" s="346"/>
      <c r="D20" s="346"/>
      <c r="E20" s="346"/>
      <c r="F20" s="346"/>
      <c r="G20" s="346"/>
    </row>
    <row r="21" spans="1:7" x14ac:dyDescent="0.25">
      <c r="A21" s="346" t="s">
        <v>505</v>
      </c>
      <c r="B21" s="346"/>
      <c r="C21" s="346"/>
      <c r="D21" s="346"/>
      <c r="E21" s="346"/>
      <c r="F21" s="346"/>
      <c r="G21" s="346"/>
    </row>
    <row r="22" spans="1:7" x14ac:dyDescent="0.25">
      <c r="A22" s="346"/>
    </row>
    <row r="23" spans="1:7" x14ac:dyDescent="0.25">
      <c r="A23" s="347" t="s">
        <v>506</v>
      </c>
    </row>
    <row r="24" spans="1:7" x14ac:dyDescent="0.25">
      <c r="A24" s="347"/>
    </row>
    <row r="25" spans="1:7" x14ac:dyDescent="0.25">
      <c r="A25" s="346" t="s">
        <v>507</v>
      </c>
    </row>
    <row r="26" spans="1:7" x14ac:dyDescent="0.25">
      <c r="A26" s="346" t="s">
        <v>508</v>
      </c>
      <c r="B26" s="346"/>
      <c r="C26" s="346"/>
      <c r="D26" s="346"/>
      <c r="E26" s="346"/>
      <c r="F26" s="346"/>
    </row>
    <row r="27" spans="1:7" x14ac:dyDescent="0.25">
      <c r="A27" s="346" t="s">
        <v>509</v>
      </c>
      <c r="B27" s="346"/>
      <c r="C27" s="346"/>
      <c r="D27" s="346"/>
      <c r="E27" s="346"/>
      <c r="F27" s="346"/>
    </row>
    <row r="28" spans="1:7" x14ac:dyDescent="0.25">
      <c r="A28" s="346" t="s">
        <v>510</v>
      </c>
      <c r="B28" s="346"/>
      <c r="C28" s="346"/>
      <c r="D28" s="346"/>
      <c r="E28" s="346"/>
      <c r="F28" s="346"/>
    </row>
    <row r="29" spans="1:7" x14ac:dyDescent="0.25">
      <c r="A29" s="346"/>
      <c r="B29" s="346"/>
      <c r="C29" s="346"/>
      <c r="D29" s="346"/>
      <c r="E29" s="346"/>
      <c r="F29" s="346"/>
    </row>
    <row r="30" spans="1:7" x14ac:dyDescent="0.25">
      <c r="A30" s="347" t="s">
        <v>511</v>
      </c>
      <c r="B30" s="347"/>
      <c r="C30" s="347"/>
      <c r="D30" s="347"/>
      <c r="E30" s="347"/>
      <c r="F30" s="347"/>
      <c r="G30" s="347"/>
    </row>
    <row r="31" spans="1:7" x14ac:dyDescent="0.25">
      <c r="A31" s="347" t="s">
        <v>512</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513</v>
      </c>
      <c r="B34" s="346"/>
      <c r="C34" s="346"/>
      <c r="D34" s="346"/>
      <c r="E34" s="346"/>
      <c r="F34" s="346"/>
    </row>
    <row r="35" spans="1:6" x14ac:dyDescent="0.25">
      <c r="A35" s="350" t="s">
        <v>397</v>
      </c>
      <c r="B35" s="346"/>
      <c r="C35" s="346"/>
      <c r="D35" s="346"/>
      <c r="E35" s="346"/>
      <c r="F35" s="346"/>
    </row>
    <row r="36" spans="1:6" x14ac:dyDescent="0.25">
      <c r="A36" s="350" t="s">
        <v>398</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399</v>
      </c>
      <c r="B39" s="346"/>
      <c r="C39" s="346"/>
      <c r="D39" s="346"/>
      <c r="E39" s="346"/>
      <c r="F39" s="346"/>
    </row>
    <row r="40" spans="1:6" x14ac:dyDescent="0.25">
      <c r="A40" s="350" t="s">
        <v>400</v>
      </c>
      <c r="B40" s="346"/>
      <c r="C40" s="346"/>
      <c r="D40" s="346"/>
      <c r="E40" s="346"/>
      <c r="F40" s="346"/>
    </row>
    <row r="41" spans="1:6" x14ac:dyDescent="0.25">
      <c r="A41" s="350"/>
      <c r="B41" s="346"/>
      <c r="C41" s="346"/>
      <c r="D41" s="346"/>
      <c r="E41" s="346"/>
      <c r="F41" s="346"/>
    </row>
    <row r="42" spans="1:6" x14ac:dyDescent="0.25">
      <c r="A42" s="350" t="s">
        <v>401</v>
      </c>
      <c r="B42" s="346"/>
      <c r="C42" s="346"/>
      <c r="D42" s="346"/>
      <c r="E42" s="346"/>
      <c r="F42" s="346"/>
    </row>
    <row r="43" spans="1:6" x14ac:dyDescent="0.25">
      <c r="A43" s="350" t="s">
        <v>402</v>
      </c>
      <c r="B43" s="346"/>
      <c r="C43" s="346"/>
      <c r="D43" s="346"/>
      <c r="E43" s="346"/>
      <c r="F43" s="346"/>
    </row>
    <row r="44" spans="1:6" x14ac:dyDescent="0.25">
      <c r="A44" s="350" t="s">
        <v>403</v>
      </c>
      <c r="B44" s="346"/>
      <c r="C44" s="346"/>
      <c r="D44" s="346"/>
      <c r="E44" s="346"/>
      <c r="F44" s="346"/>
    </row>
    <row r="45" spans="1:6" x14ac:dyDescent="0.25">
      <c r="A45" s="350" t="s">
        <v>514</v>
      </c>
      <c r="B45" s="346"/>
      <c r="C45" s="346"/>
      <c r="D45" s="346"/>
      <c r="E45" s="346"/>
      <c r="F45" s="346"/>
    </row>
    <row r="46" spans="1:6" x14ac:dyDescent="0.25">
      <c r="A46" s="350" t="s">
        <v>405</v>
      </c>
      <c r="B46" s="346"/>
      <c r="C46" s="346"/>
      <c r="D46" s="346"/>
      <c r="E46" s="346"/>
      <c r="F46" s="346"/>
    </row>
    <row r="47" spans="1:6" x14ac:dyDescent="0.25">
      <c r="A47" s="350" t="s">
        <v>515</v>
      </c>
      <c r="B47" s="346"/>
      <c r="C47" s="346"/>
      <c r="D47" s="346"/>
      <c r="E47" s="346"/>
      <c r="F47" s="346"/>
    </row>
    <row r="48" spans="1:6" x14ac:dyDescent="0.25">
      <c r="A48" s="350" t="s">
        <v>516</v>
      </c>
      <c r="B48" s="346"/>
      <c r="C48" s="346"/>
      <c r="D48" s="346"/>
      <c r="E48" s="346"/>
      <c r="F48" s="346"/>
    </row>
    <row r="49" spans="1:6" x14ac:dyDescent="0.25">
      <c r="A49" s="350" t="s">
        <v>408</v>
      </c>
      <c r="B49" s="346"/>
      <c r="C49" s="346"/>
      <c r="D49" s="346"/>
      <c r="E49" s="346"/>
      <c r="F49" s="346"/>
    </row>
    <row r="50" spans="1:6" x14ac:dyDescent="0.25">
      <c r="A50" s="350"/>
      <c r="B50" s="346"/>
      <c r="C50" s="346"/>
      <c r="D50" s="346"/>
      <c r="E50" s="346"/>
      <c r="F50" s="346"/>
    </row>
    <row r="51" spans="1:6" x14ac:dyDescent="0.25">
      <c r="A51" s="350" t="s">
        <v>409</v>
      </c>
      <c r="B51" s="346"/>
      <c r="C51" s="346"/>
      <c r="D51" s="346"/>
      <c r="E51" s="346"/>
      <c r="F51" s="346"/>
    </row>
    <row r="52" spans="1:6" x14ac:dyDescent="0.25">
      <c r="A52" s="350" t="s">
        <v>410</v>
      </c>
      <c r="B52" s="346"/>
      <c r="C52" s="346"/>
      <c r="D52" s="346"/>
      <c r="E52" s="346"/>
      <c r="F52" s="346"/>
    </row>
    <row r="53" spans="1:6" x14ac:dyDescent="0.25">
      <c r="A53" s="350" t="s">
        <v>411</v>
      </c>
      <c r="B53" s="346"/>
      <c r="C53" s="346"/>
      <c r="D53" s="346"/>
      <c r="E53" s="346"/>
      <c r="F53" s="346"/>
    </row>
    <row r="54" spans="1:6" x14ac:dyDescent="0.25">
      <c r="A54" s="350"/>
      <c r="B54" s="346"/>
      <c r="C54" s="346"/>
      <c r="D54" s="346"/>
      <c r="E54" s="346"/>
      <c r="F54" s="346"/>
    </row>
    <row r="55" spans="1:6" x14ac:dyDescent="0.25">
      <c r="A55" s="350" t="s">
        <v>517</v>
      </c>
      <c r="B55" s="346"/>
      <c r="C55" s="346"/>
      <c r="D55" s="346"/>
      <c r="E55" s="346"/>
      <c r="F55" s="346"/>
    </row>
    <row r="56" spans="1:6" x14ac:dyDescent="0.25">
      <c r="A56" s="350" t="s">
        <v>518</v>
      </c>
      <c r="B56" s="346"/>
      <c r="C56" s="346"/>
      <c r="D56" s="346"/>
      <c r="E56" s="346"/>
      <c r="F56" s="346"/>
    </row>
    <row r="57" spans="1:6" x14ac:dyDescent="0.25">
      <c r="A57" s="350" t="s">
        <v>519</v>
      </c>
      <c r="B57" s="346"/>
      <c r="C57" s="346"/>
      <c r="D57" s="346"/>
      <c r="E57" s="346"/>
      <c r="F57" s="346"/>
    </row>
    <row r="58" spans="1:6" x14ac:dyDescent="0.25">
      <c r="A58" s="350" t="s">
        <v>520</v>
      </c>
      <c r="B58" s="346"/>
      <c r="C58" s="346"/>
      <c r="D58" s="346"/>
      <c r="E58" s="346"/>
      <c r="F58" s="346"/>
    </row>
    <row r="59" spans="1:6" x14ac:dyDescent="0.25">
      <c r="A59" s="350" t="s">
        <v>521</v>
      </c>
      <c r="B59" s="346"/>
      <c r="C59" s="346"/>
      <c r="D59" s="346"/>
      <c r="E59" s="346"/>
      <c r="F59" s="346"/>
    </row>
    <row r="60" spans="1:6" x14ac:dyDescent="0.25">
      <c r="A60" s="350"/>
      <c r="B60" s="346"/>
      <c r="C60" s="346"/>
      <c r="D60" s="346"/>
      <c r="E60" s="346"/>
      <c r="F60" s="346"/>
    </row>
    <row r="61" spans="1:6" x14ac:dyDescent="0.25">
      <c r="A61" s="351" t="s">
        <v>522</v>
      </c>
      <c r="B61" s="346"/>
      <c r="C61" s="346"/>
      <c r="D61" s="346"/>
      <c r="E61" s="346"/>
      <c r="F61" s="346"/>
    </row>
    <row r="62" spans="1:6" x14ac:dyDescent="0.25">
      <c r="A62" s="351" t="s">
        <v>523</v>
      </c>
      <c r="B62" s="346"/>
      <c r="C62" s="346"/>
      <c r="D62" s="346"/>
      <c r="E62" s="346"/>
      <c r="F62" s="346"/>
    </row>
    <row r="63" spans="1:6" x14ac:dyDescent="0.25">
      <c r="A63" s="351" t="s">
        <v>524</v>
      </c>
      <c r="B63" s="346"/>
      <c r="C63" s="346"/>
      <c r="D63" s="346"/>
      <c r="E63" s="346"/>
      <c r="F63" s="346"/>
    </row>
    <row r="64" spans="1:6" x14ac:dyDescent="0.25">
      <c r="A64" s="351" t="s">
        <v>525</v>
      </c>
    </row>
    <row r="65" spans="1:1" x14ac:dyDescent="0.25">
      <c r="A65" s="351" t="s">
        <v>526</v>
      </c>
    </row>
    <row r="66" spans="1:1" x14ac:dyDescent="0.25">
      <c r="A66" s="351" t="s">
        <v>527</v>
      </c>
    </row>
    <row r="68" spans="1:1" x14ac:dyDescent="0.25">
      <c r="A68" s="346" t="s">
        <v>528</v>
      </c>
    </row>
    <row r="69" spans="1:1" x14ac:dyDescent="0.25">
      <c r="A69" s="346" t="s">
        <v>529</v>
      </c>
    </row>
    <row r="70" spans="1:1" x14ac:dyDescent="0.25">
      <c r="A70" s="346" t="s">
        <v>530</v>
      </c>
    </row>
    <row r="71" spans="1:1" x14ac:dyDescent="0.25">
      <c r="A71" s="346" t="s">
        <v>531</v>
      </c>
    </row>
    <row r="72" spans="1:1" x14ac:dyDescent="0.25">
      <c r="A72" s="346" t="s">
        <v>532</v>
      </c>
    </row>
    <row r="73" spans="1:1" x14ac:dyDescent="0.25">
      <c r="A73" s="346" t="s">
        <v>533</v>
      </c>
    </row>
    <row r="75" spans="1:1" x14ac:dyDescent="0.25">
      <c r="A75" s="346" t="s">
        <v>438</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5" t="s">
        <v>534</v>
      </c>
      <c r="B3" s="345"/>
      <c r="C3" s="345"/>
      <c r="D3" s="345"/>
      <c r="E3" s="345"/>
      <c r="F3" s="345"/>
      <c r="G3" s="345"/>
    </row>
    <row r="4" spans="1:7" x14ac:dyDescent="0.25">
      <c r="A4" s="345"/>
      <c r="B4" s="345"/>
      <c r="C4" s="345"/>
      <c r="D4" s="345"/>
      <c r="E4" s="345"/>
      <c r="F4" s="345"/>
      <c r="G4" s="345"/>
    </row>
    <row r="5" spans="1:7" x14ac:dyDescent="0.25">
      <c r="A5" s="346" t="s">
        <v>440</v>
      </c>
    </row>
    <row r="6" spans="1:7" x14ac:dyDescent="0.25">
      <c r="A6" s="346" t="str">
        <f>CONCATENATE(inputPrYr!D9," estimated expenditures show that at the end of this year")</f>
        <v>2015 estimated expenditures show that at the end of this year</v>
      </c>
    </row>
    <row r="7" spans="1:7" x14ac:dyDescent="0.25">
      <c r="A7" s="346" t="s">
        <v>535</v>
      </c>
    </row>
    <row r="8" spans="1:7" x14ac:dyDescent="0.25">
      <c r="A8" s="346" t="s">
        <v>536</v>
      </c>
    </row>
    <row r="10" spans="1:7" x14ac:dyDescent="0.25">
      <c r="A10" t="s">
        <v>442</v>
      </c>
    </row>
    <row r="11" spans="1:7" x14ac:dyDescent="0.25">
      <c r="A11" t="s">
        <v>443</v>
      </c>
    </row>
    <row r="12" spans="1:7" x14ac:dyDescent="0.25">
      <c r="A12" t="s">
        <v>444</v>
      </c>
    </row>
    <row r="13" spans="1:7" x14ac:dyDescent="0.25">
      <c r="A13" s="345"/>
      <c r="B13" s="345"/>
      <c r="C13" s="345"/>
      <c r="D13" s="345"/>
      <c r="E13" s="345"/>
      <c r="F13" s="345"/>
      <c r="G13" s="345"/>
    </row>
    <row r="14" spans="1:7" x14ac:dyDescent="0.25">
      <c r="A14" s="347" t="s">
        <v>537</v>
      </c>
    </row>
    <row r="15" spans="1:7" x14ac:dyDescent="0.25">
      <c r="A15" s="346"/>
    </row>
    <row r="16" spans="1:7" x14ac:dyDescent="0.25">
      <c r="A16" s="346" t="s">
        <v>538</v>
      </c>
    </row>
    <row r="17" spans="1:7" x14ac:dyDescent="0.25">
      <c r="A17" s="346" t="s">
        <v>539</v>
      </c>
    </row>
    <row r="18" spans="1:7" x14ac:dyDescent="0.25">
      <c r="A18" s="346" t="s">
        <v>540</v>
      </c>
    </row>
    <row r="19" spans="1:7" x14ac:dyDescent="0.25">
      <c r="A19" s="346"/>
    </row>
    <row r="20" spans="1:7" x14ac:dyDescent="0.25">
      <c r="A20" s="346" t="s">
        <v>541</v>
      </c>
    </row>
    <row r="21" spans="1:7" x14ac:dyDescent="0.25">
      <c r="A21" s="346" t="s">
        <v>542</v>
      </c>
    </row>
    <row r="22" spans="1:7" x14ac:dyDescent="0.25">
      <c r="A22" s="346" t="s">
        <v>543</v>
      </c>
    </row>
    <row r="23" spans="1:7" x14ac:dyDescent="0.25">
      <c r="A23" s="346" t="s">
        <v>544</v>
      </c>
    </row>
    <row r="24" spans="1:7" x14ac:dyDescent="0.25">
      <c r="A24" s="346"/>
    </row>
    <row r="25" spans="1:7" x14ac:dyDescent="0.25">
      <c r="A25" s="347" t="s">
        <v>506</v>
      </c>
    </row>
    <row r="26" spans="1:7" x14ac:dyDescent="0.25">
      <c r="A26" s="347"/>
    </row>
    <row r="27" spans="1:7" x14ac:dyDescent="0.25">
      <c r="A27" s="346" t="s">
        <v>507</v>
      </c>
    </row>
    <row r="28" spans="1:7" x14ac:dyDescent="0.25">
      <c r="A28" s="346" t="s">
        <v>508</v>
      </c>
      <c r="B28" s="346"/>
      <c r="C28" s="346"/>
      <c r="D28" s="346"/>
      <c r="E28" s="346"/>
      <c r="F28" s="346"/>
    </row>
    <row r="29" spans="1:7" x14ac:dyDescent="0.25">
      <c r="A29" s="346" t="s">
        <v>509</v>
      </c>
      <c r="B29" s="346"/>
      <c r="C29" s="346"/>
      <c r="D29" s="346"/>
      <c r="E29" s="346"/>
      <c r="F29" s="346"/>
    </row>
    <row r="30" spans="1:7" x14ac:dyDescent="0.25">
      <c r="A30" s="346" t="s">
        <v>510</v>
      </c>
      <c r="B30" s="346"/>
      <c r="C30" s="346"/>
      <c r="D30" s="346"/>
      <c r="E30" s="346"/>
      <c r="F30" s="346"/>
    </row>
    <row r="31" spans="1:7" x14ac:dyDescent="0.25">
      <c r="A31" s="346"/>
    </row>
    <row r="32" spans="1:7" x14ac:dyDescent="0.25">
      <c r="A32" s="347" t="s">
        <v>511</v>
      </c>
      <c r="B32" s="347"/>
      <c r="C32" s="347"/>
      <c r="D32" s="347"/>
      <c r="E32" s="347"/>
      <c r="F32" s="347"/>
      <c r="G32" s="347"/>
    </row>
    <row r="33" spans="1:7" x14ac:dyDescent="0.25">
      <c r="A33" s="347" t="s">
        <v>512</v>
      </c>
      <c r="B33" s="347"/>
      <c r="C33" s="347"/>
      <c r="D33" s="347"/>
      <c r="E33" s="347"/>
      <c r="F33" s="347"/>
      <c r="G33" s="347"/>
    </row>
    <row r="34" spans="1:7" x14ac:dyDescent="0.25">
      <c r="A34" s="347"/>
      <c r="B34" s="347"/>
      <c r="C34" s="347"/>
      <c r="D34" s="347"/>
      <c r="E34" s="347"/>
      <c r="F34" s="347"/>
      <c r="G34" s="347"/>
    </row>
    <row r="35" spans="1:7" x14ac:dyDescent="0.25">
      <c r="A35" s="346" t="s">
        <v>545</v>
      </c>
      <c r="B35" s="346"/>
      <c r="C35" s="346"/>
      <c r="D35" s="346"/>
      <c r="E35" s="346"/>
      <c r="F35" s="346"/>
      <c r="G35" s="346"/>
    </row>
    <row r="36" spans="1:7" x14ac:dyDescent="0.25">
      <c r="A36" s="346" t="s">
        <v>546</v>
      </c>
      <c r="B36" s="346"/>
      <c r="C36" s="346"/>
      <c r="D36" s="346"/>
      <c r="E36" s="346"/>
      <c r="F36" s="346"/>
      <c r="G36" s="346"/>
    </row>
    <row r="37" spans="1:7" x14ac:dyDescent="0.25">
      <c r="A37" s="346" t="s">
        <v>547</v>
      </c>
      <c r="B37" s="346"/>
      <c r="C37" s="346"/>
      <c r="D37" s="346"/>
      <c r="E37" s="346"/>
      <c r="F37" s="346"/>
      <c r="G37" s="346"/>
    </row>
    <row r="38" spans="1:7" x14ac:dyDescent="0.25">
      <c r="A38" s="346" t="s">
        <v>548</v>
      </c>
      <c r="B38" s="346"/>
      <c r="C38" s="346"/>
      <c r="D38" s="346"/>
      <c r="E38" s="346"/>
      <c r="F38" s="346"/>
      <c r="G38" s="346"/>
    </row>
    <row r="39" spans="1:7" x14ac:dyDescent="0.25">
      <c r="A39" s="346" t="s">
        <v>549</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513</v>
      </c>
      <c r="B42" s="346"/>
      <c r="C42" s="346"/>
      <c r="D42" s="346"/>
      <c r="E42" s="346"/>
      <c r="F42" s="346"/>
    </row>
    <row r="43" spans="1:7" x14ac:dyDescent="0.25">
      <c r="A43" s="350" t="s">
        <v>397</v>
      </c>
      <c r="B43" s="346"/>
      <c r="C43" s="346"/>
      <c r="D43" s="346"/>
      <c r="E43" s="346"/>
      <c r="F43" s="346"/>
    </row>
    <row r="44" spans="1:7" x14ac:dyDescent="0.25">
      <c r="A44" s="350" t="s">
        <v>398</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399</v>
      </c>
      <c r="B47" s="346"/>
      <c r="C47" s="346"/>
      <c r="D47" s="346"/>
      <c r="E47" s="346"/>
      <c r="F47" s="346"/>
    </row>
    <row r="48" spans="1:7" x14ac:dyDescent="0.25">
      <c r="A48" s="350" t="s">
        <v>400</v>
      </c>
      <c r="B48" s="346"/>
      <c r="C48" s="346"/>
      <c r="D48" s="346"/>
      <c r="E48" s="346"/>
      <c r="F48" s="346"/>
    </row>
    <row r="49" spans="1:7" x14ac:dyDescent="0.25">
      <c r="A49" s="346"/>
      <c r="B49" s="346"/>
      <c r="C49" s="346"/>
      <c r="D49" s="346"/>
      <c r="E49" s="346"/>
      <c r="F49" s="346"/>
      <c r="G49" s="346"/>
    </row>
    <row r="50" spans="1:7" x14ac:dyDescent="0.25">
      <c r="A50" s="346" t="s">
        <v>467</v>
      </c>
      <c r="B50" s="346"/>
      <c r="C50" s="346"/>
      <c r="D50" s="346"/>
      <c r="E50" s="346"/>
      <c r="F50" s="346"/>
      <c r="G50" s="346"/>
    </row>
    <row r="51" spans="1:7" x14ac:dyDescent="0.25">
      <c r="A51" s="346" t="s">
        <v>468</v>
      </c>
      <c r="B51" s="346"/>
      <c r="C51" s="346"/>
      <c r="D51" s="346"/>
      <c r="E51" s="346"/>
      <c r="F51" s="346"/>
      <c r="G51" s="346"/>
    </row>
    <row r="52" spans="1:7" x14ac:dyDescent="0.25">
      <c r="A52" s="346" t="s">
        <v>469</v>
      </c>
      <c r="B52" s="346"/>
      <c r="C52" s="346"/>
      <c r="D52" s="346"/>
      <c r="E52" s="346"/>
      <c r="F52" s="346"/>
      <c r="G52" s="346"/>
    </row>
    <row r="53" spans="1:7" x14ac:dyDescent="0.25">
      <c r="A53" s="346" t="s">
        <v>470</v>
      </c>
      <c r="B53" s="346"/>
      <c r="C53" s="346"/>
      <c r="D53" s="346"/>
      <c r="E53" s="346"/>
      <c r="F53" s="346"/>
      <c r="G53" s="346"/>
    </row>
    <row r="54" spans="1:7" x14ac:dyDescent="0.25">
      <c r="A54" s="346" t="s">
        <v>471</v>
      </c>
      <c r="B54" s="346"/>
      <c r="C54" s="346"/>
      <c r="D54" s="346"/>
      <c r="E54" s="346"/>
      <c r="F54" s="346"/>
      <c r="G54" s="346"/>
    </row>
    <row r="55" spans="1:7" x14ac:dyDescent="0.25">
      <c r="A55" s="346"/>
      <c r="B55" s="346"/>
      <c r="C55" s="346"/>
      <c r="D55" s="346"/>
      <c r="E55" s="346"/>
      <c r="F55" s="346"/>
      <c r="G55" s="346"/>
    </row>
    <row r="56" spans="1:7" x14ac:dyDescent="0.25">
      <c r="A56" s="350" t="s">
        <v>409</v>
      </c>
      <c r="B56" s="346"/>
      <c r="C56" s="346"/>
      <c r="D56" s="346"/>
      <c r="E56" s="346"/>
      <c r="F56" s="346"/>
    </row>
    <row r="57" spans="1:7" x14ac:dyDescent="0.25">
      <c r="A57" s="350" t="s">
        <v>410</v>
      </c>
      <c r="B57" s="346"/>
      <c r="C57" s="346"/>
      <c r="D57" s="346"/>
      <c r="E57" s="346"/>
      <c r="F57" s="346"/>
    </row>
    <row r="58" spans="1:7" x14ac:dyDescent="0.25">
      <c r="A58" s="350" t="s">
        <v>411</v>
      </c>
      <c r="B58" s="346"/>
      <c r="C58" s="346"/>
      <c r="D58" s="346"/>
      <c r="E58" s="346"/>
      <c r="F58" s="346"/>
    </row>
    <row r="59" spans="1:7" x14ac:dyDescent="0.25">
      <c r="A59" s="350"/>
      <c r="B59" s="346"/>
      <c r="C59" s="346"/>
      <c r="D59" s="346"/>
      <c r="E59" s="346"/>
      <c r="F59" s="346"/>
    </row>
    <row r="60" spans="1:7" x14ac:dyDescent="0.25">
      <c r="A60" s="346" t="s">
        <v>550</v>
      </c>
      <c r="B60" s="346"/>
      <c r="C60" s="346"/>
      <c r="D60" s="346"/>
      <c r="E60" s="346"/>
      <c r="F60" s="346"/>
      <c r="G60" s="346"/>
    </row>
    <row r="61" spans="1:7" x14ac:dyDescent="0.25">
      <c r="A61" s="346" t="s">
        <v>551</v>
      </c>
      <c r="B61" s="346"/>
      <c r="C61" s="346"/>
      <c r="D61" s="346"/>
      <c r="E61" s="346"/>
      <c r="F61" s="346"/>
      <c r="G61" s="346"/>
    </row>
    <row r="62" spans="1:7" x14ac:dyDescent="0.25">
      <c r="A62" s="346" t="s">
        <v>552</v>
      </c>
      <c r="B62" s="346"/>
      <c r="C62" s="346"/>
      <c r="D62" s="346"/>
      <c r="E62" s="346"/>
      <c r="F62" s="346"/>
      <c r="G62" s="346"/>
    </row>
    <row r="63" spans="1:7" x14ac:dyDescent="0.25">
      <c r="A63" s="346" t="s">
        <v>553</v>
      </c>
      <c r="B63" s="346"/>
      <c r="C63" s="346"/>
      <c r="D63" s="346"/>
      <c r="E63" s="346"/>
      <c r="F63" s="346"/>
      <c r="G63" s="346"/>
    </row>
    <row r="64" spans="1:7" x14ac:dyDescent="0.25">
      <c r="A64" s="346" t="s">
        <v>554</v>
      </c>
      <c r="B64" s="346"/>
      <c r="C64" s="346"/>
      <c r="D64" s="346"/>
      <c r="E64" s="346"/>
      <c r="F64" s="346"/>
      <c r="G64" s="346"/>
    </row>
    <row r="66" spans="1:6" x14ac:dyDescent="0.25">
      <c r="A66" s="350" t="s">
        <v>517</v>
      </c>
      <c r="B66" s="346"/>
      <c r="C66" s="346"/>
      <c r="D66" s="346"/>
      <c r="E66" s="346"/>
      <c r="F66" s="346"/>
    </row>
    <row r="67" spans="1:6" x14ac:dyDescent="0.25">
      <c r="A67" s="350" t="s">
        <v>518</v>
      </c>
      <c r="B67" s="346"/>
      <c r="C67" s="346"/>
      <c r="D67" s="346"/>
      <c r="E67" s="346"/>
      <c r="F67" s="346"/>
    </row>
    <row r="68" spans="1:6" x14ac:dyDescent="0.25">
      <c r="A68" s="350" t="s">
        <v>519</v>
      </c>
      <c r="B68" s="346"/>
      <c r="C68" s="346"/>
      <c r="D68" s="346"/>
      <c r="E68" s="346"/>
      <c r="F68" s="346"/>
    </row>
    <row r="69" spans="1:6" x14ac:dyDescent="0.25">
      <c r="A69" s="350" t="s">
        <v>520</v>
      </c>
      <c r="B69" s="346"/>
      <c r="C69" s="346"/>
      <c r="D69" s="346"/>
      <c r="E69" s="346"/>
      <c r="F69" s="346"/>
    </row>
    <row r="70" spans="1:6" x14ac:dyDescent="0.25">
      <c r="A70" s="350" t="s">
        <v>521</v>
      </c>
      <c r="B70" s="346"/>
      <c r="C70" s="346"/>
      <c r="D70" s="346"/>
      <c r="E70" s="346"/>
      <c r="F70" s="346"/>
    </row>
    <row r="71" spans="1:6" x14ac:dyDescent="0.25">
      <c r="A71" s="346"/>
    </row>
    <row r="72" spans="1:6" x14ac:dyDescent="0.25">
      <c r="A72" s="346" t="s">
        <v>438</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555</v>
      </c>
      <c r="B3" s="345"/>
      <c r="C3" s="345"/>
      <c r="D3" s="345"/>
      <c r="E3" s="345"/>
      <c r="F3" s="345"/>
      <c r="G3" s="345"/>
    </row>
    <row r="4" spans="1:7" x14ac:dyDescent="0.25">
      <c r="A4" s="345" t="s">
        <v>556</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383</v>
      </c>
    </row>
    <row r="8" spans="1:7" x14ac:dyDescent="0.25">
      <c r="A8" s="346" t="str">
        <f>CONCATENATE("estimated ",inputPrYr!D9," 'total expenditures' exceed your ",inputPrYr!D9,"")</f>
        <v>estimated 2015 'total expenditures' exceed your 2015</v>
      </c>
    </row>
    <row r="9" spans="1:7" x14ac:dyDescent="0.25">
      <c r="A9" s="349" t="s">
        <v>557</v>
      </c>
    </row>
    <row r="10" spans="1:7" x14ac:dyDescent="0.25">
      <c r="A10" s="346"/>
    </row>
    <row r="11" spans="1:7" x14ac:dyDescent="0.25">
      <c r="A11" s="346" t="s">
        <v>558</v>
      </c>
    </row>
    <row r="12" spans="1:7" x14ac:dyDescent="0.25">
      <c r="A12" s="346" t="s">
        <v>559</v>
      </c>
    </row>
    <row r="13" spans="1:7" x14ac:dyDescent="0.25">
      <c r="A13" s="346" t="s">
        <v>560</v>
      </c>
    </row>
    <row r="14" spans="1:7" x14ac:dyDescent="0.25">
      <c r="A14" s="346"/>
    </row>
    <row r="15" spans="1:7" x14ac:dyDescent="0.25">
      <c r="A15" s="347" t="s">
        <v>561</v>
      </c>
    </row>
    <row r="16" spans="1:7" x14ac:dyDescent="0.25">
      <c r="A16" s="345"/>
      <c r="B16" s="345"/>
      <c r="C16" s="345"/>
      <c r="D16" s="345"/>
      <c r="E16" s="345"/>
      <c r="F16" s="345"/>
      <c r="G16" s="345"/>
    </row>
    <row r="17" spans="1:8" x14ac:dyDescent="0.25">
      <c r="A17" s="352" t="s">
        <v>562</v>
      </c>
      <c r="B17" s="344"/>
      <c r="C17" s="344"/>
      <c r="D17" s="344"/>
      <c r="E17" s="344"/>
      <c r="F17" s="344"/>
      <c r="G17" s="344"/>
      <c r="H17" s="344"/>
    </row>
    <row r="18" spans="1:8" x14ac:dyDescent="0.25">
      <c r="A18" s="346" t="s">
        <v>563</v>
      </c>
      <c r="B18" s="353"/>
      <c r="C18" s="353"/>
      <c r="D18" s="353"/>
      <c r="E18" s="353"/>
      <c r="F18" s="353"/>
      <c r="G18" s="353"/>
    </row>
    <row r="19" spans="1:8" x14ac:dyDescent="0.25">
      <c r="A19" s="346" t="s">
        <v>564</v>
      </c>
    </row>
    <row r="20" spans="1:8" x14ac:dyDescent="0.25">
      <c r="A20" s="346" t="s">
        <v>565</v>
      </c>
    </row>
    <row r="22" spans="1:8" x14ac:dyDescent="0.25">
      <c r="A22" s="347" t="s">
        <v>566</v>
      </c>
    </row>
    <row r="24" spans="1:8" x14ac:dyDescent="0.25">
      <c r="A24" s="346" t="s">
        <v>567</v>
      </c>
    </row>
    <row r="25" spans="1:8" x14ac:dyDescent="0.25">
      <c r="A25" s="346" t="s">
        <v>568</v>
      </c>
    </row>
    <row r="26" spans="1:8" x14ac:dyDescent="0.25">
      <c r="A26" s="346" t="s">
        <v>569</v>
      </c>
    </row>
    <row r="28" spans="1:8" x14ac:dyDescent="0.25">
      <c r="A28" s="347" t="s">
        <v>570</v>
      </c>
    </row>
    <row r="30" spans="1:8" x14ac:dyDescent="0.25">
      <c r="A30" t="s">
        <v>571</v>
      </c>
    </row>
    <row r="31" spans="1:8" x14ac:dyDescent="0.25">
      <c r="A31" t="s">
        <v>572</v>
      </c>
    </row>
    <row r="32" spans="1:8" x14ac:dyDescent="0.25">
      <c r="A32" t="s">
        <v>573</v>
      </c>
    </row>
    <row r="33" spans="1:1" x14ac:dyDescent="0.25">
      <c r="A33" s="346" t="s">
        <v>574</v>
      </c>
    </row>
    <row r="35" spans="1:1" x14ac:dyDescent="0.25">
      <c r="A35" t="s">
        <v>575</v>
      </c>
    </row>
    <row r="36" spans="1:1" x14ac:dyDescent="0.25">
      <c r="A36" t="s">
        <v>576</v>
      </c>
    </row>
    <row r="37" spans="1:1" x14ac:dyDescent="0.25">
      <c r="A37" t="s">
        <v>577</v>
      </c>
    </row>
    <row r="38" spans="1:1" x14ac:dyDescent="0.25">
      <c r="A38" t="s">
        <v>578</v>
      </c>
    </row>
    <row r="40" spans="1:1" x14ac:dyDescent="0.25">
      <c r="A40" t="s">
        <v>579</v>
      </c>
    </row>
    <row r="41" spans="1:1" x14ac:dyDescent="0.25">
      <c r="A41" t="s">
        <v>580</v>
      </c>
    </row>
    <row r="42" spans="1:1" x14ac:dyDescent="0.25">
      <c r="A42" t="s">
        <v>581</v>
      </c>
    </row>
    <row r="43" spans="1:1" x14ac:dyDescent="0.25">
      <c r="A43" t="s">
        <v>582</v>
      </c>
    </row>
    <row r="44" spans="1:1" x14ac:dyDescent="0.25">
      <c r="A44" t="s">
        <v>583</v>
      </c>
    </row>
    <row r="45" spans="1:1" x14ac:dyDescent="0.25">
      <c r="A45" t="s">
        <v>584</v>
      </c>
    </row>
    <row r="47" spans="1:1" x14ac:dyDescent="0.25">
      <c r="A47" t="s">
        <v>585</v>
      </c>
    </row>
    <row r="48" spans="1:1" x14ac:dyDescent="0.25">
      <c r="A48" t="s">
        <v>586</v>
      </c>
    </row>
    <row r="49" spans="1:1" x14ac:dyDescent="0.25">
      <c r="A49" s="346" t="s">
        <v>587</v>
      </c>
    </row>
    <row r="50" spans="1:1" x14ac:dyDescent="0.25">
      <c r="A50" s="346" t="s">
        <v>588</v>
      </c>
    </row>
    <row r="52" spans="1:1" x14ac:dyDescent="0.25">
      <c r="A52" t="s">
        <v>438</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08" t="s">
        <v>626</v>
      </c>
      <c r="C6" s="909"/>
      <c r="D6" s="909"/>
      <c r="E6" s="909"/>
      <c r="F6" s="909"/>
      <c r="G6" s="909"/>
      <c r="H6" s="909"/>
      <c r="I6" s="909"/>
      <c r="J6" s="909"/>
      <c r="K6" s="909"/>
      <c r="L6" s="368"/>
    </row>
    <row r="7" spans="1:12" ht="40.5" customHeight="1" x14ac:dyDescent="0.2">
      <c r="A7" s="366"/>
      <c r="B7" s="910" t="s">
        <v>627</v>
      </c>
      <c r="C7" s="911"/>
      <c r="D7" s="911"/>
      <c r="E7" s="911"/>
      <c r="F7" s="911"/>
      <c r="G7" s="911"/>
      <c r="H7" s="911"/>
      <c r="I7" s="911"/>
      <c r="J7" s="911"/>
      <c r="K7" s="911"/>
      <c r="L7" s="366"/>
    </row>
    <row r="8" spans="1:12" x14ac:dyDescent="0.2">
      <c r="A8" s="366"/>
      <c r="B8" s="912" t="s">
        <v>628</v>
      </c>
      <c r="C8" s="912"/>
      <c r="D8" s="912"/>
      <c r="E8" s="912"/>
      <c r="F8" s="912"/>
      <c r="G8" s="912"/>
      <c r="H8" s="912"/>
      <c r="I8" s="912"/>
      <c r="J8" s="912"/>
      <c r="K8" s="912"/>
      <c r="L8" s="366"/>
    </row>
    <row r="9" spans="1:12" x14ac:dyDescent="0.2">
      <c r="A9" s="366"/>
      <c r="L9" s="366"/>
    </row>
    <row r="10" spans="1:12" x14ac:dyDescent="0.2">
      <c r="A10" s="366"/>
      <c r="B10" s="912" t="s">
        <v>629</v>
      </c>
      <c r="C10" s="912"/>
      <c r="D10" s="912"/>
      <c r="E10" s="912"/>
      <c r="F10" s="912"/>
      <c r="G10" s="912"/>
      <c r="H10" s="912"/>
      <c r="I10" s="912"/>
      <c r="J10" s="912"/>
      <c r="K10" s="912"/>
      <c r="L10" s="366"/>
    </row>
    <row r="11" spans="1:12" x14ac:dyDescent="0.2">
      <c r="A11" s="366"/>
      <c r="B11" s="369"/>
      <c r="C11" s="369"/>
      <c r="D11" s="369"/>
      <c r="E11" s="369"/>
      <c r="F11" s="369"/>
      <c r="G11" s="369"/>
      <c r="H11" s="369"/>
      <c r="I11" s="369"/>
      <c r="J11" s="369"/>
      <c r="K11" s="369"/>
      <c r="L11" s="366"/>
    </row>
    <row r="12" spans="1:12" ht="32.25" customHeight="1" x14ac:dyDescent="0.2">
      <c r="A12" s="366"/>
      <c r="B12" s="913" t="s">
        <v>630</v>
      </c>
      <c r="C12" s="913"/>
      <c r="D12" s="913"/>
      <c r="E12" s="913"/>
      <c r="F12" s="913"/>
      <c r="G12" s="913"/>
      <c r="H12" s="913"/>
      <c r="I12" s="913"/>
      <c r="J12" s="913"/>
      <c r="K12" s="913"/>
      <c r="L12" s="366"/>
    </row>
    <row r="13" spans="1:12" x14ac:dyDescent="0.2">
      <c r="A13" s="366"/>
      <c r="L13" s="366"/>
    </row>
    <row r="14" spans="1:12" x14ac:dyDescent="0.2">
      <c r="A14" s="366"/>
      <c r="B14" s="370" t="s">
        <v>631</v>
      </c>
      <c r="L14" s="366"/>
    </row>
    <row r="15" spans="1:12" x14ac:dyDescent="0.2">
      <c r="A15" s="366"/>
      <c r="L15" s="366"/>
    </row>
    <row r="16" spans="1:12" x14ac:dyDescent="0.2">
      <c r="A16" s="366"/>
      <c r="B16" s="367" t="s">
        <v>632</v>
      </c>
      <c r="L16" s="366"/>
    </row>
    <row r="17" spans="1:12" x14ac:dyDescent="0.2">
      <c r="A17" s="366"/>
      <c r="B17" s="367" t="s">
        <v>633</v>
      </c>
      <c r="L17" s="366"/>
    </row>
    <row r="18" spans="1:12" x14ac:dyDescent="0.2">
      <c r="A18" s="366"/>
      <c r="L18" s="366"/>
    </row>
    <row r="19" spans="1:12" x14ac:dyDescent="0.2">
      <c r="A19" s="366"/>
      <c r="B19" s="370" t="s">
        <v>634</v>
      </c>
      <c r="L19" s="366"/>
    </row>
    <row r="20" spans="1:12" x14ac:dyDescent="0.2">
      <c r="A20" s="366"/>
      <c r="B20" s="370"/>
      <c r="L20" s="366"/>
    </row>
    <row r="21" spans="1:12" x14ac:dyDescent="0.2">
      <c r="A21" s="366"/>
      <c r="B21" s="367" t="s">
        <v>635</v>
      </c>
      <c r="L21" s="366"/>
    </row>
    <row r="22" spans="1:12" x14ac:dyDescent="0.2">
      <c r="A22" s="366"/>
      <c r="L22" s="366"/>
    </row>
    <row r="23" spans="1:12" x14ac:dyDescent="0.2">
      <c r="A23" s="366"/>
      <c r="B23" s="367" t="s">
        <v>636</v>
      </c>
      <c r="E23" s="367" t="s">
        <v>637</v>
      </c>
      <c r="F23" s="915">
        <v>133685008</v>
      </c>
      <c r="G23" s="915"/>
      <c r="L23" s="366"/>
    </row>
    <row r="24" spans="1:12" x14ac:dyDescent="0.2">
      <c r="A24" s="366"/>
      <c r="L24" s="366"/>
    </row>
    <row r="25" spans="1:12" x14ac:dyDescent="0.2">
      <c r="A25" s="366"/>
      <c r="C25" s="920">
        <f>F23</f>
        <v>133685008</v>
      </c>
      <c r="D25" s="920"/>
      <c r="E25" s="367" t="s">
        <v>638</v>
      </c>
      <c r="F25" s="371">
        <v>1000</v>
      </c>
      <c r="G25" s="371" t="s">
        <v>637</v>
      </c>
      <c r="H25" s="372">
        <f>F23/F25</f>
        <v>133685.008</v>
      </c>
      <c r="L25" s="366"/>
    </row>
    <row r="26" spans="1:12" ht="15" thickBot="1" x14ac:dyDescent="0.25">
      <c r="A26" s="366"/>
      <c r="L26" s="366"/>
    </row>
    <row r="27" spans="1:12" x14ac:dyDescent="0.2">
      <c r="A27" s="366"/>
      <c r="B27" s="373" t="s">
        <v>631</v>
      </c>
      <c r="C27" s="374"/>
      <c r="D27" s="374"/>
      <c r="E27" s="374"/>
      <c r="F27" s="374"/>
      <c r="G27" s="374"/>
      <c r="H27" s="374"/>
      <c r="I27" s="374"/>
      <c r="J27" s="374"/>
      <c r="K27" s="375"/>
      <c r="L27" s="366"/>
    </row>
    <row r="28" spans="1:12" x14ac:dyDescent="0.2">
      <c r="A28" s="366"/>
      <c r="B28" s="376">
        <f>F23</f>
        <v>133685008</v>
      </c>
      <c r="C28" s="377" t="s">
        <v>639</v>
      </c>
      <c r="D28" s="377"/>
      <c r="E28" s="377" t="s">
        <v>638</v>
      </c>
      <c r="F28" s="378">
        <v>1000</v>
      </c>
      <c r="G28" s="378" t="s">
        <v>637</v>
      </c>
      <c r="H28" s="379">
        <f>B28/F28</f>
        <v>133685.008</v>
      </c>
      <c r="I28" s="377" t="s">
        <v>640</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627</v>
      </c>
      <c r="C30" s="921"/>
      <c r="D30" s="921"/>
      <c r="E30" s="921"/>
      <c r="F30" s="921"/>
      <c r="G30" s="921"/>
      <c r="H30" s="921"/>
      <c r="I30" s="921"/>
      <c r="J30" s="921"/>
      <c r="K30" s="921"/>
      <c r="L30" s="366"/>
    </row>
    <row r="31" spans="1:12" x14ac:dyDescent="0.2">
      <c r="A31" s="366"/>
      <c r="B31" s="912" t="s">
        <v>641</v>
      </c>
      <c r="C31" s="912"/>
      <c r="D31" s="912"/>
      <c r="E31" s="912"/>
      <c r="F31" s="912"/>
      <c r="G31" s="912"/>
      <c r="H31" s="912"/>
      <c r="I31" s="912"/>
      <c r="J31" s="912"/>
      <c r="K31" s="912"/>
      <c r="L31" s="366"/>
    </row>
    <row r="32" spans="1:12" x14ac:dyDescent="0.2">
      <c r="A32" s="366"/>
      <c r="L32" s="366"/>
    </row>
    <row r="33" spans="1:12" x14ac:dyDescent="0.2">
      <c r="A33" s="366"/>
      <c r="B33" s="912" t="s">
        <v>642</v>
      </c>
      <c r="C33" s="912"/>
      <c r="D33" s="912"/>
      <c r="E33" s="912"/>
      <c r="F33" s="912"/>
      <c r="G33" s="912"/>
      <c r="H33" s="912"/>
      <c r="I33" s="912"/>
      <c r="J33" s="912"/>
      <c r="K33" s="912"/>
      <c r="L33" s="366"/>
    </row>
    <row r="34" spans="1:12" x14ac:dyDescent="0.2">
      <c r="A34" s="366"/>
      <c r="L34" s="366"/>
    </row>
    <row r="35" spans="1:12" ht="89.25" customHeight="1" x14ac:dyDescent="0.2">
      <c r="A35" s="366"/>
      <c r="B35" s="913" t="s">
        <v>643</v>
      </c>
      <c r="C35" s="922"/>
      <c r="D35" s="922"/>
      <c r="E35" s="922"/>
      <c r="F35" s="922"/>
      <c r="G35" s="922"/>
      <c r="H35" s="922"/>
      <c r="I35" s="922"/>
      <c r="J35" s="922"/>
      <c r="K35" s="922"/>
      <c r="L35" s="366"/>
    </row>
    <row r="36" spans="1:12" x14ac:dyDescent="0.2">
      <c r="A36" s="366"/>
      <c r="L36" s="366"/>
    </row>
    <row r="37" spans="1:12" x14ac:dyDescent="0.2">
      <c r="A37" s="366"/>
      <c r="B37" s="370" t="s">
        <v>644</v>
      </c>
      <c r="L37" s="366"/>
    </row>
    <row r="38" spans="1:12" x14ac:dyDescent="0.2">
      <c r="A38" s="366"/>
      <c r="L38" s="366"/>
    </row>
    <row r="39" spans="1:12" x14ac:dyDescent="0.2">
      <c r="A39" s="366"/>
      <c r="B39" s="367" t="s">
        <v>645</v>
      </c>
      <c r="L39" s="366"/>
    </row>
    <row r="40" spans="1:12" x14ac:dyDescent="0.2">
      <c r="A40" s="366"/>
      <c r="L40" s="366"/>
    </row>
    <row r="41" spans="1:12" x14ac:dyDescent="0.2">
      <c r="A41" s="366"/>
      <c r="C41" s="914">
        <v>3120000</v>
      </c>
      <c r="D41" s="914"/>
      <c r="E41" s="367" t="s">
        <v>638</v>
      </c>
      <c r="F41" s="371">
        <v>1000</v>
      </c>
      <c r="G41" s="371" t="s">
        <v>637</v>
      </c>
      <c r="H41" s="384">
        <f>C41/F41</f>
        <v>3120</v>
      </c>
      <c r="L41" s="366"/>
    </row>
    <row r="42" spans="1:12" x14ac:dyDescent="0.2">
      <c r="A42" s="366"/>
      <c r="L42" s="366"/>
    </row>
    <row r="43" spans="1:12" x14ac:dyDescent="0.2">
      <c r="A43" s="366"/>
      <c r="B43" s="367" t="s">
        <v>646</v>
      </c>
      <c r="L43" s="366"/>
    </row>
    <row r="44" spans="1:12" x14ac:dyDescent="0.2">
      <c r="A44" s="366"/>
      <c r="L44" s="366"/>
    </row>
    <row r="45" spans="1:12" x14ac:dyDescent="0.2">
      <c r="A45" s="366"/>
      <c r="B45" s="367" t="s">
        <v>647</v>
      </c>
      <c r="L45" s="366"/>
    </row>
    <row r="46" spans="1:12" ht="15" thickBot="1" x14ac:dyDescent="0.25">
      <c r="A46" s="366"/>
      <c r="L46" s="366"/>
    </row>
    <row r="47" spans="1:12" x14ac:dyDescent="0.2">
      <c r="A47" s="366"/>
      <c r="B47" s="385" t="s">
        <v>631</v>
      </c>
      <c r="C47" s="374"/>
      <c r="D47" s="374"/>
      <c r="E47" s="374"/>
      <c r="F47" s="374"/>
      <c r="G47" s="374"/>
      <c r="H47" s="374"/>
      <c r="I47" s="374"/>
      <c r="J47" s="374"/>
      <c r="K47" s="375"/>
      <c r="L47" s="366"/>
    </row>
    <row r="48" spans="1:12" x14ac:dyDescent="0.2">
      <c r="A48" s="366"/>
      <c r="B48" s="915">
        <v>133685008</v>
      </c>
      <c r="C48" s="915"/>
      <c r="D48" s="377" t="s">
        <v>648</v>
      </c>
      <c r="E48" s="377" t="s">
        <v>638</v>
      </c>
      <c r="F48" s="378">
        <v>1000</v>
      </c>
      <c r="G48" s="378" t="s">
        <v>637</v>
      </c>
      <c r="H48" s="379">
        <f>B48/F48</f>
        <v>133685.008</v>
      </c>
      <c r="I48" s="377" t="s">
        <v>649</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650</v>
      </c>
      <c r="D50" s="377"/>
      <c r="E50" s="377" t="s">
        <v>638</v>
      </c>
      <c r="F50" s="379">
        <f>H48</f>
        <v>133685.008</v>
      </c>
      <c r="G50" s="916" t="s">
        <v>651</v>
      </c>
      <c r="H50" s="917"/>
      <c r="I50" s="378" t="s">
        <v>637</v>
      </c>
      <c r="J50" s="388">
        <f>B50/F50</f>
        <v>52.869002334203401</v>
      </c>
      <c r="K50" s="380"/>
      <c r="L50" s="366"/>
    </row>
    <row r="51" spans="1:24" ht="15" thickBot="1" x14ac:dyDescent="0.25">
      <c r="A51" s="366"/>
      <c r="B51" s="381"/>
      <c r="C51" s="382"/>
      <c r="D51" s="382"/>
      <c r="E51" s="382"/>
      <c r="F51" s="382"/>
      <c r="G51" s="382"/>
      <c r="H51" s="382"/>
      <c r="I51" s="918" t="s">
        <v>652</v>
      </c>
      <c r="J51" s="918"/>
      <c r="K51" s="919"/>
      <c r="L51" s="366"/>
      <c r="O51" s="389"/>
    </row>
    <row r="52" spans="1:24" ht="40.5" customHeight="1" x14ac:dyDescent="0.2">
      <c r="A52" s="366"/>
      <c r="B52" s="921" t="s">
        <v>627</v>
      </c>
      <c r="C52" s="921"/>
      <c r="D52" s="921"/>
      <c r="E52" s="921"/>
      <c r="F52" s="921"/>
      <c r="G52" s="921"/>
      <c r="H52" s="921"/>
      <c r="I52" s="921"/>
      <c r="J52" s="921"/>
      <c r="K52" s="921"/>
      <c r="L52" s="366"/>
    </row>
    <row r="53" spans="1:24" x14ac:dyDescent="0.2">
      <c r="A53" s="366"/>
      <c r="B53" s="912" t="s">
        <v>653</v>
      </c>
      <c r="C53" s="912"/>
      <c r="D53" s="912"/>
      <c r="E53" s="912"/>
      <c r="F53" s="912"/>
      <c r="G53" s="912"/>
      <c r="H53" s="912"/>
      <c r="I53" s="912"/>
      <c r="J53" s="912"/>
      <c r="K53" s="912"/>
      <c r="L53" s="366"/>
    </row>
    <row r="54" spans="1:24" x14ac:dyDescent="0.2">
      <c r="A54" s="366"/>
      <c r="B54" s="369"/>
      <c r="C54" s="369"/>
      <c r="D54" s="369"/>
      <c r="E54" s="369"/>
      <c r="F54" s="369"/>
      <c r="G54" s="369"/>
      <c r="H54" s="369"/>
      <c r="I54" s="369"/>
      <c r="J54" s="369"/>
      <c r="K54" s="369"/>
      <c r="L54" s="366"/>
    </row>
    <row r="55" spans="1:24" x14ac:dyDescent="0.2">
      <c r="A55" s="366"/>
      <c r="B55" s="908" t="s">
        <v>654</v>
      </c>
      <c r="C55" s="908"/>
      <c r="D55" s="908"/>
      <c r="E55" s="908"/>
      <c r="F55" s="908"/>
      <c r="G55" s="908"/>
      <c r="H55" s="908"/>
      <c r="I55" s="908"/>
      <c r="J55" s="908"/>
      <c r="K55" s="908"/>
      <c r="L55" s="366"/>
    </row>
    <row r="56" spans="1:24" ht="15" customHeight="1" x14ac:dyDescent="0.2">
      <c r="A56" s="366"/>
      <c r="L56" s="366"/>
    </row>
    <row r="57" spans="1:24" ht="74.25" customHeight="1" x14ac:dyDescent="0.2">
      <c r="A57" s="366"/>
      <c r="B57" s="913" t="s">
        <v>655</v>
      </c>
      <c r="C57" s="922"/>
      <c r="D57" s="922"/>
      <c r="E57" s="922"/>
      <c r="F57" s="922"/>
      <c r="G57" s="922"/>
      <c r="H57" s="922"/>
      <c r="I57" s="922"/>
      <c r="J57" s="922"/>
      <c r="K57" s="922"/>
      <c r="L57" s="366"/>
      <c r="M57" s="390"/>
      <c r="N57" s="391"/>
      <c r="O57" s="391"/>
      <c r="P57" s="391"/>
      <c r="Q57" s="391"/>
      <c r="R57" s="391"/>
      <c r="S57" s="391"/>
      <c r="T57" s="391"/>
      <c r="U57" s="391"/>
      <c r="V57" s="391"/>
      <c r="W57" s="391"/>
      <c r="X57" s="391"/>
    </row>
    <row r="58" spans="1:24" ht="15" customHeight="1" x14ac:dyDescent="0.2">
      <c r="A58" s="366"/>
      <c r="B58" s="913"/>
      <c r="C58" s="922"/>
      <c r="D58" s="922"/>
      <c r="E58" s="922"/>
      <c r="F58" s="922"/>
      <c r="G58" s="922"/>
      <c r="H58" s="922"/>
      <c r="I58" s="922"/>
      <c r="J58" s="922"/>
      <c r="K58" s="922"/>
      <c r="L58" s="366"/>
      <c r="M58" s="390"/>
      <c r="N58" s="391"/>
      <c r="O58" s="391"/>
      <c r="P58" s="391"/>
      <c r="Q58" s="391"/>
      <c r="R58" s="391"/>
      <c r="S58" s="391"/>
      <c r="T58" s="391"/>
      <c r="U58" s="391"/>
      <c r="V58" s="391"/>
      <c r="W58" s="391"/>
      <c r="X58" s="391"/>
    </row>
    <row r="59" spans="1:24" x14ac:dyDescent="0.2">
      <c r="A59" s="366"/>
      <c r="B59" s="370" t="s">
        <v>644</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656</v>
      </c>
      <c r="L61" s="366"/>
      <c r="M61" s="391"/>
      <c r="N61" s="391"/>
      <c r="O61" s="391"/>
      <c r="P61" s="391"/>
      <c r="Q61" s="391"/>
      <c r="R61" s="391"/>
      <c r="S61" s="391"/>
      <c r="T61" s="391"/>
      <c r="U61" s="391"/>
      <c r="V61" s="391"/>
      <c r="W61" s="391"/>
      <c r="X61" s="391"/>
    </row>
    <row r="62" spans="1:24" x14ac:dyDescent="0.2">
      <c r="A62" s="366"/>
      <c r="B62" s="367" t="s">
        <v>657</v>
      </c>
      <c r="L62" s="366"/>
      <c r="M62" s="391"/>
      <c r="N62" s="391"/>
      <c r="O62" s="391"/>
      <c r="P62" s="391"/>
      <c r="Q62" s="391"/>
      <c r="R62" s="391"/>
      <c r="S62" s="391"/>
      <c r="T62" s="391"/>
      <c r="U62" s="391"/>
      <c r="V62" s="391"/>
      <c r="W62" s="391"/>
      <c r="X62" s="391"/>
    </row>
    <row r="63" spans="1:24" x14ac:dyDescent="0.2">
      <c r="A63" s="366"/>
      <c r="B63" s="367" t="s">
        <v>658</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659</v>
      </c>
      <c r="L65" s="366"/>
      <c r="M65" s="391"/>
      <c r="N65" s="391"/>
      <c r="O65" s="391"/>
      <c r="P65" s="391"/>
      <c r="Q65" s="391"/>
      <c r="R65" s="391"/>
      <c r="S65" s="391"/>
      <c r="T65" s="391"/>
      <c r="U65" s="391"/>
      <c r="V65" s="391"/>
      <c r="W65" s="391"/>
      <c r="X65" s="391"/>
    </row>
    <row r="66" spans="1:24" x14ac:dyDescent="0.2">
      <c r="A66" s="366"/>
      <c r="B66" s="367" t="s">
        <v>660</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661</v>
      </c>
      <c r="L68" s="366"/>
      <c r="M68" s="392"/>
      <c r="N68" s="393"/>
      <c r="O68" s="393"/>
      <c r="P68" s="393"/>
      <c r="Q68" s="393"/>
      <c r="R68" s="393"/>
      <c r="S68" s="393"/>
      <c r="T68" s="393"/>
      <c r="U68" s="393"/>
      <c r="V68" s="393"/>
      <c r="W68" s="393"/>
      <c r="X68" s="391"/>
    </row>
    <row r="69" spans="1:24" x14ac:dyDescent="0.2">
      <c r="A69" s="366"/>
      <c r="B69" s="367" t="s">
        <v>662</v>
      </c>
      <c r="L69" s="366"/>
      <c r="M69" s="391"/>
      <c r="N69" s="391"/>
      <c r="O69" s="391"/>
      <c r="P69" s="391"/>
      <c r="Q69" s="391"/>
      <c r="R69" s="391"/>
      <c r="S69" s="391"/>
      <c r="T69" s="391"/>
      <c r="U69" s="391"/>
      <c r="V69" s="391"/>
      <c r="W69" s="391"/>
      <c r="X69" s="391"/>
    </row>
    <row r="70" spans="1:24" x14ac:dyDescent="0.2">
      <c r="A70" s="366"/>
      <c r="B70" s="367" t="s">
        <v>663</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631</v>
      </c>
      <c r="C72" s="374"/>
      <c r="D72" s="374"/>
      <c r="E72" s="374"/>
      <c r="F72" s="374"/>
      <c r="G72" s="374"/>
      <c r="H72" s="374"/>
      <c r="I72" s="374"/>
      <c r="J72" s="374"/>
      <c r="K72" s="375"/>
      <c r="L72" s="394"/>
    </row>
    <row r="73" spans="1:24" x14ac:dyDescent="0.2">
      <c r="A73" s="366"/>
      <c r="B73" s="386"/>
      <c r="C73" s="377" t="s">
        <v>639</v>
      </c>
      <c r="D73" s="377"/>
      <c r="E73" s="377"/>
      <c r="F73" s="377"/>
      <c r="G73" s="377"/>
      <c r="H73" s="377"/>
      <c r="I73" s="377"/>
      <c r="J73" s="377"/>
      <c r="K73" s="380"/>
      <c r="L73" s="394"/>
    </row>
    <row r="74" spans="1:24" x14ac:dyDescent="0.2">
      <c r="A74" s="366"/>
      <c r="B74" s="386" t="s">
        <v>664</v>
      </c>
      <c r="C74" s="915">
        <v>133685008</v>
      </c>
      <c r="D74" s="915"/>
      <c r="E74" s="378" t="s">
        <v>638</v>
      </c>
      <c r="F74" s="378">
        <v>1000</v>
      </c>
      <c r="G74" s="378" t="s">
        <v>637</v>
      </c>
      <c r="H74" s="395">
        <f>C74/F74</f>
        <v>133685.008</v>
      </c>
      <c r="I74" s="377" t="s">
        <v>665</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666</v>
      </c>
      <c r="D76" s="377"/>
      <c r="E76" s="378"/>
      <c r="F76" s="377" t="s">
        <v>665</v>
      </c>
      <c r="G76" s="377"/>
      <c r="H76" s="377"/>
      <c r="I76" s="377"/>
      <c r="J76" s="377"/>
      <c r="K76" s="380"/>
      <c r="L76" s="394"/>
    </row>
    <row r="77" spans="1:24" x14ac:dyDescent="0.2">
      <c r="A77" s="366"/>
      <c r="B77" s="386" t="s">
        <v>667</v>
      </c>
      <c r="C77" s="915">
        <v>5000</v>
      </c>
      <c r="D77" s="915"/>
      <c r="E77" s="378" t="s">
        <v>638</v>
      </c>
      <c r="F77" s="395">
        <f>H74</f>
        <v>133685.008</v>
      </c>
      <c r="G77" s="378" t="s">
        <v>637</v>
      </c>
      <c r="H77" s="388">
        <f>C77/F77</f>
        <v>3.740135169083432E-2</v>
      </c>
      <c r="I77" s="377" t="s">
        <v>668</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669</v>
      </c>
      <c r="D79" s="397"/>
      <c r="E79" s="398"/>
      <c r="F79" s="397"/>
      <c r="G79" s="397"/>
      <c r="H79" s="397"/>
      <c r="I79" s="397"/>
      <c r="J79" s="397"/>
      <c r="K79" s="399"/>
      <c r="L79" s="394"/>
    </row>
    <row r="80" spans="1:24" x14ac:dyDescent="0.2">
      <c r="A80" s="366"/>
      <c r="B80" s="386" t="s">
        <v>670</v>
      </c>
      <c r="C80" s="915">
        <v>100000</v>
      </c>
      <c r="D80" s="915"/>
      <c r="E80" s="378" t="s">
        <v>235</v>
      </c>
      <c r="F80" s="378">
        <v>0.115</v>
      </c>
      <c r="G80" s="378" t="s">
        <v>637</v>
      </c>
      <c r="H80" s="395">
        <f>C80*F80</f>
        <v>11500</v>
      </c>
      <c r="I80" s="377" t="s">
        <v>671</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672</v>
      </c>
      <c r="D82" s="397"/>
      <c r="E82" s="398"/>
      <c r="F82" s="397" t="s">
        <v>668</v>
      </c>
      <c r="G82" s="397"/>
      <c r="H82" s="397"/>
      <c r="I82" s="397"/>
      <c r="J82" s="397" t="s">
        <v>673</v>
      </c>
      <c r="K82" s="399"/>
      <c r="L82" s="394"/>
    </row>
    <row r="83" spans="1:12" x14ac:dyDescent="0.2">
      <c r="A83" s="366"/>
      <c r="B83" s="386" t="s">
        <v>674</v>
      </c>
      <c r="C83" s="923">
        <f>H80</f>
        <v>11500</v>
      </c>
      <c r="D83" s="923"/>
      <c r="E83" s="378" t="s">
        <v>235</v>
      </c>
      <c r="F83" s="388">
        <f>H77</f>
        <v>3.740135169083432E-2</v>
      </c>
      <c r="G83" s="378" t="s">
        <v>638</v>
      </c>
      <c r="H83" s="378">
        <v>1000</v>
      </c>
      <c r="I83" s="378" t="s">
        <v>637</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627</v>
      </c>
      <c r="C85" s="921"/>
      <c r="D85" s="921"/>
      <c r="E85" s="921"/>
      <c r="F85" s="921"/>
      <c r="G85" s="921"/>
      <c r="H85" s="921"/>
      <c r="I85" s="921"/>
      <c r="J85" s="921"/>
      <c r="K85" s="921"/>
      <c r="L85" s="366"/>
    </row>
    <row r="86" spans="1:12" x14ac:dyDescent="0.2">
      <c r="A86" s="366"/>
      <c r="B86" s="908" t="s">
        <v>675</v>
      </c>
      <c r="C86" s="908"/>
      <c r="D86" s="908"/>
      <c r="E86" s="908"/>
      <c r="F86" s="908"/>
      <c r="G86" s="908"/>
      <c r="H86" s="908"/>
      <c r="I86" s="908"/>
      <c r="J86" s="908"/>
      <c r="K86" s="908"/>
      <c r="L86" s="366"/>
    </row>
    <row r="87" spans="1:12" x14ac:dyDescent="0.2">
      <c r="A87" s="366"/>
      <c r="B87" s="405"/>
      <c r="C87" s="405"/>
      <c r="D87" s="405"/>
      <c r="E87" s="405"/>
      <c r="F87" s="405"/>
      <c r="G87" s="405"/>
      <c r="H87" s="405"/>
      <c r="I87" s="405"/>
      <c r="J87" s="405"/>
      <c r="K87" s="405"/>
      <c r="L87" s="366"/>
    </row>
    <row r="88" spans="1:12" x14ac:dyDescent="0.2">
      <c r="A88" s="366"/>
      <c r="B88" s="908" t="s">
        <v>676</v>
      </c>
      <c r="C88" s="908"/>
      <c r="D88" s="908"/>
      <c r="E88" s="908"/>
      <c r="F88" s="908"/>
      <c r="G88" s="908"/>
      <c r="H88" s="908"/>
      <c r="I88" s="908"/>
      <c r="J88" s="908"/>
      <c r="K88" s="908"/>
      <c r="L88" s="366"/>
    </row>
    <row r="89" spans="1:12" x14ac:dyDescent="0.2">
      <c r="A89" s="366"/>
      <c r="B89" s="406"/>
      <c r="C89" s="406"/>
      <c r="D89" s="406"/>
      <c r="E89" s="406"/>
      <c r="F89" s="406"/>
      <c r="G89" s="406"/>
      <c r="H89" s="406"/>
      <c r="I89" s="406"/>
      <c r="J89" s="406"/>
      <c r="K89" s="406"/>
      <c r="L89" s="366"/>
    </row>
    <row r="90" spans="1:12" ht="45" customHeight="1" x14ac:dyDescent="0.2">
      <c r="A90" s="366"/>
      <c r="B90" s="913" t="s">
        <v>677</v>
      </c>
      <c r="C90" s="913"/>
      <c r="D90" s="913"/>
      <c r="E90" s="913"/>
      <c r="F90" s="913"/>
      <c r="G90" s="913"/>
      <c r="H90" s="913"/>
      <c r="I90" s="913"/>
      <c r="J90" s="913"/>
      <c r="K90" s="913"/>
      <c r="L90" s="366"/>
    </row>
    <row r="91" spans="1:12" ht="15" customHeight="1" thickBot="1" x14ac:dyDescent="0.25">
      <c r="A91" s="366"/>
      <c r="L91" s="366"/>
    </row>
    <row r="92" spans="1:12" ht="15" customHeight="1" x14ac:dyDescent="0.2">
      <c r="A92" s="366"/>
      <c r="B92" s="407" t="s">
        <v>631</v>
      </c>
      <c r="C92" s="408"/>
      <c r="D92" s="408"/>
      <c r="E92" s="408"/>
      <c r="F92" s="408"/>
      <c r="G92" s="408"/>
      <c r="H92" s="408"/>
      <c r="I92" s="408"/>
      <c r="J92" s="408"/>
      <c r="K92" s="409"/>
      <c r="L92" s="366"/>
    </row>
    <row r="93" spans="1:12" ht="15" customHeight="1" x14ac:dyDescent="0.2">
      <c r="A93" s="366"/>
      <c r="B93" s="410"/>
      <c r="C93" s="411" t="s">
        <v>639</v>
      </c>
      <c r="D93" s="411"/>
      <c r="E93" s="411"/>
      <c r="F93" s="411"/>
      <c r="G93" s="411"/>
      <c r="H93" s="411"/>
      <c r="I93" s="411"/>
      <c r="J93" s="411"/>
      <c r="K93" s="412"/>
      <c r="L93" s="366"/>
    </row>
    <row r="94" spans="1:12" ht="15" customHeight="1" x14ac:dyDescent="0.2">
      <c r="A94" s="366"/>
      <c r="B94" s="410" t="s">
        <v>664</v>
      </c>
      <c r="C94" s="915">
        <v>133685008</v>
      </c>
      <c r="D94" s="915"/>
      <c r="E94" s="378" t="s">
        <v>638</v>
      </c>
      <c r="F94" s="378">
        <v>1000</v>
      </c>
      <c r="G94" s="378" t="s">
        <v>637</v>
      </c>
      <c r="H94" s="395">
        <f>C94/F94</f>
        <v>133685.008</v>
      </c>
      <c r="I94" s="411" t="s">
        <v>665</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666</v>
      </c>
      <c r="D96" s="411"/>
      <c r="E96" s="378"/>
      <c r="F96" s="411" t="s">
        <v>665</v>
      </c>
      <c r="G96" s="411"/>
      <c r="H96" s="411"/>
      <c r="I96" s="411"/>
      <c r="J96" s="411"/>
      <c r="K96" s="412"/>
      <c r="L96" s="366"/>
    </row>
    <row r="97" spans="1:12" ht="15" customHeight="1" x14ac:dyDescent="0.2">
      <c r="A97" s="366"/>
      <c r="B97" s="410" t="s">
        <v>667</v>
      </c>
      <c r="C97" s="915">
        <v>50000</v>
      </c>
      <c r="D97" s="915"/>
      <c r="E97" s="378" t="s">
        <v>638</v>
      </c>
      <c r="F97" s="395">
        <f>H94</f>
        <v>133685.008</v>
      </c>
      <c r="G97" s="378" t="s">
        <v>637</v>
      </c>
      <c r="H97" s="388">
        <f>C97/F97</f>
        <v>0.37401351690834322</v>
      </c>
      <c r="I97" s="411" t="s">
        <v>668</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678</v>
      </c>
      <c r="D99" s="414"/>
      <c r="E99" s="398"/>
      <c r="F99" s="414"/>
      <c r="G99" s="414"/>
      <c r="H99" s="414"/>
      <c r="I99" s="414"/>
      <c r="J99" s="414"/>
      <c r="K99" s="415"/>
      <c r="L99" s="366"/>
    </row>
    <row r="100" spans="1:12" ht="15" customHeight="1" x14ac:dyDescent="0.2">
      <c r="A100" s="366"/>
      <c r="B100" s="410" t="s">
        <v>670</v>
      </c>
      <c r="C100" s="915">
        <v>2500000</v>
      </c>
      <c r="D100" s="915"/>
      <c r="E100" s="378" t="s">
        <v>235</v>
      </c>
      <c r="F100" s="416">
        <v>0.3</v>
      </c>
      <c r="G100" s="378" t="s">
        <v>637</v>
      </c>
      <c r="H100" s="395">
        <f>C100*F100</f>
        <v>750000</v>
      </c>
      <c r="I100" s="411" t="s">
        <v>671</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672</v>
      </c>
      <c r="D102" s="414"/>
      <c r="E102" s="398"/>
      <c r="F102" s="414" t="s">
        <v>668</v>
      </c>
      <c r="G102" s="414"/>
      <c r="H102" s="414"/>
      <c r="I102" s="414"/>
      <c r="J102" s="414" t="s">
        <v>673</v>
      </c>
      <c r="K102" s="415"/>
      <c r="L102" s="366"/>
    </row>
    <row r="103" spans="1:12" ht="15" customHeight="1" x14ac:dyDescent="0.2">
      <c r="A103" s="366"/>
      <c r="B103" s="410" t="s">
        <v>674</v>
      </c>
      <c r="C103" s="923">
        <f>H100</f>
        <v>750000</v>
      </c>
      <c r="D103" s="923"/>
      <c r="E103" s="378" t="s">
        <v>235</v>
      </c>
      <c r="F103" s="388">
        <f>H97</f>
        <v>0.37401351690834322</v>
      </c>
      <c r="G103" s="378" t="s">
        <v>638</v>
      </c>
      <c r="H103" s="378">
        <v>1000</v>
      </c>
      <c r="I103" s="378" t="s">
        <v>637</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627</v>
      </c>
      <c r="C105" s="924"/>
      <c r="D105" s="924"/>
      <c r="E105" s="924"/>
      <c r="F105" s="924"/>
      <c r="G105" s="924"/>
      <c r="H105" s="924"/>
      <c r="I105" s="924"/>
      <c r="J105" s="924"/>
      <c r="K105" s="924"/>
      <c r="L105" s="366"/>
    </row>
    <row r="106" spans="1:12" ht="15" customHeight="1" x14ac:dyDescent="0.2">
      <c r="A106" s="366"/>
      <c r="B106" s="925" t="s">
        <v>679</v>
      </c>
      <c r="C106" s="909"/>
      <c r="D106" s="909"/>
      <c r="E106" s="909"/>
      <c r="F106" s="909"/>
      <c r="G106" s="909"/>
      <c r="H106" s="909"/>
      <c r="I106" s="909"/>
      <c r="J106" s="909"/>
      <c r="K106" s="909"/>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5" t="s">
        <v>680</v>
      </c>
      <c r="C108" s="926"/>
      <c r="D108" s="926"/>
      <c r="E108" s="926"/>
      <c r="F108" s="926"/>
      <c r="G108" s="926"/>
      <c r="H108" s="926"/>
      <c r="I108" s="926"/>
      <c r="J108" s="926"/>
      <c r="K108" s="926"/>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29" t="s">
        <v>681</v>
      </c>
      <c r="C110" s="922"/>
      <c r="D110" s="922"/>
      <c r="E110" s="922"/>
      <c r="F110" s="922"/>
      <c r="G110" s="922"/>
      <c r="H110" s="922"/>
      <c r="I110" s="922"/>
      <c r="J110" s="922"/>
      <c r="K110" s="922"/>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631</v>
      </c>
      <c r="C112" s="374"/>
      <c r="D112" s="374"/>
      <c r="E112" s="374"/>
      <c r="F112" s="374"/>
      <c r="G112" s="374"/>
      <c r="H112" s="374"/>
      <c r="I112" s="374"/>
      <c r="J112" s="374"/>
      <c r="K112" s="375"/>
      <c r="L112" s="366"/>
    </row>
    <row r="113" spans="1:12" x14ac:dyDescent="0.2">
      <c r="A113" s="366"/>
      <c r="B113" s="386"/>
      <c r="C113" s="377" t="s">
        <v>639</v>
      </c>
      <c r="D113" s="377"/>
      <c r="E113" s="377"/>
      <c r="F113" s="377"/>
      <c r="G113" s="377"/>
      <c r="H113" s="377"/>
      <c r="I113" s="377"/>
      <c r="J113" s="377"/>
      <c r="K113" s="380"/>
      <c r="L113" s="366"/>
    </row>
    <row r="114" spans="1:12" x14ac:dyDescent="0.2">
      <c r="A114" s="366"/>
      <c r="B114" s="386" t="s">
        <v>664</v>
      </c>
      <c r="C114" s="915">
        <v>133685008</v>
      </c>
      <c r="D114" s="915"/>
      <c r="E114" s="378" t="s">
        <v>638</v>
      </c>
      <c r="F114" s="378">
        <v>1000</v>
      </c>
      <c r="G114" s="378" t="s">
        <v>637</v>
      </c>
      <c r="H114" s="395">
        <f>C114/F114</f>
        <v>133685.008</v>
      </c>
      <c r="I114" s="377" t="s">
        <v>665</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666</v>
      </c>
      <c r="D116" s="377"/>
      <c r="E116" s="378"/>
      <c r="F116" s="377" t="s">
        <v>665</v>
      </c>
      <c r="G116" s="377"/>
      <c r="H116" s="377"/>
      <c r="I116" s="377"/>
      <c r="J116" s="377"/>
      <c r="K116" s="380"/>
      <c r="L116" s="366"/>
    </row>
    <row r="117" spans="1:12" x14ac:dyDescent="0.2">
      <c r="A117" s="366"/>
      <c r="B117" s="386" t="s">
        <v>667</v>
      </c>
      <c r="C117" s="915">
        <v>50000</v>
      </c>
      <c r="D117" s="915"/>
      <c r="E117" s="378" t="s">
        <v>638</v>
      </c>
      <c r="F117" s="395">
        <f>H114</f>
        <v>133685.008</v>
      </c>
      <c r="G117" s="378" t="s">
        <v>637</v>
      </c>
      <c r="H117" s="388">
        <f>C117/F117</f>
        <v>0.37401351690834322</v>
      </c>
      <c r="I117" s="377" t="s">
        <v>668</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678</v>
      </c>
      <c r="D119" s="397"/>
      <c r="E119" s="398"/>
      <c r="F119" s="397"/>
      <c r="G119" s="397"/>
      <c r="H119" s="397"/>
      <c r="I119" s="397"/>
      <c r="J119" s="397"/>
      <c r="K119" s="399"/>
      <c r="L119" s="366"/>
    </row>
    <row r="120" spans="1:12" x14ac:dyDescent="0.2">
      <c r="A120" s="366"/>
      <c r="B120" s="386" t="s">
        <v>670</v>
      </c>
      <c r="C120" s="915">
        <v>2500000</v>
      </c>
      <c r="D120" s="915"/>
      <c r="E120" s="378" t="s">
        <v>235</v>
      </c>
      <c r="F120" s="416">
        <v>0.25</v>
      </c>
      <c r="G120" s="378" t="s">
        <v>637</v>
      </c>
      <c r="H120" s="395">
        <f>C120*F120</f>
        <v>625000</v>
      </c>
      <c r="I120" s="377" t="s">
        <v>671</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672</v>
      </c>
      <c r="D122" s="397"/>
      <c r="E122" s="398"/>
      <c r="F122" s="397" t="s">
        <v>668</v>
      </c>
      <c r="G122" s="397"/>
      <c r="H122" s="397"/>
      <c r="I122" s="397"/>
      <c r="J122" s="397" t="s">
        <v>673</v>
      </c>
      <c r="K122" s="399"/>
      <c r="L122" s="366"/>
    </row>
    <row r="123" spans="1:12" x14ac:dyDescent="0.2">
      <c r="A123" s="366"/>
      <c r="B123" s="386" t="s">
        <v>674</v>
      </c>
      <c r="C123" s="923">
        <f>H120</f>
        <v>625000</v>
      </c>
      <c r="D123" s="923"/>
      <c r="E123" s="378" t="s">
        <v>235</v>
      </c>
      <c r="F123" s="388">
        <f>H117</f>
        <v>0.37401351690834322</v>
      </c>
      <c r="G123" s="378" t="s">
        <v>638</v>
      </c>
      <c r="H123" s="378">
        <v>1000</v>
      </c>
      <c r="I123" s="378" t="s">
        <v>637</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627</v>
      </c>
      <c r="C125" s="921"/>
      <c r="D125" s="921"/>
      <c r="E125" s="921"/>
      <c r="F125" s="921"/>
      <c r="G125" s="921"/>
      <c r="H125" s="921"/>
      <c r="I125" s="921"/>
      <c r="J125" s="921"/>
      <c r="K125" s="921"/>
      <c r="L125" s="420"/>
    </row>
    <row r="126" spans="1:12" x14ac:dyDescent="0.2">
      <c r="A126" s="366"/>
      <c r="B126" s="908" t="s">
        <v>682</v>
      </c>
      <c r="C126" s="908"/>
      <c r="D126" s="908"/>
      <c r="E126" s="908"/>
      <c r="F126" s="908"/>
      <c r="G126" s="908"/>
      <c r="H126" s="908"/>
      <c r="I126" s="908"/>
      <c r="J126" s="908"/>
      <c r="K126" s="908"/>
      <c r="L126" s="420"/>
    </row>
    <row r="127" spans="1:12" x14ac:dyDescent="0.2">
      <c r="A127" s="366"/>
      <c r="B127" s="369"/>
      <c r="C127" s="369"/>
      <c r="D127" s="369"/>
      <c r="E127" s="369"/>
      <c r="F127" s="369"/>
      <c r="G127" s="369"/>
      <c r="H127" s="369"/>
      <c r="I127" s="369"/>
      <c r="J127" s="369"/>
      <c r="K127" s="369"/>
      <c r="L127" s="420"/>
    </row>
    <row r="128" spans="1:12" x14ac:dyDescent="0.2">
      <c r="A128" s="366"/>
      <c r="B128" s="908" t="s">
        <v>683</v>
      </c>
      <c r="C128" s="908"/>
      <c r="D128" s="908"/>
      <c r="E128" s="908"/>
      <c r="F128" s="908"/>
      <c r="G128" s="908"/>
      <c r="H128" s="908"/>
      <c r="I128" s="908"/>
      <c r="J128" s="908"/>
      <c r="K128" s="908"/>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13" t="s">
        <v>684</v>
      </c>
      <c r="C130" s="913"/>
      <c r="D130" s="913"/>
      <c r="E130" s="913"/>
      <c r="F130" s="913"/>
      <c r="G130" s="913"/>
      <c r="H130" s="913"/>
      <c r="I130" s="913"/>
      <c r="J130" s="913"/>
      <c r="K130" s="913"/>
      <c r="L130" s="420"/>
    </row>
    <row r="131" spans="1:12" ht="15" thickBot="1" x14ac:dyDescent="0.25">
      <c r="A131" s="366"/>
      <c r="L131" s="366"/>
    </row>
    <row r="132" spans="1:12" x14ac:dyDescent="0.2">
      <c r="A132" s="366"/>
      <c r="B132" s="373" t="s">
        <v>631</v>
      </c>
      <c r="C132" s="374"/>
      <c r="D132" s="374"/>
      <c r="E132" s="374"/>
      <c r="F132" s="374"/>
      <c r="G132" s="374"/>
      <c r="H132" s="374"/>
      <c r="I132" s="374"/>
      <c r="J132" s="374"/>
      <c r="K132" s="375"/>
      <c r="L132" s="366"/>
    </row>
    <row r="133" spans="1:12" x14ac:dyDescent="0.2">
      <c r="A133" s="366"/>
      <c r="B133" s="386"/>
      <c r="C133" s="930" t="s">
        <v>685</v>
      </c>
      <c r="D133" s="930"/>
      <c r="E133" s="377"/>
      <c r="F133" s="378" t="s">
        <v>686</v>
      </c>
      <c r="G133" s="377"/>
      <c r="H133" s="930" t="s">
        <v>671</v>
      </c>
      <c r="I133" s="930"/>
      <c r="J133" s="377"/>
      <c r="K133" s="380"/>
      <c r="L133" s="366"/>
    </row>
    <row r="134" spans="1:12" x14ac:dyDescent="0.2">
      <c r="A134" s="366"/>
      <c r="B134" s="386" t="s">
        <v>664</v>
      </c>
      <c r="C134" s="915">
        <v>100000</v>
      </c>
      <c r="D134" s="915"/>
      <c r="E134" s="378" t="s">
        <v>235</v>
      </c>
      <c r="F134" s="378">
        <v>0.115</v>
      </c>
      <c r="G134" s="378" t="s">
        <v>637</v>
      </c>
      <c r="H134" s="928">
        <f>C134*F134</f>
        <v>11500</v>
      </c>
      <c r="I134" s="928"/>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27" t="s">
        <v>671</v>
      </c>
      <c r="D136" s="927"/>
      <c r="E136" s="397"/>
      <c r="F136" s="398" t="s">
        <v>687</v>
      </c>
      <c r="G136" s="398"/>
      <c r="H136" s="397"/>
      <c r="I136" s="397"/>
      <c r="J136" s="397" t="s">
        <v>688</v>
      </c>
      <c r="K136" s="399"/>
      <c r="L136" s="366"/>
    </row>
    <row r="137" spans="1:12" x14ac:dyDescent="0.2">
      <c r="A137" s="366"/>
      <c r="B137" s="386" t="s">
        <v>667</v>
      </c>
      <c r="C137" s="928">
        <f>H134</f>
        <v>11500</v>
      </c>
      <c r="D137" s="928"/>
      <c r="E137" s="378" t="s">
        <v>235</v>
      </c>
      <c r="F137" s="421">
        <v>52.869</v>
      </c>
      <c r="G137" s="378" t="s">
        <v>638</v>
      </c>
      <c r="H137" s="378">
        <v>1000</v>
      </c>
      <c r="I137" s="378" t="s">
        <v>637</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627</v>
      </c>
      <c r="C139" s="427"/>
      <c r="D139" s="427"/>
      <c r="E139" s="428"/>
      <c r="F139" s="429"/>
      <c r="G139" s="428"/>
      <c r="H139" s="428"/>
      <c r="I139" s="428"/>
      <c r="J139" s="430"/>
      <c r="K139" s="431"/>
      <c r="L139" s="366"/>
    </row>
    <row r="140" spans="1:12" x14ac:dyDescent="0.2">
      <c r="A140" s="366"/>
      <c r="B140" s="432" t="s">
        <v>689</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690</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31" t="s">
        <v>691</v>
      </c>
      <c r="C144" s="932"/>
      <c r="D144" s="932"/>
      <c r="E144" s="932"/>
      <c r="F144" s="932"/>
      <c r="G144" s="932"/>
      <c r="H144" s="932"/>
      <c r="I144" s="932"/>
      <c r="J144" s="932"/>
      <c r="K144" s="933"/>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631</v>
      </c>
      <c r="C146" s="439"/>
      <c r="D146" s="439"/>
      <c r="E146" s="440"/>
      <c r="F146" s="441"/>
      <c r="G146" s="440"/>
      <c r="H146" s="440"/>
      <c r="I146" s="440"/>
      <c r="J146" s="442"/>
      <c r="K146" s="375"/>
      <c r="L146" s="366"/>
    </row>
    <row r="147" spans="1:12" x14ac:dyDescent="0.2">
      <c r="A147" s="366"/>
      <c r="B147" s="386"/>
      <c r="C147" s="928" t="s">
        <v>692</v>
      </c>
      <c r="D147" s="928"/>
      <c r="E147" s="378"/>
      <c r="F147" s="438" t="s">
        <v>693</v>
      </c>
      <c r="G147" s="378"/>
      <c r="H147" s="378"/>
      <c r="I147" s="378"/>
      <c r="J147" s="934" t="s">
        <v>694</v>
      </c>
      <c r="K147" s="935"/>
      <c r="L147" s="366"/>
    </row>
    <row r="148" spans="1:12" x14ac:dyDescent="0.2">
      <c r="A148" s="366"/>
      <c r="B148" s="386"/>
      <c r="C148" s="936">
        <v>52.869</v>
      </c>
      <c r="D148" s="936"/>
      <c r="E148" s="378" t="s">
        <v>235</v>
      </c>
      <c r="F148" s="443">
        <v>133685008</v>
      </c>
      <c r="G148" s="444" t="s">
        <v>638</v>
      </c>
      <c r="H148" s="378">
        <v>1000</v>
      </c>
      <c r="I148" s="378" t="s">
        <v>637</v>
      </c>
      <c r="J148" s="928">
        <f>C148*(F148/1000)</f>
        <v>7067792.6879519997</v>
      </c>
      <c r="K148" s="937"/>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144:K144"/>
    <mergeCell ref="C147:D147"/>
    <mergeCell ref="J147:K147"/>
    <mergeCell ref="C148:D148"/>
    <mergeCell ref="J148:K14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C100:D100"/>
    <mergeCell ref="C103:D103"/>
    <mergeCell ref="B105:K105"/>
    <mergeCell ref="B106:K106"/>
    <mergeCell ref="B108:K108"/>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41:D41"/>
    <mergeCell ref="B48:C48"/>
    <mergeCell ref="G50:H50"/>
    <mergeCell ref="I51:K51"/>
    <mergeCell ref="F23:G23"/>
    <mergeCell ref="C25:D25"/>
    <mergeCell ref="B30:K30"/>
    <mergeCell ref="B31:K31"/>
    <mergeCell ref="B33:K33"/>
    <mergeCell ref="B35:K35"/>
    <mergeCell ref="B6:K6"/>
    <mergeCell ref="B7:K7"/>
    <mergeCell ref="B8:K8"/>
    <mergeCell ref="B10:K10"/>
    <mergeCell ref="B12:K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605</v>
      </c>
    </row>
    <row r="3" spans="1:1" ht="31.5" x14ac:dyDescent="0.25">
      <c r="A3" s="460" t="s">
        <v>606</v>
      </c>
    </row>
    <row r="4" spans="1:1" x14ac:dyDescent="0.25">
      <c r="A4" s="461" t="s">
        <v>607</v>
      </c>
    </row>
    <row r="7" spans="1:1" ht="31.5" x14ac:dyDescent="0.25">
      <c r="A7" s="460" t="s">
        <v>608</v>
      </c>
    </row>
    <row r="8" spans="1:1" x14ac:dyDescent="0.25">
      <c r="A8" s="461" t="s">
        <v>609</v>
      </c>
    </row>
    <row r="11" spans="1:1" x14ac:dyDescent="0.25">
      <c r="A11" s="459" t="s">
        <v>610</v>
      </c>
    </row>
    <row r="12" spans="1:1" x14ac:dyDescent="0.25">
      <c r="A12" s="461" t="s">
        <v>611</v>
      </c>
    </row>
    <row r="15" spans="1:1" x14ac:dyDescent="0.25">
      <c r="A15" s="459" t="s">
        <v>612</v>
      </c>
    </row>
    <row r="16" spans="1:1" x14ac:dyDescent="0.25">
      <c r="A16" s="461" t="s">
        <v>613</v>
      </c>
    </row>
    <row r="19" spans="1:1" x14ac:dyDescent="0.25">
      <c r="A19" s="459" t="s">
        <v>614</v>
      </c>
    </row>
    <row r="20" spans="1:1" x14ac:dyDescent="0.25">
      <c r="A20" s="461" t="s">
        <v>615</v>
      </c>
    </row>
    <row r="23" spans="1:1" x14ac:dyDescent="0.25">
      <c r="A23" s="459" t="s">
        <v>616</v>
      </c>
    </row>
    <row r="24" spans="1:1" x14ac:dyDescent="0.25">
      <c r="A24" s="461" t="s">
        <v>617</v>
      </c>
    </row>
    <row r="27" spans="1:1" x14ac:dyDescent="0.25">
      <c r="A27" s="459" t="s">
        <v>618</v>
      </c>
    </row>
    <row r="28" spans="1:1" x14ac:dyDescent="0.25">
      <c r="A28" s="461" t="s">
        <v>619</v>
      </c>
    </row>
    <row r="31" spans="1:1" x14ac:dyDescent="0.25">
      <c r="A31" s="459" t="s">
        <v>620</v>
      </c>
    </row>
    <row r="32" spans="1:1" x14ac:dyDescent="0.25">
      <c r="A32" s="461" t="s">
        <v>621</v>
      </c>
    </row>
    <row r="35" spans="1:1" x14ac:dyDescent="0.25">
      <c r="A35" s="459" t="s">
        <v>622</v>
      </c>
    </row>
    <row r="36" spans="1:1" x14ac:dyDescent="0.25">
      <c r="A36" s="461" t="s">
        <v>623</v>
      </c>
    </row>
    <row r="39" spans="1:1" x14ac:dyDescent="0.25">
      <c r="A39" s="459" t="s">
        <v>624</v>
      </c>
    </row>
    <row r="40" spans="1:1" x14ac:dyDescent="0.25">
      <c r="A40" s="461" t="s">
        <v>625</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940</v>
      </c>
    </row>
    <row r="2" spans="1:1" x14ac:dyDescent="0.25">
      <c r="A2" s="782" t="s">
        <v>939</v>
      </c>
    </row>
    <row r="4" spans="1:1" x14ac:dyDescent="0.25">
      <c r="A4" s="528" t="s">
        <v>941</v>
      </c>
    </row>
    <row r="5" spans="1:1" x14ac:dyDescent="0.25">
      <c r="A5" s="731" t="s">
        <v>912</v>
      </c>
    </row>
    <row r="7" spans="1:1" x14ac:dyDescent="0.25">
      <c r="A7" s="528" t="s">
        <v>942</v>
      </c>
    </row>
    <row r="8" spans="1:1" x14ac:dyDescent="0.25">
      <c r="A8" s="95" t="s">
        <v>911</v>
      </c>
    </row>
    <row r="10" spans="1:1" x14ac:dyDescent="0.25">
      <c r="A10" s="528" t="s">
        <v>943</v>
      </c>
    </row>
    <row r="11" spans="1:1" x14ac:dyDescent="0.25">
      <c r="A11" s="708" t="s">
        <v>910</v>
      </c>
    </row>
    <row r="13" spans="1:1" x14ac:dyDescent="0.25">
      <c r="A13" s="528" t="s">
        <v>944</v>
      </c>
    </row>
    <row r="14" spans="1:1" x14ac:dyDescent="0.25">
      <c r="A14" s="708" t="s">
        <v>908</v>
      </c>
    </row>
    <row r="16" spans="1:1" x14ac:dyDescent="0.25">
      <c r="A16" s="528" t="s">
        <v>945</v>
      </c>
    </row>
    <row r="17" spans="1:1" x14ac:dyDescent="0.25">
      <c r="A17" s="711" t="s">
        <v>906</v>
      </c>
    </row>
    <row r="19" spans="1:1" x14ac:dyDescent="0.25">
      <c r="A19" s="528" t="s">
        <v>945</v>
      </c>
    </row>
    <row r="20" spans="1:1" x14ac:dyDescent="0.25">
      <c r="A20" s="711" t="s">
        <v>907</v>
      </c>
    </row>
    <row r="22" spans="1:1" x14ac:dyDescent="0.25">
      <c r="A22" s="528" t="s">
        <v>946</v>
      </c>
    </row>
    <row r="23" spans="1:1" x14ac:dyDescent="0.25">
      <c r="A23" s="708" t="s">
        <v>905</v>
      </c>
    </row>
    <row r="25" spans="1:1" x14ac:dyDescent="0.25">
      <c r="A25" s="528" t="s">
        <v>947</v>
      </c>
    </row>
    <row r="26" spans="1:1" x14ac:dyDescent="0.25">
      <c r="A26" s="705" t="s">
        <v>873</v>
      </c>
    </row>
    <row r="27" spans="1:1" x14ac:dyDescent="0.25">
      <c r="A27" s="705" t="s">
        <v>874</v>
      </c>
    </row>
    <row r="28" spans="1:1" x14ac:dyDescent="0.25">
      <c r="A28" s="705" t="s">
        <v>875</v>
      </c>
    </row>
    <row r="29" spans="1:1" x14ac:dyDescent="0.25">
      <c r="A29" s="705" t="s">
        <v>876</v>
      </c>
    </row>
    <row r="30" spans="1:1" x14ac:dyDescent="0.25">
      <c r="A30" s="705" t="s">
        <v>877</v>
      </c>
    </row>
    <row r="31" spans="1:1" x14ac:dyDescent="0.25">
      <c r="A31" s="705" t="s">
        <v>878</v>
      </c>
    </row>
    <row r="32" spans="1:1" x14ac:dyDescent="0.25">
      <c r="A32" s="705" t="s">
        <v>879</v>
      </c>
    </row>
    <row r="33" spans="1:1" x14ac:dyDescent="0.25">
      <c r="A33" s="705" t="s">
        <v>880</v>
      </c>
    </row>
    <row r="34" spans="1:1" x14ac:dyDescent="0.25">
      <c r="A34" s="705" t="s">
        <v>881</v>
      </c>
    </row>
    <row r="35" spans="1:1" x14ac:dyDescent="0.25">
      <c r="A35" s="705" t="s">
        <v>882</v>
      </c>
    </row>
    <row r="36" spans="1:1" x14ac:dyDescent="0.25">
      <c r="A36" s="705" t="s">
        <v>883</v>
      </c>
    </row>
    <row r="37" spans="1:1" x14ac:dyDescent="0.25">
      <c r="A37" s="705" t="s">
        <v>884</v>
      </c>
    </row>
    <row r="38" spans="1:1" x14ac:dyDescent="0.25">
      <c r="A38" s="705" t="s">
        <v>885</v>
      </c>
    </row>
    <row r="39" spans="1:1" x14ac:dyDescent="0.25">
      <c r="A39" s="705" t="s">
        <v>886</v>
      </c>
    </row>
    <row r="40" spans="1:1" x14ac:dyDescent="0.25">
      <c r="A40" s="705" t="s">
        <v>887</v>
      </c>
    </row>
    <row r="41" spans="1:1" x14ac:dyDescent="0.25">
      <c r="A41" s="705" t="s">
        <v>888</v>
      </c>
    </row>
    <row r="42" spans="1:1" x14ac:dyDescent="0.25">
      <c r="A42" s="705" t="s">
        <v>889</v>
      </c>
    </row>
    <row r="43" spans="1:1" x14ac:dyDescent="0.25">
      <c r="A43" s="705" t="s">
        <v>890</v>
      </c>
    </row>
    <row r="44" spans="1:1" x14ac:dyDescent="0.25">
      <c r="A44" s="705" t="s">
        <v>891</v>
      </c>
    </row>
    <row r="45" spans="1:1" x14ac:dyDescent="0.25">
      <c r="A45" s="705" t="s">
        <v>892</v>
      </c>
    </row>
    <row r="46" spans="1:1" x14ac:dyDescent="0.25">
      <c r="A46" s="705" t="s">
        <v>893</v>
      </c>
    </row>
    <row r="47" spans="1:1" x14ac:dyDescent="0.25">
      <c r="A47" s="705" t="s">
        <v>894</v>
      </c>
    </row>
    <row r="48" spans="1:1" x14ac:dyDescent="0.25">
      <c r="A48" s="705" t="s">
        <v>895</v>
      </c>
    </row>
    <row r="49" spans="1:1" x14ac:dyDescent="0.25">
      <c r="A49" s="705" t="s">
        <v>896</v>
      </c>
    </row>
    <row r="50" spans="1:1" x14ac:dyDescent="0.25">
      <c r="A50" s="705" t="s">
        <v>897</v>
      </c>
    </row>
    <row r="51" spans="1:1" x14ac:dyDescent="0.25">
      <c r="A51" s="705" t="s">
        <v>898</v>
      </c>
    </row>
    <row r="52" spans="1:1" x14ac:dyDescent="0.25">
      <c r="A52" s="705" t="s">
        <v>899</v>
      </c>
    </row>
    <row r="53" spans="1:1" x14ac:dyDescent="0.25">
      <c r="A53" s="705" t="s">
        <v>900</v>
      </c>
    </row>
    <row r="54" spans="1:1" x14ac:dyDescent="0.25">
      <c r="A54" s="705" t="s">
        <v>901</v>
      </c>
    </row>
    <row r="56" spans="1:1" x14ac:dyDescent="0.25">
      <c r="A56" s="528" t="s">
        <v>948</v>
      </c>
    </row>
    <row r="57" spans="1:1" x14ac:dyDescent="0.25">
      <c r="A57" s="95" t="s">
        <v>744</v>
      </c>
    </row>
    <row r="58" spans="1:1" x14ac:dyDescent="0.25">
      <c r="A58" s="95" t="s">
        <v>745</v>
      </c>
    </row>
    <row r="60" spans="1:1" x14ac:dyDescent="0.25">
      <c r="A60" s="528" t="s">
        <v>949</v>
      </c>
    </row>
    <row r="61" spans="1:1" x14ac:dyDescent="0.25">
      <c r="A61" s="512" t="s">
        <v>742</v>
      </c>
    </row>
    <row r="63" spans="1:1" x14ac:dyDescent="0.25">
      <c r="A63" s="355" t="s">
        <v>950</v>
      </c>
    </row>
    <row r="64" spans="1:1" x14ac:dyDescent="0.25">
      <c r="A64" s="512" t="s">
        <v>716</v>
      </c>
    </row>
    <row r="65" spans="1:1" x14ac:dyDescent="0.25">
      <c r="A65" s="512" t="s">
        <v>717</v>
      </c>
    </row>
    <row r="66" spans="1:1" ht="31.5" x14ac:dyDescent="0.25">
      <c r="A66" s="511" t="s">
        <v>718</v>
      </c>
    </row>
    <row r="67" spans="1:1" x14ac:dyDescent="0.25">
      <c r="A67" s="512" t="s">
        <v>719</v>
      </c>
    </row>
    <row r="68" spans="1:1" x14ac:dyDescent="0.25">
      <c r="A68" s="512" t="s">
        <v>720</v>
      </c>
    </row>
    <row r="69" spans="1:1" x14ac:dyDescent="0.25">
      <c r="A69" s="512" t="s">
        <v>721</v>
      </c>
    </row>
    <row r="70" spans="1:1" x14ac:dyDescent="0.25">
      <c r="A70" s="512" t="s">
        <v>722</v>
      </c>
    </row>
    <row r="71" spans="1:1" x14ac:dyDescent="0.25">
      <c r="A71" s="512" t="s">
        <v>723</v>
      </c>
    </row>
    <row r="72" spans="1:1" x14ac:dyDescent="0.25">
      <c r="A72" s="512" t="s">
        <v>724</v>
      </c>
    </row>
    <row r="73" spans="1:1" x14ac:dyDescent="0.25">
      <c r="A73" s="512" t="s">
        <v>725</v>
      </c>
    </row>
    <row r="74" spans="1:1" x14ac:dyDescent="0.25">
      <c r="A74" s="512" t="s">
        <v>726</v>
      </c>
    </row>
    <row r="75" spans="1:1" x14ac:dyDescent="0.25">
      <c r="A75" s="512" t="s">
        <v>727</v>
      </c>
    </row>
    <row r="76" spans="1:1" x14ac:dyDescent="0.25">
      <c r="A76" s="512" t="s">
        <v>728</v>
      </c>
    </row>
    <row r="77" spans="1:1" x14ac:dyDescent="0.25">
      <c r="A77" s="512" t="s">
        <v>729</v>
      </c>
    </row>
    <row r="78" spans="1:1" x14ac:dyDescent="0.25">
      <c r="A78" s="512" t="s">
        <v>730</v>
      </c>
    </row>
    <row r="79" spans="1:1" x14ac:dyDescent="0.25">
      <c r="A79" s="512" t="s">
        <v>731</v>
      </c>
    </row>
    <row r="80" spans="1:1" x14ac:dyDescent="0.25">
      <c r="A80" s="512" t="s">
        <v>732</v>
      </c>
    </row>
    <row r="81" spans="1:1" x14ac:dyDescent="0.25">
      <c r="A81" s="512" t="s">
        <v>733</v>
      </c>
    </row>
    <row r="82" spans="1:1" x14ac:dyDescent="0.25">
      <c r="A82" s="512" t="s">
        <v>734</v>
      </c>
    </row>
    <row r="83" spans="1:1" x14ac:dyDescent="0.25">
      <c r="A83" s="512" t="s">
        <v>735</v>
      </c>
    </row>
    <row r="84" spans="1:1" x14ac:dyDescent="0.25">
      <c r="A84" s="512" t="s">
        <v>736</v>
      </c>
    </row>
    <row r="85" spans="1:1" x14ac:dyDescent="0.25">
      <c r="A85" s="512" t="s">
        <v>737</v>
      </c>
    </row>
    <row r="86" spans="1:1" x14ac:dyDescent="0.25">
      <c r="A86" s="95" t="s">
        <v>741</v>
      </c>
    </row>
    <row r="88" spans="1:1" x14ac:dyDescent="0.25">
      <c r="A88" s="355" t="s">
        <v>951</v>
      </c>
    </row>
    <row r="89" spans="1:1" ht="36" customHeight="1" x14ac:dyDescent="0.25">
      <c r="A89" s="194" t="s">
        <v>604</v>
      </c>
    </row>
    <row r="91" spans="1:1" x14ac:dyDescent="0.25">
      <c r="A91" s="355" t="s">
        <v>952</v>
      </c>
    </row>
    <row r="92" spans="1:1" x14ac:dyDescent="0.25">
      <c r="A92" s="95" t="s">
        <v>601</v>
      </c>
    </row>
    <row r="93" spans="1:1" x14ac:dyDescent="0.25">
      <c r="A93" s="95" t="s">
        <v>602</v>
      </c>
    </row>
    <row r="94" spans="1:1" x14ac:dyDescent="0.25">
      <c r="A94" s="95" t="s">
        <v>603</v>
      </c>
    </row>
    <row r="96" spans="1:1" x14ac:dyDescent="0.25">
      <c r="A96" s="355" t="s">
        <v>953</v>
      </c>
    </row>
    <row r="97" spans="1:1" x14ac:dyDescent="0.25">
      <c r="A97" s="95" t="s">
        <v>600</v>
      </c>
    </row>
    <row r="99" spans="1:1" x14ac:dyDescent="0.25">
      <c r="A99" s="354" t="s">
        <v>954</v>
      </c>
    </row>
    <row r="100" spans="1:1" x14ac:dyDescent="0.25">
      <c r="A100" s="95" t="s">
        <v>359</v>
      </c>
    </row>
    <row r="101" spans="1:1" x14ac:dyDescent="0.25">
      <c r="A101" s="95" t="s">
        <v>360</v>
      </c>
    </row>
    <row r="102" spans="1:1" x14ac:dyDescent="0.25">
      <c r="A102" s="95" t="s">
        <v>378</v>
      </c>
    </row>
    <row r="103" spans="1:1" x14ac:dyDescent="0.25">
      <c r="A103" s="95" t="s">
        <v>379</v>
      </c>
    </row>
    <row r="104" spans="1:1" x14ac:dyDescent="0.25">
      <c r="A104" s="95" t="s">
        <v>380</v>
      </c>
    </row>
    <row r="105" spans="1:1" x14ac:dyDescent="0.25">
      <c r="A105" s="95" t="s">
        <v>589</v>
      </c>
    </row>
    <row r="107" spans="1:1" x14ac:dyDescent="0.25">
      <c r="A107" s="354" t="s">
        <v>955</v>
      </c>
    </row>
    <row r="108" spans="1:1" x14ac:dyDescent="0.25">
      <c r="A108" s="95" t="s">
        <v>300</v>
      </c>
    </row>
    <row r="109" spans="1:1" x14ac:dyDescent="0.25">
      <c r="A109" s="95" t="s">
        <v>301</v>
      </c>
    </row>
    <row r="110" spans="1:1" x14ac:dyDescent="0.25">
      <c r="A110" s="95" t="s">
        <v>302</v>
      </c>
    </row>
    <row r="111" spans="1:1" x14ac:dyDescent="0.25">
      <c r="A111" s="95" t="s">
        <v>303</v>
      </c>
    </row>
    <row r="112" spans="1:1" x14ac:dyDescent="0.25">
      <c r="A112" s="95" t="s">
        <v>304</v>
      </c>
    </row>
    <row r="113" spans="1:1" x14ac:dyDescent="0.25">
      <c r="A113" s="95" t="s">
        <v>305</v>
      </c>
    </row>
    <row r="114" spans="1:1" x14ac:dyDescent="0.25">
      <c r="A114" s="95" t="s">
        <v>306</v>
      </c>
    </row>
    <row r="115" spans="1:1" x14ac:dyDescent="0.25">
      <c r="A115" s="95" t="s">
        <v>308</v>
      </c>
    </row>
    <row r="116" spans="1:1" x14ac:dyDescent="0.25">
      <c r="A116" s="95" t="s">
        <v>309</v>
      </c>
    </row>
    <row r="117" spans="1:1" x14ac:dyDescent="0.25">
      <c r="A117" s="95" t="s">
        <v>325</v>
      </c>
    </row>
    <row r="118" spans="1:1" x14ac:dyDescent="0.25">
      <c r="A118" s="95" t="s">
        <v>326</v>
      </c>
    </row>
    <row r="119" spans="1:1" x14ac:dyDescent="0.25">
      <c r="A119" s="95" t="s">
        <v>327</v>
      </c>
    </row>
    <row r="120" spans="1:1" x14ac:dyDescent="0.25">
      <c r="A120" s="95" t="s">
        <v>328</v>
      </c>
    </row>
    <row r="121" spans="1:1" x14ac:dyDescent="0.25">
      <c r="A121" s="95" t="s">
        <v>342</v>
      </c>
    </row>
    <row r="122" spans="1:1" x14ac:dyDescent="0.25">
      <c r="A122" s="95" t="s">
        <v>343</v>
      </c>
    </row>
    <row r="123" spans="1:1" x14ac:dyDescent="0.25">
      <c r="A123" s="95" t="s">
        <v>355</v>
      </c>
    </row>
    <row r="124" spans="1:1" x14ac:dyDescent="0.25">
      <c r="A124" s="337" t="s">
        <v>356</v>
      </c>
    </row>
    <row r="126" spans="1:1" x14ac:dyDescent="0.25">
      <c r="A126" s="354" t="s">
        <v>956</v>
      </c>
    </row>
    <row r="127" spans="1:1" x14ac:dyDescent="0.25">
      <c r="A127" s="95" t="s">
        <v>296</v>
      </c>
    </row>
    <row r="129" spans="1:1" x14ac:dyDescent="0.25">
      <c r="A129" s="354" t="s">
        <v>957</v>
      </c>
    </row>
    <row r="130" spans="1:1" x14ac:dyDescent="0.25">
      <c r="A130" s="95" t="s">
        <v>295</v>
      </c>
    </row>
    <row r="132" spans="1:1" x14ac:dyDescent="0.25">
      <c r="A132" s="354" t="s">
        <v>291</v>
      </c>
    </row>
    <row r="133" spans="1:1" x14ac:dyDescent="0.25">
      <c r="A133" s="95" t="s">
        <v>292</v>
      </c>
    </row>
    <row r="134" spans="1:1" x14ac:dyDescent="0.25">
      <c r="A134" s="95" t="s">
        <v>293</v>
      </c>
    </row>
    <row r="135" spans="1:1" x14ac:dyDescent="0.25">
      <c r="A135" s="95" t="s">
        <v>294</v>
      </c>
    </row>
    <row r="137" spans="1:1" x14ac:dyDescent="0.25">
      <c r="A137" s="354" t="s">
        <v>287</v>
      </c>
    </row>
    <row r="138" spans="1:1" x14ac:dyDescent="0.25">
      <c r="A138" s="95" t="s">
        <v>288</v>
      </c>
    </row>
    <row r="139" spans="1:1" x14ac:dyDescent="0.25">
      <c r="A139" s="95" t="s">
        <v>289</v>
      </c>
    </row>
    <row r="141" spans="1:1" x14ac:dyDescent="0.25">
      <c r="A141" s="354" t="s">
        <v>202</v>
      </c>
    </row>
    <row r="142" spans="1:1" x14ac:dyDescent="0.25">
      <c r="A142" s="95" t="s">
        <v>174</v>
      </c>
    </row>
    <row r="143" spans="1:1" ht="31.5" x14ac:dyDescent="0.25">
      <c r="A143" s="194" t="s">
        <v>175</v>
      </c>
    </row>
    <row r="144" spans="1:1" x14ac:dyDescent="0.25">
      <c r="A144" s="95" t="s">
        <v>188</v>
      </c>
    </row>
    <row r="145" spans="1:1" x14ac:dyDescent="0.25">
      <c r="A145" s="95" t="s">
        <v>189</v>
      </c>
    </row>
    <row r="146" spans="1:1" x14ac:dyDescent="0.25">
      <c r="A146" s="95" t="s">
        <v>190</v>
      </c>
    </row>
    <row r="147" spans="1:1" x14ac:dyDescent="0.25">
      <c r="A147" s="95" t="s">
        <v>191</v>
      </c>
    </row>
    <row r="148" spans="1:1" ht="31.5" x14ac:dyDescent="0.25">
      <c r="A148" s="194" t="s">
        <v>183</v>
      </c>
    </row>
    <row r="149" spans="1:1" ht="31.5" x14ac:dyDescent="0.25">
      <c r="A149" s="194" t="s">
        <v>192</v>
      </c>
    </row>
    <row r="150" spans="1:1" ht="31.5" x14ac:dyDescent="0.25">
      <c r="A150" s="194" t="s">
        <v>193</v>
      </c>
    </row>
    <row r="151" spans="1:1" x14ac:dyDescent="0.25">
      <c r="A151" s="194" t="s">
        <v>194</v>
      </c>
    </row>
    <row r="152" spans="1:1" ht="31.5" x14ac:dyDescent="0.25">
      <c r="A152" s="194" t="s">
        <v>195</v>
      </c>
    </row>
    <row r="153" spans="1:1" x14ac:dyDescent="0.25">
      <c r="A153" s="95" t="s">
        <v>196</v>
      </c>
    </row>
    <row r="154" spans="1:1" x14ac:dyDescent="0.25">
      <c r="A154" s="95" t="s">
        <v>197</v>
      </c>
    </row>
    <row r="155" spans="1:1" x14ac:dyDescent="0.25">
      <c r="A155" s="95" t="s">
        <v>198</v>
      </c>
    </row>
    <row r="156" spans="1:1" x14ac:dyDescent="0.25">
      <c r="A156" s="95" t="s">
        <v>199</v>
      </c>
    </row>
    <row r="157" spans="1:1" ht="31.5" x14ac:dyDescent="0.25">
      <c r="A157" s="194" t="s">
        <v>200</v>
      </c>
    </row>
    <row r="158" spans="1:1" x14ac:dyDescent="0.25">
      <c r="A158" s="194" t="s">
        <v>176</v>
      </c>
    </row>
    <row r="159" spans="1:1" ht="31.5" x14ac:dyDescent="0.25">
      <c r="A159" s="194" t="s">
        <v>184</v>
      </c>
    </row>
    <row r="160" spans="1:1" x14ac:dyDescent="0.25">
      <c r="A160" s="194" t="s">
        <v>177</v>
      </c>
    </row>
    <row r="161" spans="1:1" x14ac:dyDescent="0.25">
      <c r="A161" s="194" t="s">
        <v>178</v>
      </c>
    </row>
    <row r="162" spans="1:1" x14ac:dyDescent="0.25">
      <c r="A162" s="194" t="s">
        <v>179</v>
      </c>
    </row>
    <row r="163" spans="1:1" ht="31.5" x14ac:dyDescent="0.25">
      <c r="A163" s="194" t="s">
        <v>180</v>
      </c>
    </row>
    <row r="164" spans="1:1" ht="31.5" x14ac:dyDescent="0.25">
      <c r="A164" s="194" t="s">
        <v>185</v>
      </c>
    </row>
    <row r="165" spans="1:1" ht="31.5" x14ac:dyDescent="0.25">
      <c r="A165" s="194" t="s">
        <v>181</v>
      </c>
    </row>
    <row r="166" spans="1:1" ht="31.5" x14ac:dyDescent="0.25">
      <c r="A166" s="194" t="s">
        <v>186</v>
      </c>
    </row>
    <row r="167" spans="1:1" x14ac:dyDescent="0.25">
      <c r="A167" s="194" t="s">
        <v>187</v>
      </c>
    </row>
    <row r="168" spans="1:1" x14ac:dyDescent="0.25">
      <c r="A168" s="194"/>
    </row>
    <row r="169" spans="1:1" x14ac:dyDescent="0.25">
      <c r="A169" s="354" t="s">
        <v>114</v>
      </c>
    </row>
    <row r="170" spans="1:1" ht="47.25" x14ac:dyDescent="0.25">
      <c r="A170" s="194" t="s">
        <v>145</v>
      </c>
    </row>
    <row r="171" spans="1:1" x14ac:dyDescent="0.25">
      <c r="A171" s="95" t="s">
        <v>115</v>
      </c>
    </row>
    <row r="172" spans="1:1" x14ac:dyDescent="0.25">
      <c r="A172" s="95" t="s">
        <v>119</v>
      </c>
    </row>
    <row r="173" spans="1:1" x14ac:dyDescent="0.25">
      <c r="A173" s="95" t="s">
        <v>120</v>
      </c>
    </row>
    <row r="174" spans="1:1" x14ac:dyDescent="0.25">
      <c r="A174" s="95" t="s">
        <v>116</v>
      </c>
    </row>
    <row r="175" spans="1:1" x14ac:dyDescent="0.25">
      <c r="A175" s="95" t="s">
        <v>117</v>
      </c>
    </row>
    <row r="176" spans="1:1" x14ac:dyDescent="0.25">
      <c r="A176" s="95" t="s">
        <v>118</v>
      </c>
    </row>
    <row r="177" spans="1:1" x14ac:dyDescent="0.25">
      <c r="A177" s="194" t="s">
        <v>213</v>
      </c>
    </row>
    <row r="178" spans="1:1" x14ac:dyDescent="0.25">
      <c r="A178" s="95" t="s">
        <v>121</v>
      </c>
    </row>
    <row r="179" spans="1:1" x14ac:dyDescent="0.25">
      <c r="A179" s="95" t="s">
        <v>122</v>
      </c>
    </row>
    <row r="180" spans="1:1" x14ac:dyDescent="0.25">
      <c r="A180" s="95" t="s">
        <v>146</v>
      </c>
    </row>
    <row r="181" spans="1:1" x14ac:dyDescent="0.25">
      <c r="A181" s="95" t="s">
        <v>136</v>
      </c>
    </row>
    <row r="182" spans="1:1" x14ac:dyDescent="0.25">
      <c r="A182" s="95" t="s">
        <v>147</v>
      </c>
    </row>
    <row r="183" spans="1:1" x14ac:dyDescent="0.25">
      <c r="A183" s="95" t="s">
        <v>123</v>
      </c>
    </row>
    <row r="184" spans="1:1" x14ac:dyDescent="0.25">
      <c r="A184" s="95" t="s">
        <v>214</v>
      </c>
    </row>
    <row r="185" spans="1:1" x14ac:dyDescent="0.25">
      <c r="A185" s="95" t="s">
        <v>124</v>
      </c>
    </row>
    <row r="186" spans="1:1" x14ac:dyDescent="0.25">
      <c r="A186" s="95" t="s">
        <v>137</v>
      </c>
    </row>
    <row r="187" spans="1:1" ht="31.5" x14ac:dyDescent="0.25">
      <c r="A187" s="194" t="s">
        <v>138</v>
      </c>
    </row>
    <row r="188" spans="1:1" x14ac:dyDescent="0.25">
      <c r="A188" s="95" t="s">
        <v>139</v>
      </c>
    </row>
    <row r="189" spans="1:1" x14ac:dyDescent="0.25">
      <c r="A189" s="95" t="s">
        <v>148</v>
      </c>
    </row>
    <row r="190" spans="1:1" x14ac:dyDescent="0.25">
      <c r="A190" s="95" t="s">
        <v>182</v>
      </c>
    </row>
    <row r="191" spans="1:1" x14ac:dyDescent="0.25">
      <c r="A191" s="95" t="s">
        <v>212</v>
      </c>
    </row>
    <row r="192" spans="1:1" x14ac:dyDescent="0.25">
      <c r="A192" s="95" t="s">
        <v>150</v>
      </c>
    </row>
    <row r="193" spans="1:1" x14ac:dyDescent="0.25">
      <c r="A193" s="95" t="s">
        <v>211</v>
      </c>
    </row>
    <row r="194" spans="1:1" x14ac:dyDescent="0.25">
      <c r="A194" s="95" t="s">
        <v>151</v>
      </c>
    </row>
    <row r="195" spans="1:1" x14ac:dyDescent="0.25">
      <c r="A195" s="95" t="s">
        <v>156</v>
      </c>
    </row>
    <row r="196" spans="1:1" x14ac:dyDescent="0.25">
      <c r="A196" s="95" t="s">
        <v>157</v>
      </c>
    </row>
    <row r="197" spans="1:1" x14ac:dyDescent="0.25">
      <c r="A197" s="95" t="s">
        <v>165</v>
      </c>
    </row>
    <row r="198" spans="1:1" x14ac:dyDescent="0.25">
      <c r="A198" s="95" t="s">
        <v>166</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1" sqref="B11"/>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757</v>
      </c>
    </row>
    <row r="2" spans="1:10" ht="31.5" customHeight="1" x14ac:dyDescent="0.2">
      <c r="A2" s="805" t="s">
        <v>366</v>
      </c>
      <c r="B2" s="806"/>
      <c r="C2" s="806"/>
      <c r="D2" s="806"/>
      <c r="E2" s="806"/>
      <c r="F2" s="806"/>
      <c r="J2" s="537" t="s">
        <v>758</v>
      </c>
    </row>
    <row r="3" spans="1:10" x14ac:dyDescent="0.2">
      <c r="J3" s="537" t="s">
        <v>759</v>
      </c>
    </row>
    <row r="4" spans="1:10" x14ac:dyDescent="0.25">
      <c r="A4" s="1" t="s">
        <v>769</v>
      </c>
      <c r="B4" s="719" t="s">
        <v>987</v>
      </c>
      <c r="J4" s="537" t="s">
        <v>760</v>
      </c>
    </row>
    <row r="5" spans="1:10" x14ac:dyDescent="0.25">
      <c r="A5" s="1"/>
      <c r="B5" s="538"/>
      <c r="J5" s="537" t="s">
        <v>761</v>
      </c>
    </row>
    <row r="6" spans="1:10" x14ac:dyDescent="0.25">
      <c r="A6" s="1" t="s">
        <v>770</v>
      </c>
      <c r="B6" s="719" t="s">
        <v>988</v>
      </c>
      <c r="J6" s="537" t="s">
        <v>762</v>
      </c>
    </row>
    <row r="7" spans="1:10" x14ac:dyDescent="0.2">
      <c r="D7" s="339"/>
      <c r="J7" s="537" t="s">
        <v>763</v>
      </c>
    </row>
    <row r="8" spans="1:10" x14ac:dyDescent="0.2">
      <c r="A8" s="193" t="s">
        <v>361</v>
      </c>
      <c r="B8" s="720" t="s">
        <v>992</v>
      </c>
      <c r="C8" s="340"/>
      <c r="D8" s="193" t="s">
        <v>756</v>
      </c>
      <c r="J8" s="537" t="s">
        <v>764</v>
      </c>
    </row>
    <row r="9" spans="1:10" x14ac:dyDescent="0.2">
      <c r="A9" s="193"/>
      <c r="B9" s="341"/>
      <c r="C9" s="342"/>
      <c r="D9" s="539" t="str">
        <f ca="1">IF(B8="","",CONCATENATE("Latest date for notice to be published in your newspaper: ",G19," ",G23,", ",G24))</f>
        <v>Latest date for notice to be published in your newspaper: August 3, 2014</v>
      </c>
      <c r="J9" s="537" t="s">
        <v>765</v>
      </c>
    </row>
    <row r="10" spans="1:10" x14ac:dyDescent="0.2">
      <c r="A10" s="193" t="s">
        <v>362</v>
      </c>
      <c r="B10" s="720" t="s">
        <v>993</v>
      </c>
      <c r="C10" s="343"/>
      <c r="D10" s="193"/>
      <c r="J10" s="537" t="s">
        <v>766</v>
      </c>
    </row>
    <row r="11" spans="1:10" x14ac:dyDescent="0.2">
      <c r="A11" s="193"/>
      <c r="B11" s="193"/>
      <c r="C11" s="193"/>
      <c r="D11" s="193"/>
      <c r="J11" s="537" t="s">
        <v>767</v>
      </c>
    </row>
    <row r="12" spans="1:10" x14ac:dyDescent="0.2">
      <c r="A12" s="193" t="s">
        <v>363</v>
      </c>
      <c r="B12" s="721" t="s">
        <v>989</v>
      </c>
      <c r="C12" s="722"/>
      <c r="D12" s="722"/>
      <c r="E12" s="723"/>
      <c r="J12" s="537" t="s">
        <v>768</v>
      </c>
    </row>
    <row r="13" spans="1:10" x14ac:dyDescent="0.25">
      <c r="A13" s="193"/>
      <c r="B13" s="193"/>
      <c r="C13" s="193"/>
      <c r="D13" s="193"/>
    </row>
    <row r="14" spans="1:10" x14ac:dyDescent="0.25">
      <c r="A14" s="193"/>
      <c r="B14" s="193"/>
      <c r="C14" s="193"/>
      <c r="D14" s="193"/>
    </row>
    <row r="15" spans="1:10" x14ac:dyDescent="0.25">
      <c r="A15" s="193" t="s">
        <v>364</v>
      </c>
      <c r="B15" s="721" t="s">
        <v>990</v>
      </c>
      <c r="C15" s="722"/>
      <c r="D15" s="722"/>
      <c r="E15" s="723"/>
    </row>
    <row r="18" spans="1:7" x14ac:dyDescent="0.25">
      <c r="A18" s="807" t="s">
        <v>367</v>
      </c>
      <c r="B18" s="807"/>
      <c r="C18" s="193"/>
      <c r="D18" s="193"/>
      <c r="E18" s="193"/>
    </row>
    <row r="19" spans="1:7" x14ac:dyDescent="0.2">
      <c r="A19" s="193"/>
      <c r="B19" s="193"/>
      <c r="C19" s="193"/>
      <c r="D19" s="193"/>
      <c r="E19" s="193"/>
      <c r="G19" s="537" t="str">
        <f ca="1">IF(B8="","",INDIRECT(G20))</f>
        <v>August</v>
      </c>
    </row>
    <row r="20" spans="1:7" x14ac:dyDescent="0.25">
      <c r="A20" s="193" t="s">
        <v>361</v>
      </c>
      <c r="B20" s="341" t="s">
        <v>365</v>
      </c>
      <c r="C20" s="193"/>
      <c r="D20" s="193"/>
      <c r="E20" s="193"/>
      <c r="G20" s="540" t="str">
        <f>IF(B8="","",CONCATENATE("J",G22))</f>
        <v>J8</v>
      </c>
    </row>
    <row r="21" spans="1:7" x14ac:dyDescent="0.25">
      <c r="A21" s="193"/>
      <c r="B21" s="193"/>
      <c r="C21" s="193"/>
      <c r="D21" s="193"/>
      <c r="E21" s="193"/>
      <c r="G21" s="541">
        <f>B8-10</f>
        <v>41854</v>
      </c>
    </row>
    <row r="22" spans="1:7" x14ac:dyDescent="0.25">
      <c r="A22" s="193" t="s">
        <v>362</v>
      </c>
      <c r="B22" s="193" t="s">
        <v>368</v>
      </c>
      <c r="C22" s="193"/>
      <c r="D22" s="193"/>
      <c r="E22" s="193"/>
      <c r="G22" s="542">
        <f>IF(B8="","",MONTH(G21))</f>
        <v>8</v>
      </c>
    </row>
    <row r="23" spans="1:7" x14ac:dyDescent="0.25">
      <c r="A23" s="193"/>
      <c r="B23" s="193"/>
      <c r="C23" s="193"/>
      <c r="D23" s="193"/>
      <c r="E23" s="193"/>
      <c r="G23" s="543">
        <f>IF(B8="","",DAY(G21))</f>
        <v>3</v>
      </c>
    </row>
    <row r="24" spans="1:7" x14ac:dyDescent="0.25">
      <c r="A24" s="193" t="s">
        <v>363</v>
      </c>
      <c r="B24" s="193" t="s">
        <v>369</v>
      </c>
      <c r="C24" s="193"/>
      <c r="D24" s="193"/>
      <c r="E24" s="193"/>
      <c r="G24" s="544">
        <f>IF(B8="","",YEAR(G21))</f>
        <v>2014</v>
      </c>
    </row>
    <row r="25" spans="1:7" x14ac:dyDescent="0.25">
      <c r="A25" s="193"/>
      <c r="B25" s="193"/>
      <c r="C25" s="193"/>
      <c r="D25" s="193"/>
      <c r="E25" s="193"/>
    </row>
    <row r="26" spans="1:7" x14ac:dyDescent="0.25">
      <c r="A26" s="193" t="s">
        <v>364</v>
      </c>
      <c r="B26" s="193" t="s">
        <v>370</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43" workbookViewId="0">
      <selection activeCell="D62" sqref="D62"/>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23" t="s">
        <v>22</v>
      </c>
      <c r="B1" s="823"/>
      <c r="C1" s="823"/>
      <c r="D1" s="823"/>
      <c r="E1" s="823"/>
      <c r="F1" s="823"/>
      <c r="G1" s="48">
        <f>inputPrYr!D9</f>
        <v>2015</v>
      </c>
    </row>
    <row r="2" spans="1:7" s="48" customFormat="1" x14ac:dyDescent="0.25">
      <c r="B2" s="49"/>
      <c r="C2" s="49"/>
      <c r="D2" s="49"/>
      <c r="E2" s="49"/>
      <c r="F2" s="50"/>
    </row>
    <row r="3" spans="1:7" s="48" customFormat="1" x14ac:dyDescent="0.25">
      <c r="A3" s="820" t="str">
        <f>CONCATENATE("To the Clerk of ",inputPrYr!D4,", State of Kansas")</f>
        <v>To the Clerk of Butler County, State of Kansas</v>
      </c>
      <c r="B3" s="809"/>
      <c r="C3" s="809"/>
      <c r="D3" s="809"/>
      <c r="E3" s="809"/>
      <c r="F3" s="809"/>
    </row>
    <row r="4" spans="1:7" s="48" customFormat="1" x14ac:dyDescent="0.25">
      <c r="A4" s="820" t="s">
        <v>83</v>
      </c>
      <c r="B4" s="821"/>
      <c r="C4" s="821"/>
      <c r="D4" s="821"/>
      <c r="E4" s="821"/>
      <c r="F4" s="821"/>
    </row>
    <row r="5" spans="1:7" s="48" customFormat="1" x14ac:dyDescent="0.25">
      <c r="A5" s="822" t="str">
        <f>inputPrYr!D3</f>
        <v>Pleasant Township</v>
      </c>
      <c r="B5" s="821"/>
      <c r="C5" s="821"/>
      <c r="D5" s="821"/>
      <c r="E5" s="821"/>
      <c r="F5" s="821"/>
    </row>
    <row r="6" spans="1:7" s="48" customFormat="1" x14ac:dyDescent="0.25">
      <c r="A6" s="830" t="s">
        <v>81</v>
      </c>
      <c r="B6" s="831"/>
      <c r="C6" s="831"/>
      <c r="D6" s="831"/>
      <c r="E6" s="831"/>
      <c r="F6" s="831"/>
    </row>
    <row r="7" spans="1:7" s="48" customFormat="1" ht="15.75" customHeight="1" x14ac:dyDescent="0.25">
      <c r="A7" s="820" t="s">
        <v>82</v>
      </c>
      <c r="B7" s="832"/>
      <c r="C7" s="832"/>
      <c r="D7" s="832"/>
      <c r="E7" s="832"/>
      <c r="F7" s="832"/>
    </row>
    <row r="8" spans="1:7" s="48" customFormat="1" ht="15.75" customHeight="1" x14ac:dyDescent="0.25">
      <c r="A8" s="820" t="str">
        <f>CONCATENATE("maximum expenditures for the various funds for the year ",G1,"; and (3) the")</f>
        <v>maximum expenditures for the various funds for the year 2015; and (3) the</v>
      </c>
      <c r="B8" s="821"/>
      <c r="C8" s="821"/>
      <c r="D8" s="821"/>
      <c r="E8" s="821"/>
      <c r="F8" s="821"/>
    </row>
    <row r="9" spans="1:7" s="48" customFormat="1" ht="15.75" customHeight="1" x14ac:dyDescent="0.25">
      <c r="A9" s="820" t="str">
        <f>CONCATENATE("Amount(s) of ",G1-1," Ad Valorem Tax are within statutory limitations for the ",G1," Budget.")</f>
        <v>Amount(s) of 2014 Ad Valorem Tax are within statutory limitations for the 2015 Budget.</v>
      </c>
      <c r="B9" s="821"/>
      <c r="C9" s="821"/>
      <c r="D9" s="821"/>
      <c r="E9" s="821"/>
      <c r="F9" s="821"/>
    </row>
    <row r="10" spans="1:7" s="48" customFormat="1" ht="15.75" customHeight="1" x14ac:dyDescent="0.25">
      <c r="D10" s="53"/>
      <c r="E10" s="53"/>
      <c r="F10" s="53"/>
    </row>
    <row r="11" spans="1:7" s="48" customFormat="1" x14ac:dyDescent="0.25">
      <c r="C11" s="54"/>
      <c r="D11" s="827" t="str">
        <f>CONCATENATE("",G1," Adopted Budget")</f>
        <v>2015 Adopted Budget</v>
      </c>
      <c r="E11" s="828"/>
      <c r="F11" s="829"/>
    </row>
    <row r="12" spans="1:7" s="48" customFormat="1" x14ac:dyDescent="0.25">
      <c r="A12" s="55"/>
      <c r="C12" s="53"/>
      <c r="D12" s="56" t="s">
        <v>223</v>
      </c>
      <c r="E12" s="824" t="str">
        <f>CONCATENATE("Amount of ",G1-1," Ad Valorem Tax")</f>
        <v>Amount of 2014 Ad Valorem Tax</v>
      </c>
      <c r="F12" s="57" t="s">
        <v>224</v>
      </c>
    </row>
    <row r="13" spans="1:7" s="48" customFormat="1" x14ac:dyDescent="0.25">
      <c r="C13" s="57" t="s">
        <v>225</v>
      </c>
      <c r="D13" s="467" t="s">
        <v>153</v>
      </c>
      <c r="E13" s="825"/>
      <c r="F13" s="59" t="s">
        <v>226</v>
      </c>
    </row>
    <row r="14" spans="1:7" s="48" customFormat="1" x14ac:dyDescent="0.25">
      <c r="A14" s="60" t="s">
        <v>227</v>
      </c>
      <c r="B14" s="61"/>
      <c r="C14" s="62" t="s">
        <v>228</v>
      </c>
      <c r="D14" s="468" t="s">
        <v>695</v>
      </c>
      <c r="E14" s="826"/>
      <c r="F14" s="62" t="s">
        <v>230</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746</v>
      </c>
      <c r="B16" s="64"/>
      <c r="C16" s="66">
        <v>3</v>
      </c>
      <c r="D16" s="54"/>
      <c r="E16" s="54"/>
      <c r="F16" s="67"/>
    </row>
    <row r="17" spans="1:6" s="48" customFormat="1" x14ac:dyDescent="0.25">
      <c r="A17" s="68" t="s">
        <v>96</v>
      </c>
      <c r="B17" s="64"/>
      <c r="C17" s="66">
        <v>4</v>
      </c>
      <c r="D17" s="54"/>
      <c r="E17" s="54"/>
      <c r="F17" s="67"/>
    </row>
    <row r="18" spans="1:6" s="48" customFormat="1" x14ac:dyDescent="0.25">
      <c r="A18" s="68" t="s">
        <v>72</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231</v>
      </c>
      <c r="B20" s="70" t="s">
        <v>232</v>
      </c>
      <c r="C20" s="71"/>
      <c r="F20" s="72"/>
    </row>
    <row r="21" spans="1:6" s="48" customFormat="1" x14ac:dyDescent="0.25">
      <c r="A21" s="73" t="str">
        <f>inputPrYr!B20</f>
        <v>General</v>
      </c>
      <c r="B21" s="74" t="str">
        <f>inputPrYr!C20</f>
        <v>79-1962</v>
      </c>
      <c r="C21" s="75">
        <f>IF(gen!C61&gt;0,gen!C61,"  ")</f>
        <v>6</v>
      </c>
      <c r="D21" s="545">
        <f>IF(gen!$E$50&lt;&gt;0,gen!$E$50,"  ")</f>
        <v>123000</v>
      </c>
      <c r="E21" s="545">
        <f>IF(gen!$E$57&lt;&gt;0,gen!$E$57,0)</f>
        <v>77257</v>
      </c>
      <c r="F21" s="546" t="str">
        <f>IF(AND(gen!E57=0,$B$47&gt;=0)," ",IF(AND(E21&gt;0,$B$47=0)," ",IF(AND(E21&gt;0,$B$47&gt;0),ROUND(E21/$B$47*1000,3))))</f>
        <v xml:space="preserve"> </v>
      </c>
    </row>
    <row r="22" spans="1:6" s="48" customFormat="1" x14ac:dyDescent="0.25">
      <c r="A22" s="73" t="s">
        <v>290</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431011</v>
      </c>
      <c r="E24" s="545">
        <f>IF(road!$E$50&lt;&gt;0,road!$E$50,"  ")</f>
        <v>370991</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t="str">
        <f>IF(levypage10!C81&gt;0,levypage10!C81,"  ")</f>
        <v xml:space="preserve">  </v>
      </c>
      <c r="D27" s="545" t="str">
        <f>IF(levypage10!$E$33&lt;&gt;0,levypage10!$E$33,"  ")</f>
        <v xml:space="preserve">  </v>
      </c>
      <c r="E27" s="545" t="str">
        <f>IF(levypage10!$E$40&lt;&gt;0,levypage10!$E$40,"  ")</f>
        <v xml:space="preserve">  </v>
      </c>
      <c r="F27" s="546" t="str">
        <f>IF(AND(levypage10!$E$40=0,$B$44&gt;=0),"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t="str">
        <f>IF(levypage10!C81&gt;0,levypage10!C81,"  ")</f>
        <v xml:space="preserve">  </v>
      </c>
      <c r="D28" s="545" t="str">
        <f>IF(levypage10!$E$73&lt;&gt;0,levypage10!$E$73,"  ")</f>
        <v xml:space="preserve">  </v>
      </c>
      <c r="E28" s="545" t="str">
        <f>IF(levypage10!$E$80&lt;&gt;0,levypage10!$E$80,"  ")</f>
        <v xml:space="preserve">  </v>
      </c>
      <c r="F28" s="546" t="str">
        <f>IF(AND(levypage10!$E$80=0,$B$47&gt;=0),"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233</v>
      </c>
      <c r="B38" s="78"/>
      <c r="C38" s="79">
        <f>IF(road!C67&gt;0,road!C67,"  ")</f>
        <v>7</v>
      </c>
      <c r="D38" s="547"/>
      <c r="E38" s="547"/>
      <c r="F38" s="546"/>
    </row>
    <row r="39" spans="1:6" s="48" customFormat="1" ht="16.5" thickBot="1" x14ac:dyDescent="0.3">
      <c r="A39" s="81" t="s">
        <v>234</v>
      </c>
      <c r="B39" s="72"/>
      <c r="C39" s="82" t="s">
        <v>235</v>
      </c>
      <c r="D39" s="548">
        <f>SUM(D21:D38)</f>
        <v>554011</v>
      </c>
      <c r="E39" s="548">
        <f>SUM(E21:E38)</f>
        <v>448248</v>
      </c>
      <c r="F39" s="549" t="str">
        <f>IF(SUM(F21:F38)&gt;0,SUM(F21:F38),"")</f>
        <v/>
      </c>
    </row>
    <row r="40" spans="1:6" s="48" customFormat="1" ht="16.5" thickTop="1" x14ac:dyDescent="0.25">
      <c r="A40" s="68" t="s">
        <v>95</v>
      </c>
      <c r="B40" s="64"/>
      <c r="C40" s="79">
        <f>summ!C54</f>
        <v>8</v>
      </c>
    </row>
    <row r="41" spans="1:6" s="48" customFormat="1" x14ac:dyDescent="0.25">
      <c r="A41" s="740" t="s">
        <v>149</v>
      </c>
      <c r="B41" s="65"/>
      <c r="C41" s="739" t="str">
        <f>IF(nhood!C40&gt;0,nhood!C40,"")</f>
        <v/>
      </c>
      <c r="D41" s="752" t="s">
        <v>932</v>
      </c>
      <c r="E41" s="84" t="str">
        <f>IF(E39&gt;1000,IF(E35&gt;computation!J41,"Yes","No"),"No")</f>
        <v>No</v>
      </c>
    </row>
    <row r="42" spans="1:6" s="48" customFormat="1" x14ac:dyDescent="0.25">
      <c r="A42" s="737"/>
      <c r="B42" s="155"/>
      <c r="C42" s="738"/>
      <c r="D42" s="85"/>
      <c r="E42" s="86"/>
    </row>
    <row r="43" spans="1:6" s="48" customFormat="1" x14ac:dyDescent="0.25">
      <c r="A43" s="68" t="s">
        <v>50</v>
      </c>
      <c r="B43" s="815" t="s">
        <v>67</v>
      </c>
      <c r="C43" s="816"/>
      <c r="D43" s="88"/>
      <c r="F43" s="55" t="s">
        <v>236</v>
      </c>
    </row>
    <row r="44" spans="1:6" s="48" customFormat="1" x14ac:dyDescent="0.25">
      <c r="A44" s="63" t="str">
        <f>inputPrYr!D3</f>
        <v>Pleasant Township</v>
      </c>
      <c r="B44" s="812"/>
      <c r="C44" s="817"/>
      <c r="D44" s="89"/>
      <c r="F44" s="55"/>
    </row>
    <row r="45" spans="1:6" s="48" customFormat="1" x14ac:dyDescent="0.25">
      <c r="A45" s="63" t="str">
        <f>inputPrYr!D6</f>
        <v>City of Rose Hill</v>
      </c>
      <c r="B45" s="812"/>
      <c r="C45" s="813"/>
      <c r="D45" s="89"/>
      <c r="F45" s="55"/>
    </row>
    <row r="46" spans="1:6" s="48" customFormat="1" x14ac:dyDescent="0.25">
      <c r="A46" s="63">
        <f>inputPrYr!D7</f>
        <v>0</v>
      </c>
      <c r="B46" s="812"/>
      <c r="C46" s="813"/>
      <c r="D46" s="89"/>
      <c r="F46" s="55"/>
    </row>
    <row r="47" spans="1:6" s="48" customFormat="1" x14ac:dyDescent="0.25">
      <c r="A47" s="63" t="s">
        <v>160</v>
      </c>
      <c r="B47" s="810">
        <f>SUM(B44:C46)</f>
        <v>0</v>
      </c>
      <c r="C47" s="811"/>
      <c r="D47" s="89"/>
      <c r="F47" s="55"/>
    </row>
    <row r="48" spans="1:6" s="48" customFormat="1" x14ac:dyDescent="0.25">
      <c r="A48" s="90"/>
      <c r="B48" s="818" t="str">
        <f>CONCATENATE("Nov. 1, ",G1-1," Valuation")</f>
        <v>Nov. 1, 2014 Valuation</v>
      </c>
      <c r="C48" s="819"/>
      <c r="D48" s="88"/>
      <c r="F48" s="55"/>
    </row>
    <row r="49" spans="1:7" s="48" customFormat="1" x14ac:dyDescent="0.25">
      <c r="A49" s="90" t="s">
        <v>237</v>
      </c>
      <c r="D49" s="54"/>
      <c r="F49" s="55"/>
    </row>
    <row r="50" spans="1:7" s="48" customFormat="1" x14ac:dyDescent="0.25">
      <c r="A50" s="92" t="s">
        <v>962</v>
      </c>
      <c r="D50" s="88"/>
      <c r="E50" s="54"/>
      <c r="F50" s="54"/>
    </row>
    <row r="51" spans="1:7" s="48" customFormat="1" x14ac:dyDescent="0.25">
      <c r="A51" s="93"/>
      <c r="B51" s="53"/>
      <c r="D51" s="814" t="s">
        <v>772</v>
      </c>
      <c r="E51" s="814"/>
      <c r="F51" s="814"/>
    </row>
    <row r="52" spans="1:7" s="48" customFormat="1" x14ac:dyDescent="0.25">
      <c r="A52" s="90" t="s">
        <v>76</v>
      </c>
      <c r="D52" s="814"/>
      <c r="E52" s="814"/>
      <c r="F52" s="814"/>
    </row>
    <row r="53" spans="1:7" s="48" customFormat="1" x14ac:dyDescent="0.25">
      <c r="A53" s="92" t="s">
        <v>963</v>
      </c>
      <c r="C53" s="55"/>
      <c r="D53" s="814" t="s">
        <v>772</v>
      </c>
      <c r="E53" s="814"/>
      <c r="F53" s="814"/>
    </row>
    <row r="54" spans="1:7" s="48" customFormat="1" x14ac:dyDescent="0.25">
      <c r="A54" s="93" t="s">
        <v>964</v>
      </c>
      <c r="B54" s="55"/>
      <c r="D54" s="814"/>
      <c r="E54" s="814"/>
      <c r="F54" s="814"/>
    </row>
    <row r="55" spans="1:7" x14ac:dyDescent="0.25">
      <c r="A55" s="90" t="s">
        <v>771</v>
      </c>
      <c r="B55" s="53"/>
      <c r="C55" s="48"/>
      <c r="D55" s="814" t="s">
        <v>772</v>
      </c>
      <c r="E55" s="814"/>
      <c r="F55" s="814"/>
      <c r="G55" s="94"/>
    </row>
    <row r="56" spans="1:7" x14ac:dyDescent="0.25">
      <c r="A56" s="783"/>
      <c r="B56" s="53"/>
      <c r="C56" s="48"/>
      <c r="D56" s="814"/>
      <c r="E56" s="814"/>
      <c r="F56" s="814"/>
      <c r="G56" s="94"/>
    </row>
    <row r="57" spans="1:7" x14ac:dyDescent="0.25">
      <c r="A57" s="53"/>
      <c r="B57" s="48"/>
      <c r="C57" s="48"/>
      <c r="D57" s="814" t="s">
        <v>772</v>
      </c>
      <c r="E57" s="814"/>
      <c r="F57" s="814"/>
      <c r="G57" s="94"/>
    </row>
    <row r="58" spans="1:7" x14ac:dyDescent="0.25">
      <c r="A58" s="453" t="s">
        <v>80</v>
      </c>
      <c r="B58" s="98">
        <f>G1-1</f>
        <v>2014</v>
      </c>
      <c r="C58" s="48"/>
      <c r="D58" s="814"/>
      <c r="E58" s="814"/>
      <c r="F58" s="814"/>
      <c r="G58" s="94"/>
    </row>
    <row r="59" spans="1:7" x14ac:dyDescent="0.25">
      <c r="A59" s="48"/>
      <c r="B59" s="48"/>
      <c r="C59" s="48"/>
      <c r="D59" s="54"/>
      <c r="E59" s="90"/>
      <c r="F59" s="54"/>
      <c r="G59" s="94"/>
    </row>
    <row r="60" spans="1:7" x14ac:dyDescent="0.25">
      <c r="A60" s="452"/>
      <c r="B60" s="48"/>
      <c r="C60" s="48"/>
      <c r="D60" s="54" t="s">
        <v>772</v>
      </c>
      <c r="E60" s="54"/>
      <c r="F60" s="54"/>
      <c r="G60" s="94"/>
    </row>
    <row r="61" spans="1:7" x14ac:dyDescent="0.25">
      <c r="A61" s="51" t="s">
        <v>239</v>
      </c>
      <c r="B61" s="48"/>
      <c r="C61" s="48"/>
      <c r="D61" s="808" t="s">
        <v>238</v>
      </c>
      <c r="E61" s="809"/>
      <c r="F61" s="80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240</v>
      </c>
      <c r="B65" s="96"/>
      <c r="C65" s="96"/>
      <c r="D65" s="96"/>
      <c r="E65" s="96"/>
      <c r="F65" s="48"/>
    </row>
    <row r="66" spans="1:6" x14ac:dyDescent="0.25">
      <c r="A66" s="97" t="s">
        <v>241</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A1:F1"/>
    <mergeCell ref="E12:E14"/>
    <mergeCell ref="D11:F11"/>
    <mergeCell ref="A6:F6"/>
    <mergeCell ref="A7:F7"/>
    <mergeCell ref="A3:F3"/>
    <mergeCell ref="B43:C43"/>
    <mergeCell ref="B44:C44"/>
    <mergeCell ref="B48:C48"/>
    <mergeCell ref="A9:F9"/>
    <mergeCell ref="A4:F4"/>
    <mergeCell ref="A5:F5"/>
    <mergeCell ref="A8:F8"/>
    <mergeCell ref="D61:F61"/>
    <mergeCell ref="B47:C47"/>
    <mergeCell ref="B45:C45"/>
    <mergeCell ref="B46:C46"/>
    <mergeCell ref="D51:F52"/>
    <mergeCell ref="D57:F58"/>
    <mergeCell ref="D55:F56"/>
    <mergeCell ref="D53:F54"/>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3"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Pleasant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23"/>
      <c r="C3" s="823"/>
      <c r="D3" s="823"/>
      <c r="E3" s="823"/>
      <c r="F3" s="823"/>
      <c r="G3" s="823"/>
      <c r="H3" s="823"/>
      <c r="I3" s="823"/>
      <c r="J3" s="823"/>
    </row>
    <row r="4" spans="1:10" x14ac:dyDescent="0.25">
      <c r="A4" s="48"/>
      <c r="B4" s="48"/>
      <c r="C4" s="48"/>
      <c r="D4" s="48"/>
      <c r="E4" s="823"/>
      <c r="F4" s="823"/>
      <c r="G4" s="823"/>
      <c r="H4" s="47"/>
      <c r="I4" s="48"/>
      <c r="J4" s="240" t="s">
        <v>32</v>
      </c>
    </row>
    <row r="5" spans="1:10" x14ac:dyDescent="0.25">
      <c r="A5" s="241" t="s">
        <v>33</v>
      </c>
      <c r="B5" s="48" t="str">
        <f>CONCATENATE("Total tax levy amount in ",J1-1,"")</f>
        <v>Total tax levy amount in 2014</v>
      </c>
      <c r="C5" s="48"/>
      <c r="D5" s="48"/>
      <c r="E5" s="169"/>
      <c r="F5" s="169"/>
      <c r="G5" s="169"/>
      <c r="H5" s="242" t="s">
        <v>255</v>
      </c>
      <c r="I5" s="169" t="s">
        <v>242</v>
      </c>
      <c r="J5" s="243">
        <f>inputPrYr!E32</f>
        <v>439505</v>
      </c>
    </row>
    <row r="6" spans="1:10" x14ac:dyDescent="0.25">
      <c r="A6" s="241" t="s">
        <v>34</v>
      </c>
      <c r="B6" s="48" t="str">
        <f>CONCATENATE("Debt service levy in ",J1-1,"")</f>
        <v>Debt service levy in 2014</v>
      </c>
      <c r="C6" s="48"/>
      <c r="D6" s="48"/>
      <c r="E6" s="169"/>
      <c r="F6" s="169"/>
      <c r="G6" s="169"/>
      <c r="H6" s="242" t="s">
        <v>35</v>
      </c>
      <c r="I6" s="169" t="s">
        <v>242</v>
      </c>
      <c r="J6" s="244">
        <f>inputPrYr!E21</f>
        <v>0</v>
      </c>
    </row>
    <row r="7" spans="1:10" x14ac:dyDescent="0.25">
      <c r="A7" s="241" t="s">
        <v>36</v>
      </c>
      <c r="B7" s="48" t="s">
        <v>926</v>
      </c>
      <c r="C7" s="48"/>
      <c r="D7" s="48"/>
      <c r="E7" s="169"/>
      <c r="F7" s="169"/>
      <c r="G7" s="169"/>
      <c r="H7" s="169"/>
      <c r="I7" s="169" t="s">
        <v>242</v>
      </c>
      <c r="J7" s="245">
        <f>J5-J6</f>
        <v>439505</v>
      </c>
    </row>
    <row r="8" spans="1:10" x14ac:dyDescent="0.25">
      <c r="A8" s="48"/>
      <c r="B8" s="48"/>
      <c r="C8" s="48"/>
      <c r="D8" s="48"/>
      <c r="E8" s="169"/>
      <c r="F8" s="169"/>
      <c r="G8" s="169"/>
      <c r="H8" s="169"/>
      <c r="I8" s="169"/>
      <c r="J8" s="169"/>
    </row>
    <row r="9" spans="1:10" x14ac:dyDescent="0.25">
      <c r="A9" s="823" t="str">
        <f>CONCATENATE("",J1-1," Valuation Information for Valuation Adjustments")</f>
        <v>2014 Valuation Information for Valuation Adjustments</v>
      </c>
      <c r="B9" s="821"/>
      <c r="C9" s="821"/>
      <c r="D9" s="821"/>
      <c r="E9" s="821"/>
      <c r="F9" s="821"/>
      <c r="G9" s="821"/>
      <c r="H9" s="821"/>
      <c r="I9" s="821"/>
      <c r="J9" s="821"/>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255</v>
      </c>
      <c r="G11" s="732">
        <f>inputOth!E16</f>
        <v>402035</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255</v>
      </c>
      <c r="E14" s="732">
        <f>inputOth!E21</f>
        <v>422503</v>
      </c>
      <c r="F14" s="242"/>
      <c r="G14" s="169"/>
      <c r="H14" s="169"/>
      <c r="I14" s="246"/>
      <c r="J14" s="169"/>
    </row>
    <row r="15" spans="1:10" x14ac:dyDescent="0.25">
      <c r="A15" s="241"/>
      <c r="B15" s="48" t="s">
        <v>40</v>
      </c>
      <c r="C15" s="48" t="str">
        <f>CONCATENATE("Personal property ",J1-2,"")</f>
        <v>Personal property 2013</v>
      </c>
      <c r="D15" s="241" t="s">
        <v>35</v>
      </c>
      <c r="E15" s="245">
        <f>inputOth!E31</f>
        <v>759812</v>
      </c>
      <c r="F15" s="242"/>
      <c r="G15" s="246"/>
      <c r="H15" s="246"/>
      <c r="I15" s="169"/>
      <c r="J15" s="169"/>
    </row>
    <row r="16" spans="1:10" x14ac:dyDescent="0.25">
      <c r="A16" s="241"/>
      <c r="B16" s="48" t="s">
        <v>41</v>
      </c>
      <c r="C16" s="48" t="s">
        <v>927</v>
      </c>
      <c r="D16" s="48"/>
      <c r="E16" s="169"/>
      <c r="F16" s="169" t="s">
        <v>255</v>
      </c>
      <c r="G16" s="732">
        <f>IF(E14&gt;E15,E14-E15,0)</f>
        <v>0</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255</v>
      </c>
      <c r="G18" s="732">
        <f>inputOth!E26</f>
        <v>153241</v>
      </c>
      <c r="H18" s="169"/>
      <c r="I18" s="169"/>
      <c r="J18" s="169"/>
    </row>
    <row r="19" spans="1:10" x14ac:dyDescent="0.25">
      <c r="A19" s="48" t="s">
        <v>223</v>
      </c>
      <c r="B19" s="48"/>
      <c r="C19" s="48"/>
      <c r="D19" s="241"/>
      <c r="E19" s="246"/>
      <c r="F19" s="246"/>
      <c r="G19" s="246"/>
      <c r="H19" s="169"/>
      <c r="I19" s="169"/>
      <c r="J19" s="169"/>
    </row>
    <row r="20" spans="1:10" x14ac:dyDescent="0.25">
      <c r="A20" s="241" t="s">
        <v>43</v>
      </c>
      <c r="B20" s="48" t="s">
        <v>928</v>
      </c>
      <c r="C20" s="48"/>
      <c r="D20" s="48"/>
      <c r="E20" s="169"/>
      <c r="F20" s="169"/>
      <c r="G20" s="732">
        <f>G11+G16+G18</f>
        <v>555276</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39802815</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929</v>
      </c>
      <c r="C24" s="48"/>
      <c r="D24" s="48"/>
      <c r="E24" s="169"/>
      <c r="F24" s="169"/>
      <c r="G24" s="732">
        <f>E22-G20</f>
        <v>39247539</v>
      </c>
      <c r="H24" s="246"/>
      <c r="I24" s="242"/>
      <c r="J24" s="169"/>
    </row>
    <row r="25" spans="1:10" x14ac:dyDescent="0.25">
      <c r="A25" s="241"/>
      <c r="B25" s="241"/>
      <c r="C25" s="48"/>
      <c r="D25" s="48"/>
      <c r="E25" s="48"/>
      <c r="F25" s="48"/>
      <c r="G25" s="733"/>
      <c r="H25" s="54"/>
      <c r="I25" s="241"/>
      <c r="J25" s="48"/>
    </row>
    <row r="26" spans="1:10" x14ac:dyDescent="0.25">
      <c r="A26" s="241" t="s">
        <v>46</v>
      </c>
      <c r="B26" s="48" t="s">
        <v>930</v>
      </c>
      <c r="C26" s="48"/>
      <c r="D26" s="48"/>
      <c r="E26" s="48"/>
      <c r="F26" s="48"/>
      <c r="G26" s="734">
        <f>IF(G20&gt;0,G20/G24,0)</f>
        <v>1.4148046327184999E-2</v>
      </c>
      <c r="H26" s="54"/>
      <c r="I26" s="48"/>
      <c r="J26" s="48"/>
    </row>
    <row r="27" spans="1:10" x14ac:dyDescent="0.25">
      <c r="A27" s="241"/>
      <c r="B27" s="241"/>
      <c r="C27" s="48"/>
      <c r="D27" s="48"/>
      <c r="E27" s="48"/>
      <c r="F27" s="48"/>
      <c r="G27" s="54"/>
      <c r="H27" s="54"/>
      <c r="I27" s="48"/>
      <c r="J27" s="48"/>
    </row>
    <row r="28" spans="1:10" x14ac:dyDescent="0.25">
      <c r="A28" s="241" t="s">
        <v>47</v>
      </c>
      <c r="B28" s="48" t="s">
        <v>931</v>
      </c>
      <c r="C28" s="48"/>
      <c r="D28" s="48"/>
      <c r="E28" s="48"/>
      <c r="F28" s="48"/>
      <c r="G28" s="54"/>
      <c r="H28" s="735" t="s">
        <v>255</v>
      </c>
      <c r="I28" s="48" t="s">
        <v>242</v>
      </c>
      <c r="J28" s="732">
        <f>ROUND(G26*J7,0)</f>
        <v>6218</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242</v>
      </c>
      <c r="J30" s="736">
        <f>J7+J28</f>
        <v>445723</v>
      </c>
    </row>
    <row r="31" spans="1:10" ht="16.5" thickTop="1" x14ac:dyDescent="0.25">
      <c r="A31" s="48"/>
      <c r="B31" s="48"/>
      <c r="C31" s="48"/>
      <c r="D31" s="48"/>
      <c r="E31" s="48"/>
      <c r="F31" s="48"/>
      <c r="G31" s="48"/>
      <c r="H31" s="48"/>
      <c r="I31" s="48"/>
      <c r="J31" s="48"/>
    </row>
    <row r="32" spans="1:10" x14ac:dyDescent="0.25">
      <c r="A32" s="241" t="s">
        <v>59</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60</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445723</v>
      </c>
    </row>
    <row r="35" spans="1:10" ht="16.5" thickTop="1" x14ac:dyDescent="0.25">
      <c r="A35" s="746"/>
      <c r="B35" s="745"/>
      <c r="C35" s="745"/>
      <c r="D35" s="745"/>
      <c r="E35" s="745"/>
      <c r="F35" s="745"/>
      <c r="G35" s="745"/>
      <c r="H35" s="745"/>
      <c r="I35" s="745"/>
      <c r="J35" s="744"/>
    </row>
    <row r="36" spans="1:10" x14ac:dyDescent="0.25">
      <c r="A36" s="748" t="s">
        <v>918</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919</v>
      </c>
      <c r="B38" s="745" t="s">
        <v>920</v>
      </c>
      <c r="C38" s="745"/>
      <c r="D38" s="745"/>
      <c r="E38" s="745"/>
      <c r="F38" s="745"/>
      <c r="G38" s="745"/>
      <c r="H38" s="745"/>
      <c r="I38" s="727" t="s">
        <v>242</v>
      </c>
      <c r="J38" s="743">
        <f>J7*J36</f>
        <v>6592.5749999999998</v>
      </c>
    </row>
    <row r="39" spans="1:10" x14ac:dyDescent="0.25">
      <c r="A39" s="746"/>
      <c r="B39" s="745"/>
      <c r="C39" s="745"/>
      <c r="D39" s="745"/>
      <c r="E39" s="745"/>
      <c r="F39" s="745"/>
      <c r="G39" s="745"/>
      <c r="H39" s="745"/>
      <c r="I39" s="745"/>
      <c r="J39" s="744"/>
    </row>
    <row r="40" spans="1:10" x14ac:dyDescent="0.25">
      <c r="A40" s="746" t="s">
        <v>921</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922</v>
      </c>
      <c r="C41" s="741"/>
      <c r="D41" s="741"/>
      <c r="E41" s="741"/>
      <c r="F41" s="741"/>
      <c r="G41" s="741"/>
      <c r="H41" s="741"/>
      <c r="I41" s="727" t="s">
        <v>242</v>
      </c>
      <c r="J41" s="747">
        <f>J34+J38</f>
        <v>452315.57500000001</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923</v>
      </c>
      <c r="B45" s="835"/>
      <c r="C45" s="835"/>
      <c r="D45" s="835"/>
      <c r="E45" s="835"/>
      <c r="F45" s="835"/>
      <c r="G45" s="835"/>
      <c r="H45" s="835"/>
      <c r="I45" s="835"/>
      <c r="J45" s="835"/>
    </row>
    <row r="46" spans="1:10" x14ac:dyDescent="0.25">
      <c r="A46" s="834" t="s">
        <v>924</v>
      </c>
      <c r="B46" s="834"/>
      <c r="C46" s="834"/>
      <c r="D46" s="834"/>
      <c r="E46" s="834"/>
      <c r="F46" s="834"/>
      <c r="G46" s="834"/>
      <c r="H46" s="834"/>
      <c r="I46" s="834"/>
      <c r="J46" s="834"/>
    </row>
    <row r="47" spans="1:10" x14ac:dyDescent="0.25">
      <c r="A47" s="834" t="s">
        <v>925</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Pleasant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749</v>
      </c>
      <c r="C6" s="809"/>
      <c r="D6" s="809"/>
      <c r="E6" s="809"/>
      <c r="F6" s="809"/>
      <c r="G6" s="809"/>
      <c r="H6" s="809"/>
      <c r="I6" s="809"/>
      <c r="J6" s="809"/>
      <c r="K6" s="809"/>
    </row>
    <row r="7" spans="1:11" ht="16.5" x14ac:dyDescent="0.25">
      <c r="A7" s="48"/>
      <c r="B7" s="823"/>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750</v>
      </c>
      <c r="C9" s="208"/>
      <c r="D9" s="531" t="s">
        <v>751</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64</v>
      </c>
      <c r="K10" s="190"/>
    </row>
    <row r="11" spans="1:11" x14ac:dyDescent="0.25">
      <c r="A11" s="48"/>
      <c r="B11" s="73" t="str">
        <f>inputPrYr!B20</f>
        <v>General</v>
      </c>
      <c r="C11" s="211"/>
      <c r="D11" s="73">
        <f>IF(inputPrYr!E20&gt;0,inputPrYr!E20,"  ")</f>
        <v>76454</v>
      </c>
      <c r="E11" s="212">
        <f>IF(inputOth!D37&gt;0,inputOth!D37,"  ")</f>
        <v>1.9410000000000001</v>
      </c>
      <c r="F11" s="213"/>
      <c r="G11" s="73">
        <f>IF(inputPrYr!E20=0,0,G25-SUM(G12:G22))</f>
        <v>10909</v>
      </c>
      <c r="H11" s="214"/>
      <c r="I11" s="73">
        <f>IF(inputPrYr!E20=0,0,I27-SUM(I12:I22))</f>
        <v>230</v>
      </c>
      <c r="J11" s="73">
        <f>IF(inputPrYr!E20=0,0,J29-SUM(J12:J22))</f>
        <v>192</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363051</v>
      </c>
      <c r="E14" s="212">
        <f>IF(inputOth!D40&gt;0,inputOth!D40,"  ")</f>
        <v>15.535</v>
      </c>
      <c r="F14" s="213"/>
      <c r="G14" s="73">
        <f>IF(inputPrYr!E23=0,0,ROUND(D14*$G$31,0))</f>
        <v>51801</v>
      </c>
      <c r="H14" s="214"/>
      <c r="I14" s="73">
        <f>IF(inputPrYr!$E$23=0,0,ROUND($D$14*$I$33,0))</f>
        <v>1095</v>
      </c>
      <c r="J14" s="73">
        <f>IF(inputPrYr!E23=0,0,ROUND($D14*$J$35,0))</f>
        <v>910</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t="str">
        <f>IF(inputPrYr!E26&gt;0,inputPrYr!E26,"  ")</f>
        <v xml:space="preserve">  </v>
      </c>
      <c r="E17" s="212" t="str">
        <f>IF(inputOth!D43&gt;0,inputOth!D43,"  ")</f>
        <v xml:space="preserve">  </v>
      </c>
      <c r="F17" s="213"/>
      <c r="G17" s="73">
        <f>IF(inputPrYr!E26=0,0,ROUND(D17*$G$31,0))</f>
        <v>0</v>
      </c>
      <c r="H17" s="214"/>
      <c r="I17" s="73">
        <f>IF(inputPrYr!$E$26=0,0,ROUND($D$17*$I$33,0))</f>
        <v>0</v>
      </c>
      <c r="J17" s="73">
        <f>IF(inputPrYr!E26=0,0,ROUND($D17*$J$35,0))</f>
        <v>0</v>
      </c>
      <c r="K17" s="190"/>
    </row>
    <row r="18" spans="1:11" x14ac:dyDescent="0.25">
      <c r="A18" s="48"/>
      <c r="B18" s="73" t="str">
        <f>IF(inputPrYr!$B27&gt;"  ",inputPrYr!$B27,"  ")</f>
        <v xml:space="preserve">  </v>
      </c>
      <c r="C18" s="211"/>
      <c r="D18" s="73" t="str">
        <f>IF(inputPrYr!E27&gt;0,inputPrYr!E27,"  ")</f>
        <v xml:space="preserve">  </v>
      </c>
      <c r="E18" s="212" t="str">
        <f>IF(inputOth!D44&gt;0,inputOth!D44,"  ")</f>
        <v xml:space="preserve">  </v>
      </c>
      <c r="F18" s="213"/>
      <c r="G18" s="73">
        <f>IF(inputPrYr!E27=0,0,ROUND(D18*$G$31,0))</f>
        <v>0</v>
      </c>
      <c r="H18" s="214"/>
      <c r="I18" s="73">
        <f>IF(inputPrYr!$E$27=0,0,ROUND($D$18*$I$33,0))</f>
        <v>0</v>
      </c>
      <c r="J18" s="73">
        <f>IF(inputPrYr!E27=0,0,ROUND($D18*$J$35,0))</f>
        <v>0</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221</v>
      </c>
      <c r="C23" s="215"/>
      <c r="D23" s="216">
        <f t="shared" ref="D23:J23" si="0">SUM(D11:D22)</f>
        <v>439505</v>
      </c>
      <c r="E23" s="217">
        <f>SUM(E11:E22)</f>
        <v>17.475999999999999</v>
      </c>
      <c r="F23" s="218"/>
      <c r="G23" s="216">
        <f t="shared" si="0"/>
        <v>62710</v>
      </c>
      <c r="H23" s="216"/>
      <c r="I23" s="216">
        <f t="shared" si="0"/>
        <v>1325</v>
      </c>
      <c r="J23" s="216">
        <f t="shared" si="0"/>
        <v>1102</v>
      </c>
      <c r="K23" s="190"/>
    </row>
    <row r="24" spans="1:11" ht="16.5" thickTop="1" x14ac:dyDescent="0.25">
      <c r="A24" s="48"/>
      <c r="B24" s="48"/>
      <c r="C24" s="48"/>
      <c r="D24" s="48"/>
      <c r="E24" s="48"/>
      <c r="F24" s="48"/>
      <c r="G24" s="48"/>
      <c r="H24" s="48"/>
      <c r="I24" s="48"/>
      <c r="J24" s="48"/>
      <c r="K24" s="48"/>
    </row>
    <row r="25" spans="1:11" x14ac:dyDescent="0.25">
      <c r="A25" s="48"/>
      <c r="B25" s="55" t="s">
        <v>245</v>
      </c>
      <c r="C25" s="187"/>
      <c r="D25" s="48"/>
      <c r="E25" s="48"/>
      <c r="F25" s="48"/>
      <c r="G25" s="219">
        <f>SUM(inputOth!E59,inputOth!E63,inputOth!E67)</f>
        <v>62710</v>
      </c>
      <c r="H25" s="48"/>
      <c r="I25" s="48"/>
      <c r="J25" s="48"/>
      <c r="K25" s="48"/>
    </row>
    <row r="26" spans="1:11" x14ac:dyDescent="0.25">
      <c r="A26" s="48"/>
      <c r="B26" s="48"/>
      <c r="C26" s="48"/>
      <c r="D26" s="48"/>
      <c r="E26" s="48"/>
      <c r="F26" s="48"/>
      <c r="G26" s="48"/>
      <c r="H26" s="48"/>
      <c r="I26" s="48"/>
      <c r="J26" s="48"/>
      <c r="K26" s="48"/>
    </row>
    <row r="27" spans="1:11" x14ac:dyDescent="0.25">
      <c r="A27" s="48"/>
      <c r="B27" s="55" t="s">
        <v>246</v>
      </c>
      <c r="C27" s="48"/>
      <c r="D27" s="48"/>
      <c r="E27" s="48"/>
      <c r="F27" s="48"/>
      <c r="G27" s="48"/>
      <c r="H27" s="219">
        <f>inputPrYr!E83</f>
        <v>0</v>
      </c>
      <c r="I27" s="219">
        <f>SUM(inputOth!E60,inputOth!E64,inputOth!E68)</f>
        <v>1325</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1102</v>
      </c>
      <c r="K29" s="158"/>
    </row>
    <row r="30" spans="1:11" x14ac:dyDescent="0.25">
      <c r="A30" s="48"/>
      <c r="B30" s="48"/>
      <c r="C30" s="48"/>
      <c r="D30" s="48"/>
      <c r="E30" s="48"/>
      <c r="F30" s="48"/>
      <c r="G30" s="48"/>
      <c r="H30" s="48"/>
      <c r="I30" s="48"/>
      <c r="J30" s="48"/>
      <c r="K30" s="48"/>
    </row>
    <row r="31" spans="1:11" x14ac:dyDescent="0.25">
      <c r="A31" s="48"/>
      <c r="B31" s="55" t="s">
        <v>247</v>
      </c>
      <c r="C31" s="48"/>
      <c r="D31" s="48"/>
      <c r="E31" s="48"/>
      <c r="F31" s="48"/>
      <c r="G31" s="220">
        <f>IF(D23=0,0,G25/D23)</f>
        <v>0.14268324592439222</v>
      </c>
      <c r="H31" s="48"/>
      <c r="I31" s="48"/>
      <c r="J31" s="48"/>
      <c r="K31" s="48"/>
    </row>
    <row r="32" spans="1:11" x14ac:dyDescent="0.25">
      <c r="A32" s="48"/>
      <c r="B32" s="48"/>
      <c r="C32" s="221"/>
      <c r="D32" s="48"/>
      <c r="E32" s="48"/>
      <c r="F32" s="48"/>
      <c r="G32" s="48"/>
      <c r="H32" s="48"/>
      <c r="I32" s="48"/>
      <c r="J32" s="48"/>
      <c r="K32" s="48"/>
    </row>
    <row r="33" spans="1:11" x14ac:dyDescent="0.25">
      <c r="A33" s="48"/>
      <c r="B33" s="55" t="s">
        <v>248</v>
      </c>
      <c r="C33" s="48"/>
      <c r="D33" s="48"/>
      <c r="E33" s="48"/>
      <c r="F33" s="48"/>
      <c r="G33" s="48"/>
      <c r="H33" s="222">
        <f>IF(D23=0,0,H27/D23)</f>
        <v>0</v>
      </c>
      <c r="I33" s="223">
        <f>IF(D23=0,0,I27/D23)</f>
        <v>3.0147552360041412E-3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2.5073662415672176E-3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Pleasant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23" t="s">
        <v>96</v>
      </c>
      <c r="B5" s="823"/>
      <c r="C5" s="823"/>
      <c r="D5" s="823"/>
      <c r="E5" s="823"/>
      <c r="F5" s="823"/>
    </row>
    <row r="6" spans="1:6" ht="14.25" customHeight="1" x14ac:dyDescent="0.25">
      <c r="A6" s="47"/>
      <c r="B6" s="226"/>
      <c r="C6" s="226"/>
      <c r="D6" s="226"/>
      <c r="E6" s="226"/>
      <c r="F6" s="226"/>
    </row>
    <row r="7" spans="1:6" ht="15" customHeight="1" x14ac:dyDescent="0.25">
      <c r="A7" s="227" t="s">
        <v>229</v>
      </c>
      <c r="B7" s="227" t="s">
        <v>596</v>
      </c>
      <c r="C7" s="228" t="s">
        <v>272</v>
      </c>
      <c r="D7" s="228" t="s">
        <v>97</v>
      </c>
      <c r="E7" s="227" t="s">
        <v>98</v>
      </c>
      <c r="F7" s="227" t="s">
        <v>99</v>
      </c>
    </row>
    <row r="8" spans="1:6" ht="15" customHeight="1" x14ac:dyDescent="0.25">
      <c r="A8" s="229" t="s">
        <v>597</v>
      </c>
      <c r="B8" s="229" t="s">
        <v>598</v>
      </c>
      <c r="C8" s="230" t="s">
        <v>100</v>
      </c>
      <c r="D8" s="230" t="s">
        <v>100</v>
      </c>
      <c r="E8" s="230" t="s">
        <v>100</v>
      </c>
      <c r="F8" s="230" t="s">
        <v>101</v>
      </c>
    </row>
    <row r="9" spans="1:6" s="233" customFormat="1" ht="15" customHeight="1" thickBot="1" x14ac:dyDescent="0.3">
      <c r="A9" s="231" t="s">
        <v>102</v>
      </c>
      <c r="B9" s="232" t="s">
        <v>103</v>
      </c>
      <c r="C9" s="232">
        <f>F1-2</f>
        <v>2013</v>
      </c>
      <c r="D9" s="232">
        <f>F1-1</f>
        <v>2014</v>
      </c>
      <c r="E9" s="232">
        <f>F1</f>
        <v>2015</v>
      </c>
      <c r="F9" s="232" t="s">
        <v>216</v>
      </c>
    </row>
    <row r="10" spans="1:6" ht="15" customHeight="1" thickTop="1" x14ac:dyDescent="0.25">
      <c r="A10" s="234"/>
      <c r="B10" s="234"/>
      <c r="C10" s="235"/>
      <c r="D10" s="235"/>
      <c r="E10" s="235"/>
      <c r="F10" s="234"/>
    </row>
    <row r="11" spans="1:6" ht="15" customHeight="1" x14ac:dyDescent="0.25">
      <c r="A11" s="186" t="s">
        <v>171</v>
      </c>
      <c r="B11" s="186" t="s">
        <v>233</v>
      </c>
      <c r="C11" s="236">
        <f>gen!$C$43</f>
        <v>0</v>
      </c>
      <c r="D11" s="236">
        <f>gen!$D$43</f>
        <v>0</v>
      </c>
      <c r="E11" s="236">
        <f>gen!$E$43</f>
        <v>0</v>
      </c>
      <c r="F11" s="186" t="str">
        <f>IF(C11+D11+E11&gt;0,"80-1406b","")</f>
        <v/>
      </c>
    </row>
    <row r="12" spans="1:6" ht="15" customHeight="1" x14ac:dyDescent="0.25">
      <c r="A12" s="186" t="s">
        <v>171</v>
      </c>
      <c r="B12" s="186" t="s">
        <v>233</v>
      </c>
      <c r="C12" s="236">
        <f>gen!$C$45</f>
        <v>5010</v>
      </c>
      <c r="D12" s="236">
        <f>gen!$D$45</f>
        <v>0</v>
      </c>
      <c r="E12" s="236">
        <f>gen!$E$45</f>
        <v>0</v>
      </c>
      <c r="F12" s="186" t="str">
        <f>IF(C12+D12+E12&gt;0,"80-122","")</f>
        <v>80-122</v>
      </c>
    </row>
    <row r="13" spans="1:6" ht="15" customHeight="1" x14ac:dyDescent="0.25">
      <c r="A13" s="186" t="s">
        <v>220</v>
      </c>
      <c r="B13" s="186" t="s">
        <v>233</v>
      </c>
      <c r="C13" s="236">
        <f>road!$C$38</f>
        <v>0</v>
      </c>
      <c r="D13" s="236">
        <f>road!$D$38</f>
        <v>0</v>
      </c>
      <c r="E13" s="236">
        <f>road!$E$38</f>
        <v>0</v>
      </c>
      <c r="F13" s="186" t="str">
        <f>IF(C13+D13+E13&gt;0,"68-141g","")</f>
        <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221</v>
      </c>
      <c r="C27" s="239">
        <f>SUM(C10:C26)</f>
        <v>5010</v>
      </c>
      <c r="D27" s="239">
        <f>SUM(D10:D26)</f>
        <v>0</v>
      </c>
      <c r="E27" s="239">
        <f>SUM(E10:E26)</f>
        <v>0</v>
      </c>
      <c r="F27" s="171"/>
    </row>
    <row r="28" spans="1:6" x14ac:dyDescent="0.25">
      <c r="A28" s="171"/>
      <c r="B28" s="71" t="s">
        <v>595</v>
      </c>
      <c r="C28" s="48"/>
      <c r="D28" s="160"/>
      <c r="E28" s="160"/>
      <c r="F28" s="171"/>
    </row>
    <row r="29" spans="1:6" x14ac:dyDescent="0.25">
      <c r="A29" s="171"/>
      <c r="B29" s="71" t="s">
        <v>104</v>
      </c>
      <c r="C29" s="162">
        <f>C27</f>
        <v>5010</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599</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DebtSvs-Library</vt:lpstr>
      <vt:lpstr>gen</vt:lpstr>
      <vt:lpstr>road</vt:lpstr>
      <vt:lpstr>SpecRoad&amp;Noxious</vt:lpstr>
      <vt:lpstr>levypage10</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2014-08-15T13:25:38Z</cp:lastPrinted>
  <dcterms:created xsi:type="dcterms:W3CDTF">1998-08-26T16:30:41Z</dcterms:created>
  <dcterms:modified xsi:type="dcterms:W3CDTF">2014-12-31T18:03:31Z</dcterms:modified>
</cp:coreProperties>
</file>